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acted.sharepoint.com/sites/IMPACTMDA/Documents partages/1800 RESEARCH UNIT/1815 EVRF Assessment (ECHO)/04_Data analysis/Archived/REACH_MDA_EVRF_Data analysis_for HQ validation/"/>
    </mc:Choice>
  </mc:AlternateContent>
  <xr:revisionPtr revIDLastSave="1755" documentId="8_{DB4821E5-F13B-4A3B-B0D3-1ED2FD6B4913}" xr6:coauthVersionLast="47" xr6:coauthVersionMax="47" xr10:uidLastSave="{2FB8F671-32A4-46CF-B65C-BEE230B90EBA}"/>
  <bookViews>
    <workbookView xWindow="22932" yWindow="-108" windowWidth="23256" windowHeight="12456" tabRatio="734" activeTab="1" xr2:uid="{00000000-000D-0000-FFFF-FFFF00000000}"/>
  </bookViews>
  <sheets>
    <sheet name="READ_ME" sheetId="20" r:id="rId1"/>
    <sheet name="Table_of_contents_BNF" sheetId="28" r:id="rId2"/>
    <sheet name="Data_Analysis_BNF" sheetId="29" r:id="rId3"/>
    <sheet name="Table_of_contents_nonBNF" sheetId="30" r:id="rId4"/>
    <sheet name="Data_Analysis_nonBNF" sheetId="31" r:id="rId5"/>
    <sheet name="Analysis_variables_BNF" sheetId="26" r:id="rId6"/>
    <sheet name="Analysis_variables_NON_BNF" sheetId="33" r:id="rId7"/>
    <sheet name="R_file_directory" sheetId="25" r:id="rId8"/>
    <sheet name="Deviations_from_ToR" sheetId="21" r:id="rId9"/>
    <sheet name="Clean_data_main_level" sheetId="23" r:id="rId10"/>
    <sheet name="Extended_DAP" sheetId="22" r:id="rId11"/>
    <sheet name="Sampling" sheetId="27" r:id="rId12"/>
    <sheet name="Clean_data_BNF" sheetId="24" r:id="rId13"/>
    <sheet name="Clean_data_nonBNF" sheetId="32" r:id="rId14"/>
  </sheets>
  <definedNames>
    <definedName name="_xlnm._FilterDatabase" localSheetId="12" hidden="1">Clean_data_BNF!$A$1:$LD$298</definedName>
    <definedName name="_xlnm._FilterDatabase" localSheetId="9" hidden="1">Clean_data_main_level!$A$1:$P$436</definedName>
    <definedName name="_xlnm._FilterDatabase" localSheetId="13" hidden="1">Clean_data_nonBNF!$A$1:$JG$139</definedName>
    <definedName name="_xlnm._FilterDatabase" localSheetId="1" hidden="1">Table_of_contents_BNF!$A$1:$C$605</definedName>
    <definedName name="_xlnm._FilterDatabase" localSheetId="3" hidden="1">Table_of_contents_nonBNF!$A$1:$C$391</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91" i="30" l="1"/>
  <c r="B390" i="30"/>
  <c r="B389" i="30"/>
  <c r="B388" i="30"/>
  <c r="B387" i="30"/>
  <c r="B386" i="30"/>
  <c r="B385" i="30"/>
  <c r="B384" i="30"/>
  <c r="B383" i="30"/>
  <c r="B382" i="30"/>
  <c r="B381" i="30"/>
  <c r="B380" i="30"/>
  <c r="B379" i="30"/>
  <c r="B378" i="30"/>
  <c r="B377" i="30"/>
  <c r="B376" i="30"/>
  <c r="B375" i="30"/>
  <c r="B374" i="30"/>
  <c r="B373" i="30"/>
  <c r="B372" i="30"/>
  <c r="B371" i="30"/>
  <c r="B370" i="30"/>
  <c r="B369" i="30"/>
  <c r="B368" i="30"/>
  <c r="B367" i="30"/>
  <c r="B366" i="30"/>
  <c r="B365" i="30"/>
  <c r="B364" i="30"/>
  <c r="B363" i="30"/>
  <c r="B362" i="30"/>
  <c r="B361" i="30"/>
  <c r="B360" i="30"/>
  <c r="B359" i="30"/>
  <c r="B358" i="30"/>
  <c r="B357" i="30"/>
  <c r="B356" i="30"/>
  <c r="B355" i="30"/>
  <c r="B354" i="30"/>
  <c r="B353" i="30"/>
  <c r="B352" i="30"/>
  <c r="B351" i="30"/>
  <c r="B350" i="30"/>
  <c r="B349" i="30"/>
  <c r="B348" i="30"/>
  <c r="B347" i="30"/>
  <c r="B346" i="30"/>
  <c r="B345" i="30"/>
  <c r="B344" i="30"/>
  <c r="B343" i="30"/>
  <c r="B342" i="30"/>
  <c r="B341" i="30"/>
  <c r="B340" i="30"/>
  <c r="B339" i="30"/>
  <c r="B338" i="30"/>
  <c r="B337" i="30"/>
  <c r="B336" i="30"/>
  <c r="B335" i="30"/>
  <c r="B334" i="30"/>
  <c r="B333" i="30"/>
  <c r="B332" i="30"/>
  <c r="B331" i="30"/>
  <c r="B330" i="30"/>
  <c r="B329" i="30"/>
  <c r="B328" i="30"/>
  <c r="B327" i="30"/>
  <c r="B326" i="30"/>
  <c r="B325" i="30"/>
  <c r="B324" i="30"/>
  <c r="B323" i="30"/>
  <c r="B322" i="30"/>
  <c r="B321" i="30"/>
  <c r="B320" i="30"/>
  <c r="B319" i="30"/>
  <c r="B318" i="30"/>
  <c r="B317" i="30"/>
  <c r="B316" i="30"/>
  <c r="B315" i="30"/>
  <c r="B314" i="30"/>
  <c r="B313" i="30"/>
  <c r="B312" i="30"/>
  <c r="B311" i="30"/>
  <c r="B310" i="30"/>
  <c r="B309" i="30"/>
  <c r="B308" i="30"/>
  <c r="B307" i="30"/>
  <c r="B306" i="30"/>
  <c r="B305" i="30"/>
  <c r="B304" i="30"/>
  <c r="B303" i="30"/>
  <c r="B302" i="30"/>
  <c r="B301" i="30"/>
  <c r="B300" i="30"/>
  <c r="B299" i="30"/>
  <c r="B298" i="30"/>
  <c r="B297" i="30"/>
  <c r="B296" i="30"/>
  <c r="B295" i="30"/>
  <c r="B294" i="30"/>
  <c r="B293" i="30"/>
  <c r="B292" i="30"/>
  <c r="B291" i="30"/>
  <c r="B290" i="30"/>
  <c r="B289" i="30"/>
  <c r="B288" i="30"/>
  <c r="B287" i="30"/>
  <c r="B286" i="30"/>
  <c r="B285" i="30"/>
  <c r="B284" i="30"/>
  <c r="B283" i="30"/>
  <c r="B282" i="30"/>
  <c r="B281" i="30"/>
  <c r="B280" i="30"/>
  <c r="B279" i="30"/>
  <c r="B278" i="30"/>
  <c r="B277" i="30"/>
  <c r="B276" i="30"/>
  <c r="B275" i="30"/>
  <c r="B274" i="30"/>
  <c r="B273" i="30"/>
  <c r="B272" i="30"/>
  <c r="B271" i="30"/>
  <c r="B270" i="30"/>
  <c r="B269" i="30"/>
  <c r="B268" i="30"/>
  <c r="B267" i="30"/>
  <c r="B266" i="30"/>
  <c r="B265" i="30"/>
  <c r="B264" i="30"/>
  <c r="B263" i="30"/>
  <c r="B262" i="30"/>
  <c r="B261" i="30"/>
  <c r="B260" i="30"/>
  <c r="B259" i="30"/>
  <c r="B258" i="30"/>
  <c r="B257" i="30"/>
  <c r="B256" i="30"/>
  <c r="B255" i="30"/>
  <c r="B254" i="30"/>
  <c r="B253" i="30"/>
  <c r="B252" i="30"/>
  <c r="B251" i="30"/>
  <c r="B250" i="30"/>
  <c r="B249" i="30"/>
  <c r="B248" i="30"/>
  <c r="B247" i="30"/>
  <c r="B246" i="30"/>
  <c r="B245" i="30"/>
  <c r="B244" i="30"/>
  <c r="B243" i="30"/>
  <c r="B242" i="30"/>
  <c r="B241" i="30"/>
  <c r="B240" i="30"/>
  <c r="B239" i="30"/>
  <c r="B238" i="30"/>
  <c r="B237" i="30"/>
  <c r="B236" i="30"/>
  <c r="B235" i="30"/>
  <c r="B234" i="30"/>
  <c r="B233" i="30"/>
  <c r="B232" i="30"/>
  <c r="B231" i="30"/>
  <c r="B230" i="30"/>
  <c r="B229" i="30"/>
  <c r="B228" i="30"/>
  <c r="B227" i="30"/>
  <c r="B226" i="30"/>
  <c r="B225" i="30"/>
  <c r="B224" i="30"/>
  <c r="B223" i="30"/>
  <c r="B222" i="30"/>
  <c r="B221" i="30"/>
  <c r="B220" i="30"/>
  <c r="B219" i="30"/>
  <c r="B218" i="30"/>
  <c r="B217" i="30"/>
  <c r="B216" i="30"/>
  <c r="B215" i="30"/>
  <c r="B214" i="30"/>
  <c r="B213" i="30"/>
  <c r="B212" i="30"/>
  <c r="B211" i="30"/>
  <c r="B210" i="30"/>
  <c r="B209" i="30"/>
  <c r="B208" i="30"/>
  <c r="B207" i="30"/>
  <c r="B206" i="30"/>
  <c r="B205" i="30"/>
  <c r="B204" i="30"/>
  <c r="B203" i="30"/>
  <c r="B202" i="30"/>
  <c r="B201" i="30"/>
  <c r="B200" i="30"/>
  <c r="B199" i="30"/>
  <c r="B198" i="30"/>
  <c r="B197" i="30"/>
  <c r="B196" i="30"/>
  <c r="B195" i="30"/>
  <c r="B194" i="30"/>
  <c r="B193" i="30"/>
  <c r="B192" i="30"/>
  <c r="B191" i="30"/>
  <c r="B190" i="30"/>
  <c r="B189" i="30"/>
  <c r="B188" i="30"/>
  <c r="B187" i="30"/>
  <c r="B186" i="30"/>
  <c r="B185" i="30"/>
  <c r="B184" i="30"/>
  <c r="B183" i="30"/>
  <c r="B182" i="30"/>
  <c r="B181" i="30"/>
  <c r="B180" i="30"/>
  <c r="B179" i="30"/>
  <c r="B178" i="30"/>
  <c r="B177" i="30"/>
  <c r="B176" i="30"/>
  <c r="B175" i="30"/>
  <c r="B174" i="30"/>
  <c r="B173" i="30"/>
  <c r="B172" i="30"/>
  <c r="B171" i="30"/>
  <c r="B170" i="30"/>
  <c r="B169" i="30"/>
  <c r="B168" i="30"/>
  <c r="B167" i="30"/>
  <c r="B166" i="30"/>
  <c r="B165" i="30"/>
  <c r="B164" i="30"/>
  <c r="B163" i="30"/>
  <c r="B162" i="30"/>
  <c r="B161" i="30"/>
  <c r="B160" i="30"/>
  <c r="B159" i="30"/>
  <c r="B158" i="30"/>
  <c r="B157" i="30"/>
  <c r="B156" i="30"/>
  <c r="B155" i="30"/>
  <c r="B154" i="30"/>
  <c r="B153" i="30"/>
  <c r="B152" i="30"/>
  <c r="B151" i="30"/>
  <c r="B150" i="30"/>
  <c r="B149" i="30"/>
  <c r="B148" i="30"/>
  <c r="B147" i="30"/>
  <c r="B146" i="30"/>
  <c r="B145" i="30"/>
  <c r="B144" i="30"/>
  <c r="B143" i="30"/>
  <c r="B142" i="30"/>
  <c r="B141" i="30"/>
  <c r="B140" i="30"/>
  <c r="B139" i="30"/>
  <c r="B138" i="30"/>
  <c r="B137" i="30"/>
  <c r="B136" i="30"/>
  <c r="B135" i="30"/>
  <c r="B134" i="30"/>
  <c r="B133" i="30"/>
  <c r="B132" i="30"/>
  <c r="B131" i="30"/>
  <c r="B130" i="30"/>
  <c r="B129" i="30"/>
  <c r="B128" i="30"/>
  <c r="B127" i="30"/>
  <c r="B126" i="30"/>
  <c r="B125" i="30"/>
  <c r="B124" i="30"/>
  <c r="B123" i="30"/>
  <c r="B122" i="30"/>
  <c r="B121" i="30"/>
  <c r="B120" i="30"/>
  <c r="B119" i="30"/>
  <c r="B118" i="30"/>
  <c r="B117" i="30"/>
  <c r="B116" i="30"/>
  <c r="B115" i="30"/>
  <c r="B114" i="30"/>
  <c r="B113" i="30"/>
  <c r="B112" i="30"/>
  <c r="B111" i="30"/>
  <c r="B110" i="30"/>
  <c r="B109" i="30"/>
  <c r="B108" i="30"/>
  <c r="B107" i="30"/>
  <c r="B106" i="30"/>
  <c r="B105" i="30"/>
  <c r="B104" i="30"/>
  <c r="B103" i="30"/>
  <c r="B102" i="30"/>
  <c r="B101" i="30"/>
  <c r="B100" i="30"/>
  <c r="B99" i="30"/>
  <c r="B98" i="30"/>
  <c r="B97" i="30"/>
  <c r="B96" i="30"/>
  <c r="B95" i="30"/>
  <c r="B94" i="30"/>
  <c r="B93" i="30"/>
  <c r="B92" i="30"/>
  <c r="B91" i="30"/>
  <c r="B90" i="30"/>
  <c r="B89" i="30"/>
  <c r="B88" i="30"/>
  <c r="B87" i="30"/>
  <c r="B86" i="30"/>
  <c r="B85" i="30"/>
  <c r="B84" i="30"/>
  <c r="B83" i="30"/>
  <c r="B82" i="30"/>
  <c r="B81" i="30"/>
  <c r="B80" i="30"/>
  <c r="B79" i="30"/>
  <c r="B78" i="30"/>
  <c r="B77" i="30"/>
  <c r="B76" i="30"/>
  <c r="B75" i="30"/>
  <c r="B74" i="30"/>
  <c r="B73" i="30"/>
  <c r="B72" i="30"/>
  <c r="B71" i="30"/>
  <c r="B70" i="30"/>
  <c r="B69" i="30"/>
  <c r="B68" i="30"/>
  <c r="B67" i="30"/>
  <c r="B66" i="30"/>
  <c r="B65" i="30"/>
  <c r="B64" i="30"/>
  <c r="B63" i="30"/>
  <c r="B62" i="30"/>
  <c r="B61" i="30"/>
  <c r="B60" i="30"/>
  <c r="B59" i="30"/>
  <c r="B58" i="30"/>
  <c r="B57" i="30"/>
  <c r="B56" i="30"/>
  <c r="B55" i="30"/>
  <c r="B54" i="30"/>
  <c r="B53" i="30"/>
  <c r="B52" i="30"/>
  <c r="B51" i="30"/>
  <c r="B50" i="30"/>
  <c r="B49" i="30"/>
  <c r="B48" i="30"/>
  <c r="B47" i="30"/>
  <c r="B46" i="30"/>
  <c r="B45" i="30"/>
  <c r="B44" i="30"/>
  <c r="B43" i="30"/>
  <c r="B42" i="30"/>
  <c r="B41" i="30"/>
  <c r="B40" i="30"/>
  <c r="B39" i="30"/>
  <c r="B38" i="30"/>
  <c r="B37" i="30"/>
  <c r="B36" i="30"/>
  <c r="B35" i="30"/>
  <c r="B34" i="30"/>
  <c r="B33" i="30"/>
  <c r="B32" i="30"/>
  <c r="B31" i="30"/>
  <c r="B30" i="30"/>
  <c r="B29" i="30"/>
  <c r="B28" i="30"/>
  <c r="B27" i="30"/>
  <c r="B26" i="30"/>
  <c r="B25" i="30"/>
  <c r="B24" i="30"/>
  <c r="B23" i="30"/>
  <c r="B22" i="30"/>
  <c r="B21" i="30"/>
  <c r="B20" i="30"/>
  <c r="B19" i="30"/>
  <c r="B18" i="30"/>
  <c r="B17" i="30"/>
  <c r="B16" i="30"/>
  <c r="B15" i="30"/>
  <c r="B14" i="30"/>
  <c r="B13" i="30"/>
  <c r="B12" i="30"/>
  <c r="B11" i="30"/>
  <c r="B10" i="30"/>
  <c r="B9" i="30"/>
  <c r="B8" i="30"/>
  <c r="B7" i="30"/>
  <c r="B6" i="30"/>
  <c r="B5" i="30"/>
  <c r="B4" i="30"/>
  <c r="B3" i="30"/>
  <c r="B2" i="30"/>
  <c r="B605" i="28"/>
  <c r="B604" i="28"/>
  <c r="B603" i="28"/>
  <c r="B602" i="28"/>
  <c r="B601" i="28"/>
  <c r="B600" i="28"/>
  <c r="B599" i="28"/>
  <c r="B598" i="28"/>
  <c r="B597" i="28"/>
  <c r="B596" i="28"/>
  <c r="B595" i="28"/>
  <c r="B594" i="28"/>
  <c r="B593" i="28"/>
  <c r="B592" i="28"/>
  <c r="B591" i="28"/>
  <c r="B590" i="28"/>
  <c r="B589" i="28"/>
  <c r="B588" i="28"/>
  <c r="B587" i="28"/>
  <c r="B586" i="28"/>
  <c r="B585" i="28"/>
  <c r="B584" i="28"/>
  <c r="B583" i="28"/>
  <c r="B582" i="28"/>
  <c r="B581" i="28"/>
  <c r="B580" i="28"/>
  <c r="B579" i="28"/>
  <c r="B578" i="28"/>
  <c r="B577" i="28"/>
  <c r="B576" i="28"/>
  <c r="B575" i="28"/>
  <c r="B574" i="28"/>
  <c r="B573" i="28"/>
  <c r="B572" i="28"/>
  <c r="B571" i="28"/>
  <c r="B570" i="28"/>
  <c r="B569" i="28"/>
  <c r="B568" i="28"/>
  <c r="B567" i="28"/>
  <c r="B566" i="28"/>
  <c r="B565" i="28"/>
  <c r="B564" i="28"/>
  <c r="B563" i="28"/>
  <c r="B562" i="28"/>
  <c r="B561" i="28"/>
  <c r="B560" i="28"/>
  <c r="B559" i="28"/>
  <c r="B558" i="28"/>
  <c r="B557" i="28"/>
  <c r="B556" i="28"/>
  <c r="B555" i="28"/>
  <c r="B554" i="28"/>
  <c r="B553" i="28"/>
  <c r="B552" i="28"/>
  <c r="B551" i="28"/>
  <c r="B550" i="28"/>
  <c r="B549" i="28"/>
  <c r="B548" i="28"/>
  <c r="B547" i="28"/>
  <c r="B546" i="28"/>
  <c r="B545" i="28"/>
  <c r="B544" i="28"/>
  <c r="B543" i="28"/>
  <c r="B542" i="28"/>
  <c r="B541" i="28"/>
  <c r="B540" i="28"/>
  <c r="B539" i="28"/>
  <c r="B538" i="28"/>
  <c r="B537" i="28"/>
  <c r="B536" i="28"/>
  <c r="B535" i="28"/>
  <c r="B534" i="28"/>
  <c r="B533" i="28"/>
  <c r="B532" i="28"/>
  <c r="B531" i="28"/>
  <c r="B530" i="28"/>
  <c r="B529" i="28"/>
  <c r="B528" i="28"/>
  <c r="B527" i="28"/>
  <c r="B526" i="28"/>
  <c r="B525" i="28"/>
  <c r="B524" i="28"/>
  <c r="B523" i="28"/>
  <c r="B522" i="28"/>
  <c r="B521" i="28"/>
  <c r="B520" i="28"/>
  <c r="B519" i="28"/>
  <c r="B518" i="28"/>
  <c r="B517" i="28"/>
  <c r="B516" i="28"/>
  <c r="B515" i="28"/>
  <c r="B514" i="28"/>
  <c r="B513" i="28"/>
  <c r="B512" i="28"/>
  <c r="B511" i="28"/>
  <c r="B510" i="28"/>
  <c r="B509" i="28"/>
  <c r="B508" i="28"/>
  <c r="B507" i="28"/>
  <c r="B506" i="28"/>
  <c r="B505" i="28"/>
  <c r="B504" i="28"/>
  <c r="B503" i="28"/>
  <c r="B502" i="28"/>
  <c r="B501" i="28"/>
  <c r="B500" i="28"/>
  <c r="B499" i="28"/>
  <c r="B498" i="28"/>
  <c r="B497" i="28"/>
  <c r="B496" i="28"/>
  <c r="B495" i="28"/>
  <c r="B494" i="28"/>
  <c r="B493" i="28"/>
  <c r="B492" i="28"/>
  <c r="B491" i="28"/>
  <c r="B490" i="28"/>
  <c r="B489" i="28"/>
  <c r="B488" i="28"/>
  <c r="B487" i="28"/>
  <c r="B486" i="28"/>
  <c r="B485" i="28"/>
  <c r="B484" i="28"/>
  <c r="B483" i="28"/>
  <c r="B482" i="28"/>
  <c r="B481" i="28"/>
  <c r="B480" i="28"/>
  <c r="B479" i="28"/>
  <c r="B478" i="28"/>
  <c r="B477" i="28"/>
  <c r="B476" i="28"/>
  <c r="B475" i="28"/>
  <c r="B474" i="28"/>
  <c r="B473" i="28"/>
  <c r="B472" i="28"/>
  <c r="B471" i="28"/>
  <c r="B470" i="28"/>
  <c r="B469" i="28"/>
  <c r="B468" i="28"/>
  <c r="B467" i="28"/>
  <c r="B466" i="28"/>
  <c r="B465" i="28"/>
  <c r="B464" i="28"/>
  <c r="B463" i="28"/>
  <c r="B462" i="28"/>
  <c r="B461" i="28"/>
  <c r="B460" i="28"/>
  <c r="B459" i="28"/>
  <c r="B458" i="28"/>
  <c r="B457" i="28"/>
  <c r="B456" i="28"/>
  <c r="B455" i="28"/>
  <c r="B454" i="28"/>
  <c r="B453" i="28"/>
  <c r="B452" i="28"/>
  <c r="B451" i="28"/>
  <c r="B450" i="28"/>
  <c r="B449" i="28"/>
  <c r="B448" i="28"/>
  <c r="B447" i="28"/>
  <c r="B446" i="28"/>
  <c r="B445" i="28"/>
  <c r="B444" i="28"/>
  <c r="B443" i="28"/>
  <c r="B442" i="28"/>
  <c r="B441" i="28"/>
  <c r="B440" i="28"/>
  <c r="B439" i="28"/>
  <c r="B438" i="28"/>
  <c r="B437" i="28"/>
  <c r="B436" i="28"/>
  <c r="B435" i="28"/>
  <c r="B434" i="28"/>
  <c r="B433" i="28"/>
  <c r="B432" i="28"/>
  <c r="B431" i="28"/>
  <c r="B430" i="28"/>
  <c r="B429" i="28"/>
  <c r="B428" i="28"/>
  <c r="B427" i="28"/>
  <c r="B426" i="28"/>
  <c r="B425" i="28"/>
  <c r="B424" i="28"/>
  <c r="B423" i="28"/>
  <c r="B422" i="28"/>
  <c r="B421" i="28"/>
  <c r="B420" i="28"/>
  <c r="B419" i="28"/>
  <c r="B418" i="28"/>
  <c r="B417" i="28"/>
  <c r="B416" i="28"/>
  <c r="B415" i="28"/>
  <c r="B414" i="28"/>
  <c r="B413" i="28"/>
  <c r="B412" i="28"/>
  <c r="B411" i="28"/>
  <c r="B410" i="28"/>
  <c r="B409" i="28"/>
  <c r="B408" i="28"/>
  <c r="B407" i="28"/>
  <c r="B406" i="28"/>
  <c r="B405" i="28"/>
  <c r="B404" i="28"/>
  <c r="B403" i="28"/>
  <c r="B402" i="28"/>
  <c r="B401" i="28"/>
  <c r="B400" i="28"/>
  <c r="B399" i="28"/>
  <c r="B398" i="28"/>
  <c r="B397" i="28"/>
  <c r="B396" i="28"/>
  <c r="B395" i="28"/>
  <c r="B394" i="28"/>
  <c r="B393" i="28"/>
  <c r="B392" i="28"/>
  <c r="B391" i="28"/>
  <c r="B390" i="28"/>
  <c r="B389" i="28"/>
  <c r="B388" i="28"/>
  <c r="B387" i="28"/>
  <c r="B386" i="28"/>
  <c r="B385" i="28"/>
  <c r="B384" i="28"/>
  <c r="B383" i="28"/>
  <c r="B382" i="28"/>
  <c r="B381" i="28"/>
  <c r="B380" i="28"/>
  <c r="B379" i="28"/>
  <c r="B378" i="28"/>
  <c r="B377" i="28"/>
  <c r="B376" i="28"/>
  <c r="B375" i="28"/>
  <c r="B374" i="28"/>
  <c r="B373" i="28"/>
  <c r="B372" i="28"/>
  <c r="B371" i="28"/>
  <c r="B370" i="28"/>
  <c r="B369" i="28"/>
  <c r="B368" i="28"/>
  <c r="B367" i="28"/>
  <c r="B366" i="28"/>
  <c r="B365" i="28"/>
  <c r="B364" i="28"/>
  <c r="B363" i="28"/>
  <c r="B362" i="28"/>
  <c r="B361" i="28"/>
  <c r="B360" i="28"/>
  <c r="B359" i="28"/>
  <c r="B358" i="28"/>
  <c r="B357" i="28"/>
  <c r="B356" i="28"/>
  <c r="B355" i="28"/>
  <c r="B354" i="28"/>
  <c r="B353" i="28"/>
  <c r="B352" i="28"/>
  <c r="B351" i="28"/>
  <c r="B350" i="28"/>
  <c r="B349" i="28"/>
  <c r="B348" i="28"/>
  <c r="B347" i="28"/>
  <c r="B346" i="28"/>
  <c r="B345" i="28"/>
  <c r="B344" i="28"/>
  <c r="B343" i="28"/>
  <c r="B342" i="28"/>
  <c r="B341" i="28"/>
  <c r="B340" i="28"/>
  <c r="B339" i="28"/>
  <c r="B338" i="28"/>
  <c r="B337" i="28"/>
  <c r="B336" i="28"/>
  <c r="B335" i="28"/>
  <c r="B334" i="28"/>
  <c r="B333" i="28"/>
  <c r="B332" i="28"/>
  <c r="B331" i="28"/>
  <c r="B330" i="28"/>
  <c r="B329" i="28"/>
  <c r="B328" i="28"/>
  <c r="B327" i="28"/>
  <c r="B326" i="28"/>
  <c r="B325" i="28"/>
  <c r="B324" i="28"/>
  <c r="B323" i="28"/>
  <c r="B322" i="28"/>
  <c r="B321" i="28"/>
  <c r="B320" i="28"/>
  <c r="B319" i="28"/>
  <c r="B318" i="28"/>
  <c r="B317" i="28"/>
  <c r="B316" i="28"/>
  <c r="B315" i="28"/>
  <c r="B314" i="28"/>
  <c r="B313" i="28"/>
  <c r="B312" i="28"/>
  <c r="B311" i="28"/>
  <c r="B310" i="28"/>
  <c r="B309" i="28"/>
  <c r="B308" i="28"/>
  <c r="B307" i="28"/>
  <c r="B306" i="28"/>
  <c r="B305" i="28"/>
  <c r="B304" i="28"/>
  <c r="B303" i="28"/>
  <c r="B302" i="28"/>
  <c r="B301" i="28"/>
  <c r="B300" i="28"/>
  <c r="B299" i="28"/>
  <c r="B298" i="28"/>
  <c r="B297" i="28"/>
  <c r="B296" i="28"/>
  <c r="B295" i="28"/>
  <c r="B294" i="28"/>
  <c r="B293" i="28"/>
  <c r="B292" i="28"/>
  <c r="B291" i="28"/>
  <c r="B290" i="28"/>
  <c r="B289" i="28"/>
  <c r="B288" i="28"/>
  <c r="B287" i="28"/>
  <c r="B286" i="28"/>
  <c r="B285" i="28"/>
  <c r="B284" i="28"/>
  <c r="B283" i="28"/>
  <c r="B282" i="28"/>
  <c r="B281" i="28"/>
  <c r="B280" i="28"/>
  <c r="B279" i="28"/>
  <c r="B278" i="28"/>
  <c r="B277" i="28"/>
  <c r="B276" i="28"/>
  <c r="B275" i="28"/>
  <c r="B274" i="28"/>
  <c r="B273" i="28"/>
  <c r="B272" i="28"/>
  <c r="B271" i="28"/>
  <c r="B270" i="28"/>
  <c r="B269" i="28"/>
  <c r="B268" i="28"/>
  <c r="B267" i="28"/>
  <c r="B266" i="28"/>
  <c r="B265" i="28"/>
  <c r="B264" i="28"/>
  <c r="B263" i="28"/>
  <c r="B262" i="28"/>
  <c r="B261" i="28"/>
  <c r="B260" i="28"/>
  <c r="B259" i="28"/>
  <c r="B258" i="28"/>
  <c r="B257" i="28"/>
  <c r="B256" i="28"/>
  <c r="B255" i="28"/>
  <c r="B254" i="28"/>
  <c r="B253" i="28"/>
  <c r="B252" i="28"/>
  <c r="B251" i="28"/>
  <c r="B250" i="28"/>
  <c r="B249" i="28"/>
  <c r="B248" i="28"/>
  <c r="B247" i="28"/>
  <c r="B246" i="28"/>
  <c r="B245" i="28"/>
  <c r="B244" i="28"/>
  <c r="B243" i="28"/>
  <c r="B242" i="28"/>
  <c r="B241" i="28"/>
  <c r="B240" i="28"/>
  <c r="B239" i="28"/>
  <c r="B238" i="28"/>
  <c r="B237" i="28"/>
  <c r="B236" i="28"/>
  <c r="B235" i="28"/>
  <c r="B234" i="28"/>
  <c r="B233" i="28"/>
  <c r="B232" i="28"/>
  <c r="B231" i="28"/>
  <c r="B230" i="28"/>
  <c r="B229" i="28"/>
  <c r="B228" i="28"/>
  <c r="B227" i="28"/>
  <c r="B226" i="28"/>
  <c r="B225" i="28"/>
  <c r="B224" i="28"/>
  <c r="B223" i="28"/>
  <c r="B222" i="28"/>
  <c r="B221" i="28"/>
  <c r="B220" i="28"/>
  <c r="B219" i="28"/>
  <c r="B218" i="28"/>
  <c r="B217" i="28"/>
  <c r="B216" i="28"/>
  <c r="B215" i="28"/>
  <c r="B214" i="28"/>
  <c r="B213" i="28"/>
  <c r="B212" i="28"/>
  <c r="B211" i="28"/>
  <c r="B210" i="28"/>
  <c r="B209" i="28"/>
  <c r="B208" i="28"/>
  <c r="B207" i="28"/>
  <c r="B206" i="28"/>
  <c r="B205" i="28"/>
  <c r="B204" i="28"/>
  <c r="B203" i="28"/>
  <c r="B202" i="28"/>
  <c r="B201" i="28"/>
  <c r="B200" i="28"/>
  <c r="B199" i="28"/>
  <c r="B198" i="28"/>
  <c r="B197" i="28"/>
  <c r="B196" i="28"/>
  <c r="B195" i="28"/>
  <c r="B194" i="28"/>
  <c r="B193" i="28"/>
  <c r="B192" i="28"/>
  <c r="B191" i="28"/>
  <c r="B190" i="28"/>
  <c r="B189" i="28"/>
  <c r="B188" i="28"/>
  <c r="B187" i="28"/>
  <c r="B186" i="28"/>
  <c r="B185" i="28"/>
  <c r="B184" i="28"/>
  <c r="B183" i="28"/>
  <c r="B182" i="28"/>
  <c r="B181" i="28"/>
  <c r="B180" i="28"/>
  <c r="B179" i="28"/>
  <c r="B178" i="28"/>
  <c r="B177" i="28"/>
  <c r="B176" i="28"/>
  <c r="B175" i="28"/>
  <c r="B174" i="28"/>
  <c r="B173" i="28"/>
  <c r="B172" i="28"/>
  <c r="B171" i="28"/>
  <c r="B170" i="28"/>
  <c r="B169" i="28"/>
  <c r="B168" i="28"/>
  <c r="B167" i="28"/>
  <c r="B166" i="28"/>
  <c r="B165" i="28"/>
  <c r="B164" i="28"/>
  <c r="B163" i="28"/>
  <c r="B162" i="28"/>
  <c r="B161" i="28"/>
  <c r="B160" i="28"/>
  <c r="B159" i="28"/>
  <c r="B158" i="28"/>
  <c r="B157" i="28"/>
  <c r="B156" i="28"/>
  <c r="B155" i="28"/>
  <c r="B154" i="28"/>
  <c r="B153" i="28"/>
  <c r="B152" i="28"/>
  <c r="B151" i="28"/>
  <c r="B150" i="28"/>
  <c r="B149" i="28"/>
  <c r="B148" i="28"/>
  <c r="B147" i="28"/>
  <c r="B146" i="28"/>
  <c r="B145" i="28"/>
  <c r="B144" i="28"/>
  <c r="B143" i="28"/>
  <c r="B142" i="28"/>
  <c r="B141" i="28"/>
  <c r="B140" i="28"/>
  <c r="B139" i="28"/>
  <c r="B138" i="28"/>
  <c r="B137" i="28"/>
  <c r="B136" i="28"/>
  <c r="B135" i="28"/>
  <c r="B134" i="28"/>
  <c r="B133" i="28"/>
  <c r="B132" i="28"/>
  <c r="B131" i="28"/>
  <c r="B130" i="28"/>
  <c r="B129" i="28"/>
  <c r="B128" i="28"/>
  <c r="B127" i="28"/>
  <c r="B126" i="28"/>
  <c r="B125" i="28"/>
  <c r="B124" i="28"/>
  <c r="B123" i="28"/>
  <c r="B122" i="28"/>
  <c r="B121" i="28"/>
  <c r="B120" i="28"/>
  <c r="B119" i="28"/>
  <c r="B118" i="28"/>
  <c r="B117" i="28"/>
  <c r="B116" i="28"/>
  <c r="B115" i="28"/>
  <c r="B114" i="28"/>
  <c r="B113" i="28"/>
  <c r="B112" i="28"/>
  <c r="B111" i="28"/>
  <c r="B110" i="28"/>
  <c r="B109" i="28"/>
  <c r="B108" i="28"/>
  <c r="B107" i="28"/>
  <c r="B106" i="28"/>
  <c r="B105" i="28"/>
  <c r="B104" i="28"/>
  <c r="B103" i="28"/>
  <c r="B102" i="28"/>
  <c r="B101" i="28"/>
  <c r="B100" i="28"/>
  <c r="B99" i="28"/>
  <c r="B98" i="28"/>
  <c r="B97" i="28"/>
  <c r="B96" i="28"/>
  <c r="B95" i="28"/>
  <c r="B94" i="28"/>
  <c r="B93" i="28"/>
  <c r="B92" i="28"/>
  <c r="B91" i="28"/>
  <c r="B90" i="28"/>
  <c r="B89" i="28"/>
  <c r="B88" i="28"/>
  <c r="B87" i="28"/>
  <c r="B86" i="28"/>
  <c r="B85" i="28"/>
  <c r="B84" i="28"/>
  <c r="B83" i="28"/>
  <c r="B82" i="28"/>
  <c r="B81" i="28"/>
  <c r="B80" i="28"/>
  <c r="B79" i="28"/>
  <c r="B78" i="28"/>
  <c r="B77" i="28"/>
  <c r="B76" i="28"/>
  <c r="B75" i="28"/>
  <c r="B74" i="28"/>
  <c r="B73" i="28"/>
  <c r="B72" i="28"/>
  <c r="B71" i="28"/>
  <c r="B70" i="28"/>
  <c r="B69" i="28"/>
  <c r="B68" i="28"/>
  <c r="B67" i="28"/>
  <c r="B66" i="28"/>
  <c r="B65" i="28"/>
  <c r="B64" i="28"/>
  <c r="B63" i="28"/>
  <c r="B62" i="28"/>
  <c r="B61" i="28"/>
  <c r="B60" i="28"/>
  <c r="B59" i="28"/>
  <c r="B58" i="28"/>
  <c r="B57" i="28"/>
  <c r="B56" i="28"/>
  <c r="B55" i="28"/>
  <c r="B54" i="28"/>
  <c r="B53" i="28"/>
  <c r="B52" i="28"/>
  <c r="B51" i="28"/>
  <c r="B50" i="28"/>
  <c r="B49" i="28"/>
  <c r="B48" i="28"/>
  <c r="B47" i="28"/>
  <c r="B46" i="28"/>
  <c r="B45" i="28"/>
  <c r="B44" i="28"/>
  <c r="B43" i="28"/>
  <c r="B42" i="28"/>
  <c r="B41" i="28"/>
  <c r="B40" i="28"/>
  <c r="B39" i="28"/>
  <c r="B38" i="28"/>
  <c r="B37" i="28"/>
  <c r="B36" i="28"/>
  <c r="B35" i="28"/>
  <c r="B34" i="28"/>
  <c r="B33" i="28"/>
  <c r="B32" i="28"/>
  <c r="B31" i="28"/>
  <c r="B30" i="28"/>
  <c r="B29" i="28"/>
  <c r="B28" i="28"/>
  <c r="B27" i="28"/>
  <c r="B26" i="28"/>
  <c r="B25" i="28"/>
  <c r="B24" i="28"/>
  <c r="B23" i="28"/>
  <c r="B22" i="28"/>
  <c r="B21" i="28"/>
  <c r="B20" i="28"/>
  <c r="B19" i="28"/>
  <c r="B18" i="28"/>
  <c r="B17" i="28"/>
  <c r="B16" i="28"/>
  <c r="B15" i="28"/>
  <c r="B14" i="28"/>
  <c r="B13" i="28"/>
  <c r="B12" i="28"/>
  <c r="B11" i="28"/>
  <c r="B10" i="28"/>
  <c r="B9" i="28"/>
  <c r="B8" i="28"/>
  <c r="B7" i="28"/>
  <c r="B6" i="28"/>
  <c r="B5" i="28"/>
  <c r="B4" i="28"/>
  <c r="B3" i="28"/>
  <c r="B2" i="28"/>
  <c r="F10" i="27"/>
  <c r="E10" i="27"/>
  <c r="D10" i="27"/>
</calcChain>
</file>

<file path=xl/sharedStrings.xml><?xml version="1.0" encoding="utf-8"?>
<sst xmlns="http://schemas.openxmlformats.org/spreadsheetml/2006/main" count="115846" uniqueCount="7524">
  <si>
    <t>Items</t>
  </si>
  <si>
    <t>Description</t>
  </si>
  <si>
    <t>Sheets</t>
  </si>
  <si>
    <t>describe deviation</t>
  </si>
  <si>
    <t>implications</t>
  </si>
  <si>
    <t>mitigation</t>
  </si>
  <si>
    <t>Contacts (Name &amp; email address)</t>
  </si>
  <si>
    <t>R_file_directory</t>
  </si>
  <si>
    <t>Mapping of R script folders and files</t>
  </si>
  <si>
    <t>Sampling</t>
  </si>
  <si>
    <t>Sampling and methodology</t>
  </si>
  <si>
    <t>Main limitations</t>
  </si>
  <si>
    <t>Methodology &amp; Sampling strategy</t>
  </si>
  <si>
    <t>Project background &amp; rationale</t>
  </si>
  <si>
    <t>Data collection period</t>
  </si>
  <si>
    <t>Geographic coverage &amp; Population of interest</t>
  </si>
  <si>
    <t>Research questions</t>
  </si>
  <si>
    <t>Total number of interviews &amp; Unit of analysis</t>
  </si>
  <si>
    <t>Weights on results (if applicable)</t>
  </si>
  <si>
    <t>Deviations_from_ToR</t>
  </si>
  <si>
    <t>This tab is providing information regarding the deviation of the methodology from the ToR. Information about the type of deviation, the implication of this deviation for the analysis and more generaly the findings, and the mitigation measures taken are provided. Most common deviations include: change of access in some territories of the assessment; inability to follow the initial strategy, etc.</t>
  </si>
  <si>
    <t>Extended_DAP</t>
  </si>
  <si>
    <t>Original, validated Data Analysis Plan with all relevant modifications highlighted and explained</t>
  </si>
  <si>
    <t>File directory</t>
  </si>
  <si>
    <t>data</t>
  </si>
  <si>
    <t>output</t>
  </si>
  <si>
    <t>resources</t>
  </si>
  <si>
    <t>src</t>
  </si>
  <si>
    <t>Added</t>
  </si>
  <si>
    <t>Removed</t>
  </si>
  <si>
    <t>Other</t>
  </si>
  <si>
    <t>Strata</t>
  </si>
  <si>
    <t>Target</t>
  </si>
  <si>
    <t>Achieved</t>
  </si>
  <si>
    <t>Analysis_variables</t>
  </si>
  <si>
    <t>List of variables created in R for analysis</t>
  </si>
  <si>
    <t>Rationale</t>
  </si>
  <si>
    <t>Kobo related variable_name</t>
  </si>
  <si>
    <t>Created variable_name in R</t>
  </si>
  <si>
    <t>run_analysis.R</t>
  </si>
  <si>
    <t>analysis_tabular.R</t>
  </si>
  <si>
    <t>script for running the main R markdown script</t>
  </si>
  <si>
    <t>script for running the main analysis</t>
  </si>
  <si>
    <r>
      <t xml:space="preserve">contains all the necessary R scripts used in analysis. </t>
    </r>
    <r>
      <rPr>
        <b/>
        <sz val="11"/>
        <color theme="1"/>
        <rFont val="Calibri"/>
        <family val="2"/>
        <scheme val="minor"/>
      </rPr>
      <t>format_dataset.R</t>
    </r>
    <r>
      <rPr>
        <sz val="11"/>
        <color theme="1"/>
        <rFont val="Calibri"/>
        <family val="2"/>
        <charset val="238"/>
        <scheme val="minor"/>
      </rPr>
      <t xml:space="preserve"> contains all newly created variables for disaggregation</t>
    </r>
  </si>
  <si>
    <t>contains the Kobo tool and DAF used as input for the script</t>
  </si>
  <si>
    <t>contains all script output files, html and xls</t>
  </si>
  <si>
    <r>
      <t xml:space="preserve">contains the </t>
    </r>
    <r>
      <rPr>
        <b/>
        <sz val="11"/>
        <color theme="1"/>
        <rFont val="Calibri"/>
        <family val="2"/>
        <scheme val="minor"/>
      </rPr>
      <t xml:space="preserve">cleaned dataset </t>
    </r>
    <r>
      <rPr>
        <sz val="11"/>
        <color theme="1"/>
        <rFont val="Calibri"/>
        <family val="2"/>
        <scheme val="minor"/>
      </rPr>
      <t>used as input to the script</t>
    </r>
  </si>
  <si>
    <t>Table_of_contents_BNF</t>
  </si>
  <si>
    <t>Data_Analysis_BNF</t>
  </si>
  <si>
    <t>Analysis script output: List of indicators with hyperlinks for beneficiary dataset</t>
  </si>
  <si>
    <t>Analysis script output: Analysis tables for all indicators for beneficiary dataset</t>
  </si>
  <si>
    <t>Analysis script output: List of indicators with hyperlinks for non-beneficiary dataset</t>
  </si>
  <si>
    <t>Analysis script output: Analysis tables for all indicators for non-beneficiary dataset</t>
  </si>
  <si>
    <t>Table_of_contents_nonBNF</t>
  </si>
  <si>
    <t>Data_Analysis_nonBNF</t>
  </si>
  <si>
    <t>Clean_data_main_level</t>
  </si>
  <si>
    <t>Clean_data_BNF</t>
  </si>
  <si>
    <t>Anonymised clean data at household level, metadata</t>
  </si>
  <si>
    <t>Anonymised clean data at household level for beneficiaries</t>
  </si>
  <si>
    <t>Clean_data_nonBNF</t>
  </si>
  <si>
    <t>Anonymised clean data at household level for non-beneficiaries</t>
  </si>
  <si>
    <t>22/01/2025 to 07/02/2025</t>
  </si>
  <si>
    <t>NA</t>
  </si>
  <si>
    <t>Sampling framework, outlined in ToR and sampling tab, was not fully observed due to the unpredictablity of consent-form dissemination.</t>
  </si>
  <si>
    <t xml:space="preserve">Deviation in sampling will be mentioned in outputs. </t>
  </si>
  <si>
    <t>Beneficiary status</t>
  </si>
  <si>
    <t>Type of HH</t>
  </si>
  <si>
    <t>Estimated population size</t>
  </si>
  <si>
    <t>Beneficiary</t>
  </si>
  <si>
    <t>Refugee</t>
  </si>
  <si>
    <t>Rural</t>
  </si>
  <si>
    <t>Urban</t>
  </si>
  <si>
    <t>Moldovan</t>
  </si>
  <si>
    <t>Non-beneficiary</t>
  </si>
  <si>
    <t>Total</t>
  </si>
  <si>
    <t>Less surveys than originally targeted were conducted in rural areas. Additionally, less surveys than originally targeted were conducted with refugee HHs and more were conducted with Moldovan HHs.</t>
  </si>
  <si>
    <t>IN #</t>
  </si>
  <si>
    <t>Population of interest</t>
  </si>
  <si>
    <t>Data collection method</t>
  </si>
  <si>
    <t>Indicator group / sector</t>
  </si>
  <si>
    <t>Indicator / Variable</t>
  </si>
  <si>
    <t>Questionnaire Question English</t>
  </si>
  <si>
    <t>Questionnaire Question Romanian</t>
  </si>
  <si>
    <t>Questionnaire Question Russian</t>
  </si>
  <si>
    <t>Hints English</t>
  </si>
  <si>
    <t>Hints Romanian</t>
  </si>
  <si>
    <t>Hints Russian</t>
  </si>
  <si>
    <t>Instructions</t>
  </si>
  <si>
    <t>Questionnaire Responses English</t>
  </si>
  <si>
    <t>Questionnaire Responses Romanian</t>
  </si>
  <si>
    <t>Questionnaire Responses Russian</t>
  </si>
  <si>
    <t>Skip logic</t>
  </si>
  <si>
    <t>Constraints</t>
  </si>
  <si>
    <t>Data collection level</t>
  </si>
  <si>
    <t>Disaggregation variable(s)</t>
  </si>
  <si>
    <t xml:space="preserve">Maps planned? </t>
  </si>
  <si>
    <t>Metadata</t>
  </si>
  <si>
    <t>0.1.</t>
  </si>
  <si>
    <t>BNF &amp; Non-BNF</t>
  </si>
  <si>
    <t>HH interview</t>
  </si>
  <si>
    <t>Enumerator ID</t>
  </si>
  <si>
    <t>Please select your enumerator ID</t>
  </si>
  <si>
    <t>Vă rugăm să selectați ID-ul Dumneavoastră de enumerator:</t>
  </si>
  <si>
    <t>Пожалуйста, выберите свой ID-енумератора:</t>
  </si>
  <si>
    <t>select one</t>
  </si>
  <si>
    <t>[list of enumerator codes]</t>
  </si>
  <si>
    <t>Household</t>
  </si>
  <si>
    <r>
      <rPr>
        <b/>
        <sz val="10"/>
        <rFont val="Arial Narrow"/>
        <family val="2"/>
      </rPr>
      <t>BNF</t>
    </r>
    <r>
      <rPr>
        <sz val="10"/>
        <rFont val="Arial Narrow"/>
        <family val="2"/>
      </rPr>
      <t xml:space="preserve"> - Purposive sampling
</t>
    </r>
    <r>
      <rPr>
        <b/>
        <sz val="10"/>
        <rFont val="Arial Narrow"/>
        <family val="2"/>
      </rPr>
      <t>Non-BNF</t>
    </r>
    <r>
      <rPr>
        <sz val="10"/>
        <rFont val="Arial Narrow"/>
        <family val="2"/>
      </rPr>
      <t xml:space="preserve"> - Purposive sampling</t>
    </r>
  </si>
  <si>
    <t>Type of household (Moldovan, refugee), type of settlement (rural, urban), primary heating system, household composition</t>
  </si>
  <si>
    <t>No</t>
  </si>
  <si>
    <t>0.2.</t>
  </si>
  <si>
    <t>Contact method</t>
  </si>
  <si>
    <t>How did you contact the respondent?</t>
  </si>
  <si>
    <t>Cum ați contactat respondentul?</t>
  </si>
  <si>
    <t>Как вы связались с респондентом?</t>
  </si>
  <si>
    <t>By phone (previously registered)
Interviewed directly in field</t>
  </si>
  <si>
    <t>Prin telefon (înregistrat anterior)
Intervievat(ă) direct în teren</t>
  </si>
  <si>
    <t>По телефону (предварительно зарегистрировавшись)
Опрошены непосредственно в полевых условиях</t>
  </si>
  <si>
    <t>Introduction</t>
  </si>
  <si>
    <t>Hello! My name is [enumerator name] and I am working for REACH Initiative, a humanitarian research organisation in Moldova. We are currently interviewing households in Moldova for an assessment on the access to and impact on households of the Energy Vulnerability Reduction Fund (EVRF) energy compensation programme ("Ajutor la contor"). The collected information will be used to inform national and humanitarian actors on how they can better support Moldovan and refugee households during the winter period.
During the interview, we will ask you some questions about you and your household, such as age, gender, and your average income and expenses. This will help us understand the experience of you and your household this winter season. We will not collect any direct indentifiable information like names, ID numbers, or contact details. Any personal data disclosed during the interview will not be recorded or retained. You and your household's personal details will remain anonymous and confidential; only a summary of the responses will be shared with humanitarian organisations and national authorities in the final report.
Your participation and the information you provide will NOT affect your application or status as a beneficiary of the EVRF energy compensation. The interview will take approximately 20 minutes, and you can interrupt and stop it at any time. If you prefer not to answer a specific question, just let me know and we will skip it. If you have any questions about this research, feel free to ask me now or during the interview.
This is a household survey, meaning that we will ask questions about you and the people that you share your home with. Specifically, the term **"household"** is be defined as you and all individuals, including your family or close acquaintances, who are currently living with you and share key resources and expenses beyond rent. Family units that use a common meter but do not live in the same accommodation are not considered to be within the same household.</t>
  </si>
  <si>
    <t>Vă salut! Numele meu este ${enum_name} și lucrez pentru REACH Initiative, o organizație de cercetare umanitară în Moldova. În prezent intervievăm gospodării din Moldova pentru o evaluare privind accesul la Programul de compensații energetice ("Ajutor la contor") al Fondului de Reducere a Vulnerabilității Energetice (EVRF) și impactul programului asupra gospodăriilor. Informațiile colectate vor fi utilizate pentru a informa actorii naționali și umanitari despre modul în care pot sprijini mai bine gospodăriile moldovenești și familiile refugiaților în perioada de iarnă.
În timpul interviului, Vă vom adresa câteva întrebări despre Dumneavoastră și gospodăria dumneavoastră, precum vârsta, sexul, venitul și cheltuielile medii. Acest lucru ne va ajuta să înțelegem experiența Dumneavoastră și a gospodăriei în această perioadă de iarnă. Nu vom colecta informații direct identificabile, cum ar fi numele, numerele de identificare sau datele de contact. Orice date personale dezvăluite în timpul interviului nu vor fi înregistrate sau păstrate. Detaliile despre Dumneavoastră și despre gospodărie vor rămâne anonime și confidențiale; doar un rezumat al răspunsurilor va fi împărtășit organizațiilor umanitare și autorităților naționale în raportul final.
Participarea Dumneavoastră și informațiile oferite NU vor afecta aplicația sau statutul Dumneavoastră ca beneficiar al compensațiilor energetice EVRF. Interviul va dura aproximativ 20 de minute, iar Dumneavoastră puteți întrerupe și opri interviul în orice moment. Dacă preferați să nu răspundeți la o anumită întrebare, Vă rugăm să ne anunțați, iar noi o vom ignora. Dacă aveți întrebări despre această cercetare, nu ezitați să întrebați acum sau pe parcursul interviului.
Acesta este un sondaj la nivel de gospodărie, ceea ce înseamnă că vom pune întrebări despre Dumneavoastră și persoanele cu care locuiți împreună. Mai exact, termenul **„gospodărie”** este definit ca Dumneavoastră și toate persoanele, inclusiv familia sau cunoștințele apropiate care locuiesc în prezent cu Dumneavoastră și împart resursele și cheltuielile principale, pe lângă chirie. Grupurile familiale care folosesc un contor comun, dar nu locuiesc în aceeași locuință, nu sunt considerate ca făcând parte din aceeași gospodărie.</t>
  </si>
  <si>
    <t xml:space="preserve">Здравствуйте! Меня зовут ${enum_name}, и я представляю REACH Initiative, гуманитарную исследовательскую организацию в Молдове. В настоящее время мы проводим опрос домохозяйств в Молдове, чтобы оценить доступ к программе компенсации расходов на энергию Фонда снижения энергетической уязвимости (EVRF) («Ajutor la contor») и её влияние на домохозяйства. Собранная информация будет использована для информирования национальных и гуманитарных организаций о том, как они могут лучше поддерживать молдавские домохозяйства и семьи беженцев в зимний период.
Во время интервью мы зададим вам несколько вопросов о вас и вашем домохозяйстве, таких как возраст, пол, а также ваш средний доход и расходы. Это поможет нам понять ваш опыт и опыт вашего домохозяйства в этот зимний сезон. Мы не будем собирать никакую личную идентифицирующую информацию, такую как имена, номера удостоверений личности или контактные данные. Любые персональные данные, упомянутые во время интервью, не будут записаны или сохранены. Ваша личная информация и информация о вашем домохозяйстве останутся анонимными и конфиденциальными; только обобщённые ответы будут переданы гуманитарным организациям и национальным органам в итоговом отчёте.
Ваше участие и предоставленная информация НИКАК не повлияют на вашу заявку или статус как бенефициара программы компенсации расходов на энергию EVRF. Интервью займёт примерно 20 минут, и вы можете прервать его или остановить в любой момент. Если вы предпочитаете не отвечать на конкретный вопрос, просто сообщите мне, и мы его пропустим. Если у вас есть вопросы об этом исследовании, вы можете задать их сейчас или в ходе интервью.
Это опрос домохозяйств, то есть мы будем задавать вопросы о вас и людях, с которыми вы проживаете. Термин **«домохозяйство»** относится к вам и всем людям, включая членов вашей семьи или близких знакомых, которые на данный момент проживают с вами и делят основные ресурсы и расходы, помимо аренды. Семейные группы, которые используют общий счётчик, но не живут в одном помещении, не считаются частью одного домохозяйства. </t>
  </si>
  <si>
    <t>note</t>
  </si>
  <si>
    <t>0.3.</t>
  </si>
  <si>
    <t>Consent</t>
  </si>
  <si>
    <t>Do you agree to take part in the interview and are you willing and able to respond to the questions on behalf of the household on topics such as household structure, income and expenses?</t>
  </si>
  <si>
    <t>Sunteți de acord să participați la interviu și sunteți dispus(ă) și capabil(ă) să răspundeți la întrebări în numele gospodăriei pe teme precum structura gospodăriei, venituri și cheltuieli?</t>
  </si>
  <si>
    <t>Согласны ли вы принять участие в интервью и готовы ли вы отвечать на вопросы от имени вашего домохозяйства на темы, такие как структура домохозяйства, доходы и расходы?</t>
  </si>
  <si>
    <t>Yes
No</t>
  </si>
  <si>
    <t>Da
Nu</t>
  </si>
  <si>
    <t>Да
Нет</t>
  </si>
  <si>
    <t>End survey - no consent</t>
  </si>
  <si>
    <t>Thank you for your time.</t>
  </si>
  <si>
    <t>Vă mulțumim pentru timpul acordat.</t>
  </si>
  <si>
    <t>Спасибо Вам за уделенное время</t>
  </si>
  <si>
    <t>If IN# 0.3. = 'No'</t>
  </si>
  <si>
    <t>0.4.</t>
  </si>
  <si>
    <t>Demographics</t>
  </si>
  <si>
    <t>% of respondents by age group</t>
  </si>
  <si>
    <t>What is your age?</t>
  </si>
  <si>
    <t>Care este vârsta Dumneavoastră?</t>
  </si>
  <si>
    <t>Сколько Вам лет?</t>
  </si>
  <si>
    <t>enter number</t>
  </si>
  <si>
    <t>&gt; 0 and &lt;= 100</t>
  </si>
  <si>
    <t>Individual</t>
  </si>
  <si>
    <t>Survey eligibility</t>
  </si>
  <si>
    <t>End survey - underage</t>
  </si>
  <si>
    <t>For this survey, respondents need to be aged 18 and above. Thank you for your time.</t>
  </si>
  <si>
    <t>Pentru acest sondaj, respondenții trebuie să aibă vârsta minimă de 18 ani. Vă mulțumim pentru timpul acordat.</t>
  </si>
  <si>
    <t>Для участия в этом опросе респонденты должны быть старше 18 лет. Спасибо за ваше время.</t>
  </si>
  <si>
    <t>If IN# 0.4. &lt; 18</t>
  </si>
  <si>
    <t>0.5.</t>
  </si>
  <si>
    <t>% of HHs by raion</t>
  </si>
  <si>
    <t>In which raion of Moldova do you and your household currently live?</t>
  </si>
  <si>
    <t>În ce raion din Republica Moldova locuiți în prezent Dumneavoastră și familia Dumneavoastră?</t>
  </si>
  <si>
    <t>В каком районе Молдовы вы и ваше домохозяйство проживаете в настоящее время?</t>
  </si>
  <si>
    <t>[list of raions in Moldova]</t>
  </si>
  <si>
    <t>End survey - raion out of scope</t>
  </si>
  <si>
    <t>This survey is intended exclusively for households residing outside of Transnistria, as those in Transnistria are ineligible for the EVRF and therefore beyond the scope of this assessment. Thank you for your time.</t>
  </si>
  <si>
    <t xml:space="preserve">Acest sondaj este destinat exclusiv gospodăriilor care se află în afara Transnistriei, deoarece cele din Transnistria nu sunt eligibile pentru EVRF și, prin urmare, sunt în afara domeniului de aplicare a acestei evaluări. Vă mulțumim pentru timpul acordat.
</t>
  </si>
  <si>
    <t>Этот опрос предназначен исключительно для домохозяйств, проживающих за пределами Приднестровья, так как домохозяйства в Приднестровье не имеют права на участие в программе EVRF и, следовательно, не входят в сферу данного исследования. Спасибо за ваше время.</t>
  </si>
  <si>
    <t>If IN# 0.5. is in Transnistria</t>
  </si>
  <si>
    <t>0.6.</t>
  </si>
  <si>
    <t>% of HHs by settlement</t>
  </si>
  <si>
    <t>In which settlement in [selected raion] do you and your household currently live?</t>
  </si>
  <si>
    <t>În ce localitate din raionul ${raion_name} locuiți în prezent Dumneavoastră și familia Dumneavoastră?</t>
  </si>
  <si>
    <t>В каком населенном пункте района ${raion_name} вы и ваше домохозяйство проживаете в настоящее время?</t>
  </si>
  <si>
    <t>[list of settlements per raion in Moldova]</t>
  </si>
  <si>
    <t>drop-down list based on previously selected raion</t>
  </si>
  <si>
    <t>0.7.</t>
  </si>
  <si>
    <t>Accommodation</t>
  </si>
  <si>
    <t>% of HHs by type of accommodation ownership form</t>
  </si>
  <si>
    <t>Does your household own or rent your accommodation?</t>
  </si>
  <si>
    <t>Gospodăria dumneavoastră deține sau închiriază locuința?</t>
  </si>
  <si>
    <t>Ваше домохозяйство является владельцем или арендатором жилья?</t>
  </si>
  <si>
    <t>Own
Own and live together with tenants
Rent and live separate from the owner/landlord
Rent and live together with the owner/landlord
Hosted by another family (relatives or not) - paying all or some of the utilities
Hosted by another family (relatives or not) - not paying for utilities
I/we live in a Refugee Accommodation Centre (RAC)
I/we live in a student dormitory
Other (please specify)
Prefer not to answer</t>
  </si>
  <si>
    <t>Deține ca proprietate privată
Deține ca proprietate privată și locuiește împreună cu chiriașii
Închiriază și locuiește separat de proprietar/locator
Închiriază și locuiește împreună cu proprietarul/locatorul
Găzduit de o altă familie (rude sau nu) - achită facturile parțial sau în totalitate
Găzduit de o altă familie (rude sau nu) - nu achită facturile
Locuim într-un centru de cazare pentru refugiați (RAC)
Locuim într-un cămin studențesc
Altele (vă rugăm să precizați)
Prefer să nu răspund</t>
  </si>
  <si>
    <t>Владеет собственность
Владеет собственностью и проживает с арендаторами.
Снимает и живет отдельно от владельца/арендодателя
Снимает и живет вместе с владельцем/арендодателем
Принимает другая семья (родственники или нет) - оплачивают счета частично или полностью
Принимает другая семья (родственники или нет) - не оплачивают счета
Я/мы живем в центре размещения беженцев (RAC)
Я/мы живем в студенческом общежитии
Другое (пожалуйста, укажите)
Предпочитаю не отвечать</t>
  </si>
  <si>
    <t>End survey - population of interest</t>
  </si>
  <si>
    <t>**Thank you for your time, however we are only interviewing household which are potentially eligible for the EVRF compensation programme**</t>
  </si>
  <si>
    <t>Vă mulțumim pentru timpul acordat, dar intervievăm doar gospodăriile care sunt potențial eligibile pentru programul de compensare EVRF</t>
  </si>
  <si>
    <t>**Спасибо за уделенное время, однако мы опрашиваем только те домохозяйства, которые потенциально имеют право на участие в программе компенсации EVRF**</t>
  </si>
  <si>
    <t>If IN# 0.7. &lt;&gt; 'I/we live in a Refugee Accommodation Centre (RAC)' or 'I/we live in a student dormitory' or 'Hosted by another family (relatives or not) - not paying for utilities'</t>
  </si>
  <si>
    <t>EVRF definition</t>
  </si>
  <si>
    <t>For the purposes of this interview, the Energy Vulnerability Reduction Fund (EVRF) energy compensation refers to the financial support provided by the Moldovan Government (Ministry of Labour and Social Protection) to reduce the impact of rising energy prices during the winter period on households in Moldova.</t>
  </si>
  <si>
    <t>În cadrul acestui interviu, **Fondul de Reducere a Vulnerabilității Energetice (EVRF)** are în vedere sprijinul financiar oferit de Guvernul Republicii Moldova (Ministerul Muncii și Protecției Sociale) pentru a reduce impactul creșterii prețurilor la energie asupra gospodăriilor din Moldova în perioada de iarnă.</t>
  </si>
  <si>
    <t>В целях данного интервью **Фонд снижения энергетической уязвимости (EVRF)** подразумевает финансовую поддержку, предоставляемую Правительством Молдовы (Министерством труда и социальной защиты) для снижения влияния роста цен на энергоносители в зимний период на домохозяйства в Молдове.</t>
  </si>
  <si>
    <t>0.8.</t>
  </si>
  <si>
    <t>% of HHs receiving energy compensation</t>
  </si>
  <si>
    <t>Is your household currently receiving energy compensation ("Ajutor la contor") from the Moldovan Government (Ministry of Labour and Social Protection)?</t>
  </si>
  <si>
    <t>Gospodăria dumneavoastră primește în prezent compensație energetică („Ajutor la contor”) de la Guvernul Republicii Moldova (Ministerul Muncii și Protecției Sociale)?</t>
  </si>
  <si>
    <t>Ваше домохозяйство в настоящее время получает компенсацию за энергию («Ajutor la contor») от Правительства Молдовы (Министерства труда и социальной защиты)?</t>
  </si>
  <si>
    <t>Yes</t>
  </si>
  <si>
    <t>0.9.</t>
  </si>
  <si>
    <t>BNF</t>
  </si>
  <si>
    <t>% of beneficiary HHs, by month</t>
  </si>
  <si>
    <t>When did your household receive the first payment for this year’s compensation programme?</t>
  </si>
  <si>
    <t>Când a primit gospodăria Dumneavoastră prima plată din cadrul programului de compensații pentru acest an?</t>
  </si>
  <si>
    <t xml:space="preserve">Когда ваше домохозяйство получило первый платеж по программе компенсации за этот год?
</t>
  </si>
  <si>
    <t>Please select the month they received the cash transfer in</t>
  </si>
  <si>
    <t>Te rog să selectezi luna în care au primit transferul bănesc.</t>
  </si>
  <si>
    <t>Пожалуйста, укажите месяц, в котором вы или ваше домохозяйство получили денежный перевод.</t>
  </si>
  <si>
    <t>December
January</t>
  </si>
  <si>
    <t>Decembrie
Ianuarie</t>
  </si>
  <si>
    <t>Декабрь
Январь</t>
  </si>
  <si>
    <t>If IN# 0.8. = 'Yes'</t>
  </si>
  <si>
    <t>End survey - date of compensation out of scope</t>
  </si>
  <si>
    <t>This survey is meant only for households that have received the EVRF energy compensation for both the months of November and December. Thank you for your time.</t>
  </si>
  <si>
    <t>**Acest sondaj este destinat doar gospodăriilor care au primit compensația energetică EVRF pentru lunile noiembrie și decembrie. Vă mulțumim pentru timpul acordat.**</t>
  </si>
  <si>
    <t>**Этот опрос предназначен только для домохозяйств, которые получили компенсацию по программе EVRF за оба месяца — ноябрь и декабрь. Спасибо за ваше время.**</t>
  </si>
  <si>
    <t>If IN# 0.9. = 'January'</t>
  </si>
  <si>
    <t>0.10.</t>
  </si>
  <si>
    <t>% of respondents by gender</t>
  </si>
  <si>
    <t>What is your gender?</t>
  </si>
  <si>
    <t>Care este sexul Dumneavoastră?</t>
  </si>
  <si>
    <t>Какого Вы пола?</t>
  </si>
  <si>
    <t>Male
Female
Other</t>
  </si>
  <si>
    <t>Masculin
Feminin
Altul</t>
  </si>
  <si>
    <t>Мужской
Женский
Другой</t>
  </si>
  <si>
    <t>0.11.</t>
  </si>
  <si>
    <t>% of respondents by legal status</t>
  </si>
  <si>
    <t>What is your current legal status in Moldova?</t>
  </si>
  <si>
    <t>Care este statutul Dumneavoastră legal actual în Republica Moldova?</t>
  </si>
  <si>
    <t>Каков ваш текущий правовой статус в Молдове?</t>
  </si>
  <si>
    <t>Moldovan citizenship
Temporary Protection
Refugee status
Humanitarian Protection
Asylum seeker
Temporary residency
Permanent residency
Work Permit
Student Visa
Diplomat or foreign official
Tourist visa/entry pass
Transit visa/pass
No legal status
Other (please specify)
Prefer not to answer</t>
  </si>
  <si>
    <t>Cetățenie moldovenească
Protecție temporară
Statut de refugiat(ă)
Protecție umanitară
Solicitant(ă) de azil
Rezidență temporară
Rezidență permanentă
Permis de muncă
Viză de student
Diplomat(ă) sau reprezentant(ă) străin(ă)
Viză/permis de turist(ă)
Viză/permis de tranzit
Fără statut juridic
Altele (vă rugăm să precizați)
Prefer să nu răspund</t>
  </si>
  <si>
    <t>Молдавское гражданство
Временная защита
Статус беженца
Гуманитарная защита
Проситель убежища
Временное проживание
Постоянный вид на жительство
Разрешение на работу
Студенческая виза
Дипломат или иностранный представитель
Туристическая виза/пропуск
Транзитная виза/пропуск
Нет юридического статуса
Другое (пожалуйста, укажите)
Предпочитаю не отвечать</t>
  </si>
  <si>
    <t>0.12.</t>
  </si>
  <si>
    <t>% of refugee respondents</t>
  </si>
  <si>
    <t>Were you displaced to Moldova from Ukraine following the escalation of the conflict there on 24 February 2022?</t>
  </si>
  <si>
    <t>Ați fost strămutat(ă) în Republica Moldova din Ucraina în urma escaladării conflictului de acolo din 24 februarie 2022?</t>
  </si>
  <si>
    <t>Вы переехали в Молдову из Украины после эскалации конфликта 24 февраля 2022 года?</t>
  </si>
  <si>
    <t>This survey is meant for Moldovan host community or Ukrainian refugee households who can benefit from the energy compensation programme.</t>
  </si>
  <si>
    <t>**Acest sondaj este destinat gospodăriilor din comunitatea-gazdă moldovenească sau gospodăriilor refugiaților ucraineni care pot beneficia de programul de compensații energetice.**</t>
  </si>
  <si>
    <t>**Этот опрос предназначен для домохозяйств молдавского принимающего сообщества или украинских беженцев, которые могут получить выгоду от программы компенсации за энергию.**</t>
  </si>
  <si>
    <t>If IN# 0.11. is different from 'Moldovan citizenship' and IN# 0.12. = 'No'</t>
  </si>
  <si>
    <t>0.13.</t>
  </si>
  <si>
    <t>Non-BNF</t>
  </si>
  <si>
    <t>% of respondents by duration of stay in Moldova</t>
  </si>
  <si>
    <t>Have you lived in Moldova for at least 8 months within the past 12 months?</t>
  </si>
  <si>
    <t>Ați locuit în Republica Moldova cel puțin 8 luni în ultimele 12 luni?</t>
  </si>
  <si>
    <t>Проживали ли вы в Молдове не менее 8 месяцев в течение последних 12 месяцев?</t>
  </si>
  <si>
    <t>0.14.</t>
  </si>
  <si>
    <t>% of HHs by household size</t>
  </si>
  <si>
    <t>How many people, including yourself, live in your household?</t>
  </si>
  <si>
    <t>Câte persoane, inclusiv Dumneavoastră, locuiesc în gospodăria Dumneavoastră?</t>
  </si>
  <si>
    <t>Сколько человек, включая вас, проживает в вашем домохозяйстве?</t>
  </si>
  <si>
    <t xml:space="preserve"> The term **"household"** is be defined as you and all individuals, including your family or close acquaintances, who are currently living with you and share key resources and expenses beyond rent. Family units that use a common meter but do not live in the same accommodation are not considered to be within the same household.</t>
  </si>
  <si>
    <t>Termenul **„gospodărie”** se definește ca fiind tu și toate persoanele, inclusiv familia sau cunoștințele apropiate, care locuiesc în prezent cu tine și împart resurse și cheltuieli esențiale, pe lângă chirie. Unitățile de familie care folosesc un contor comun, dar nu locuiesc în aceeași locuință, nu sunt considerate a face parte din aceeași gospodărie.</t>
  </si>
  <si>
    <t>Термин **"домохозяйство"** определяется как вы и все лица, включая вашу семью или близких знакомых, которые в настоящее время живут с вами и делят основные ресурсы и расходы, помимо аренды. Члены семьи, которые пользуются общим счетчиком, но не живут в одном помещении, не считаются членами одной семьи.</t>
  </si>
  <si>
    <t>&gt;= 1 and &lt;= 20 or = 999</t>
  </si>
  <si>
    <t>0.15.</t>
  </si>
  <si>
    <t>% of HHs by household type (all Moldovan, all refugee, or mixed HHs)</t>
  </si>
  <si>
    <t>Were any of your other household members displaced to Moldova from Ukraine after the escalation of the conflict on 24 February 2022?</t>
  </si>
  <si>
    <t>Au fost și alți membri ai gospodăriei Dumneavoastră strămutați în Republica Moldova din Ucraina după escaladarea conflictului din 24 februarie 2022?</t>
  </si>
  <si>
    <t>Были ли другие члены вашего домохозяйства, которые перехали в Молдову из Украины после эскалации конфликта 24 февраля 2022 года?</t>
  </si>
  <si>
    <t>Yes, all of them
Yes, some of them
No, child born in Moldova after 24 February 2022
No</t>
  </si>
  <si>
    <t>Da, toți
Da, unii dintre ei
Nu, copil născut în Moldova după 24 februarie 2022
Nu</t>
  </si>
  <si>
    <t>Да, все из них
Да, некоторые из них
Нет, ребенок, родился в Молдове после 24 февраля 2022 года
Нет</t>
  </si>
  <si>
    <t>If IN# 0.14. &gt; 1 and &lt;&gt; 999</t>
  </si>
  <si>
    <t>0.16.</t>
  </si>
  <si>
    <t>% of HHs by presence of vulnerable groups</t>
  </si>
  <si>
    <t>Do you or anyone else in your household meet the following criteria?</t>
  </si>
  <si>
    <t>Dumneavoastră sau altcineva din gospodăria dumneavoastră îndepliniți următoarele criterii?</t>
  </si>
  <si>
    <t>Вы или кто-либо из вашего домохозяйства соответствуете следующим критериям?</t>
  </si>
  <si>
    <t>Please read all answer options out loud to the respondent and tell the respondent they should indicate ALL categories present in their household. Select multiple options if one person in their household applies to more than one category.</t>
  </si>
  <si>
    <t>Te rog să citești cu voce tare toate opțiunile de răspuns pentru respondent și să îi spui acestuia că trebuie să indice TOATE categoriile care se regăsesc în gospodăria sa. Selectează mai multe opțiuni dacă o persoană din gospodărie se încadrează în mai multe categorii.</t>
  </si>
  <si>
    <t>Пожалуйста, прочитайте вслух все варианты ответов респонденту и скажите, что они должны указать ВСЕ категории, которые присутствуют в их домохозяйстве. Выберите несколько вариантов, если один человек в их домохозяйстве относится к более чем одной категории.</t>
  </si>
  <si>
    <t>select multiple</t>
  </si>
  <si>
    <t>Pregnant / breastfeeding women
Children (&lt;18)
Older people (60+)
People with disability
People with a chronic illness
Single adult/parent with dependants
No
Prefer not to answer</t>
  </si>
  <si>
    <t>Femei însărcinate/care alăptează
Copii (&lt;18 ani)
Persoane în vârstă (60+)
Persoane cu dizabilități
Persoane cu boli cronice
Adult singur/părinte cu persoane în întreținere
Nu
Prefer să nu răspund</t>
  </si>
  <si>
    <t>Беременные / кормящие женщины
Дети (&lt;18)
Пожилые люди (60+)
Люди с ограниченными возможностями
Люди с хроническими заболеваниями
Одинокий взрослый/родитель с иждивенцами
Нет
Предпочитаю не отвечать</t>
  </si>
  <si>
    <t>* if HH size = 1 and respondent is male, or female over 55, cannot select 'pregnant/breastfeeding women'
* if HH size = 1, cannot select 'children'
* if HH size = 1 and respondent age &gt;=60, should select 'older people'
* if HH size = 2 and 'children' selected, should select 'single adult/parent with dependants'
* cannot select 'No' or 'Prefer not to answer' with any other option</t>
  </si>
  <si>
    <t>0.17.</t>
  </si>
  <si>
    <t>% of HHs with children</t>
  </si>
  <si>
    <t>How many members of your household are younger than 18 years of age?</t>
  </si>
  <si>
    <t>Câți membri ai gospodăriei dumneavoastră au vârsta mai mică de 18 ani?</t>
  </si>
  <si>
    <t>Сколько членов вашего домохозяйства младше 18 лет?</t>
  </si>
  <si>
    <t>If IN# 0.16. = 'Children' and IN# 0.14. &lt;&gt; 999</t>
  </si>
  <si>
    <t>&gt; 0 and &lt; HH size  or = 999</t>
  </si>
  <si>
    <t>0.18.</t>
  </si>
  <si>
    <t>% of HHs with older people</t>
  </si>
  <si>
    <t>How many members of your household, including yourself, are aged 60 and above?</t>
  </si>
  <si>
    <t>Câți membri ai gospodăriei dumneavoastră, inclusiv Dumneavoastră, au vârsta de 60 de ani sau mai mult?</t>
  </si>
  <si>
    <t>Сколько членов вашего домохозяйства, включая вас, старше 60 лет?</t>
  </si>
  <si>
    <t>If IN# 0.16. = 'Older people' and IN# 0.14. &lt;&gt; 999</t>
  </si>
  <si>
    <t>if respondent age &gt;= 60, default set to 1;  &gt; 0 and &lt;= HH size  or = 999</t>
  </si>
  <si>
    <t>% of HHs with at least 1 member with seeing disability level 3 per WGSS guidance</t>
  </si>
  <si>
    <t>The next questions ask about difficulties you or anyone in your household may have doing certain activities.</t>
  </si>
  <si>
    <t>**Următoarele întrebări se referă la dificultățile pe care Dumneavoastră sau altcineva din gospodăria dumneavoastră le-ați putea întâmpina în realizarea anumitor activități.**</t>
  </si>
  <si>
    <t>**Следующие вопросы касаются трудностей, с которыми вы или кто-либо из вашего домохозяйства может столкнуться при выполнении определенных действий.**</t>
  </si>
  <si>
    <t>Note</t>
  </si>
  <si>
    <t>0.19.</t>
  </si>
  <si>
    <t>Do you or anyone from your household have difficulty seeing, even if wearing glasses?</t>
  </si>
  <si>
    <t>Dumneavoastră sau cineva din gospodăria dumneavoastră întâmpinați dificultăți legate cu vederea, chiar și purtând ochelari?</t>
  </si>
  <si>
    <t>Есть ли у вас или у кого-либо из вашего домохозяйства трудности со зрением, даже при ношении очков?</t>
  </si>
  <si>
    <t>Please read all response categories and select the highest level of difficulty present in the HH</t>
  </si>
  <si>
    <t>Te rog să citești toate categoriile de răspuns și să selectezi cel mai înalt nivel de dificultate prezent în gospodărie.</t>
  </si>
  <si>
    <t>Пожалуйста, прочитайте все категории ответов и выберите наивысший уровень сложности, который присутствует в домохозяйстве.</t>
  </si>
  <si>
    <t>No difficulty
Some difficulty
A lot of difficulty
Cannot do at all
Do not know
Prefer not to answer</t>
  </si>
  <si>
    <t>Nicio dificultate
Unele dificultăți
Foarte multe dificultăți
Nu poate deloc
Nu știu
Prefer să nu răspund</t>
  </si>
  <si>
    <t>Никаких трудностей
Некоторые трудности
Большие трудности
Совсем не получается
Не знаю
Предпочитаю не отвечать</t>
  </si>
  <si>
    <t>0.20.</t>
  </si>
  <si>
    <t>% of HHs with at least 1 member with hearing disability level 3 per WGSS guidance</t>
  </si>
  <si>
    <t>Do you or anyone from your household have difficulty hearing, even if using a hearing aid(s)?</t>
  </si>
  <si>
    <t>Dumneavoastră sau cineva din gospodăria dumneavoastră întâmpinați dificultăți legate cu auzul, chiar și folosind un aparat auditiv?</t>
  </si>
  <si>
    <t>Есть ли у вас или у кого-либо из вашего домохозяйства трудности со слухом, даже при использовании слухового аппарата</t>
  </si>
  <si>
    <t>0.21.</t>
  </si>
  <si>
    <t>% of HHs with at least 1 member with walking disability level 3 per WGSS guidance</t>
  </si>
  <si>
    <t>Do you or anyone from your household have difficulty walking or climbing steps?</t>
  </si>
  <si>
    <t>Dumneavoastră sau cineva din gospodăria dumneavoastră întâmpinați dificultăți cu mersul sau cu urcatul scărilor?</t>
  </si>
  <si>
    <t>Есть ли у вас или у кого-либо из вашего домохозяйства трудности с ходьбой или сложно подниматься по ступеням?</t>
  </si>
  <si>
    <t>0.22.</t>
  </si>
  <si>
    <t>% of HHs with at least 1 member with remembering disability level 3 per WGSS guidance</t>
  </si>
  <si>
    <t>Do you or anyone from your household have difficulty remembering or concentrating?</t>
  </si>
  <si>
    <t>Dumneavoastră sau cineva din gospodăria dumneavoastră întâmpinați dificultăți legate de memorare sau de concentrație?</t>
  </si>
  <si>
    <t>Есть ли у вас или у кого-либо из вашего домохозяйства трудности с запоминанием или концентрацией?</t>
  </si>
  <si>
    <t>0.23.</t>
  </si>
  <si>
    <t>% of HHs with at least 1 member with self-care disability level 3 per WGSS guidance</t>
  </si>
  <si>
    <t>Do you or anyone from your household have difficulty with self-care, such as washing all over or
dressing?</t>
  </si>
  <si>
    <t>Dumneavoastră sau cineva din gospodăria dumneavoastră întâmpinați dificultăți legate de autoîngrijire, cum ar fi spălatul pe tot corpul sau îmbrăcarea?</t>
  </si>
  <si>
    <t>Есть ли у вас или у кого-либо из вашего домохозяйства трудности с личной гигиеной, например, с мытьем всего тела или одеванием?</t>
  </si>
  <si>
    <t>0.24.</t>
  </si>
  <si>
    <t>% of HHs with at least 1 member with communicating disability level 3 per WGSS guidance</t>
  </si>
  <si>
    <t>Do you or anyone from your household have difficulty communicating, for example understanding or being understood, using your/their usual language?</t>
  </si>
  <si>
    <t>Dumneavoastră sau cineva din gospodăria dumneavoastră întâmpinați dificultăți în comunicare, de exemplu în a înțelege sau a fi înțeles/înțeleasă, folosind limba Dumneavoastră/a lor obișnuită?</t>
  </si>
  <si>
    <t>Есть ли у вас или у кого-либо из вашего домохозяйства трудности с общением, например, с пониманием или выражением мысли на вашем/их обычном языке?</t>
  </si>
  <si>
    <t>0.25.</t>
  </si>
  <si>
    <t>% of HHs with people with a disability certificate</t>
  </si>
  <si>
    <t>How many members of your household, including yourself, have a Moldovan disability certificate?</t>
  </si>
  <si>
    <t>Câți membri ai gospodăriei dumneavoastră, inclusiv Dumneavoastră, au un certificat de dizabilitate din Republica Moldova?</t>
  </si>
  <si>
    <t>Сколько членов вашего домохозяйства, включая вас, имеют молдавское удостоверение по инвалидности?</t>
  </si>
  <si>
    <t>If IN# 0.16. = 'People with disability'  and IN# 0.14. &lt;&gt; 999</t>
  </si>
  <si>
    <t>&gt; 0 and &lt;= HH size or = 999</t>
  </si>
  <si>
    <t>0.26.</t>
  </si>
  <si>
    <t>Income</t>
  </si>
  <si>
    <t>% of HHs with people with a disability certificate, by received financial state support</t>
  </si>
  <si>
    <t>How many receive financial state support based on their disability?</t>
  </si>
  <si>
    <t>Câți membri ai gospodăriei dumneavoastră primesc sprijin financiar din partea statului pe bază de dizabilitate?</t>
  </si>
  <si>
    <t>Сколько из них получают финансовую государственную поддержку по инвалидности?</t>
  </si>
  <si>
    <t>If IN# 0.25. &gt; 0 and &lt;&gt; 999</t>
  </si>
  <si>
    <t>&gt; 0 and &lt;= nr people with disability certificate or = 999</t>
  </si>
  <si>
    <t>0.27.</t>
  </si>
  <si>
    <t>% of HHs by number of household members earning an income</t>
  </si>
  <si>
    <t>How many members of your household currently earn an income, including all sources such as employment, state support, pensions, or any other forms of financial assistance?</t>
  </si>
  <si>
    <t>Câți membri ai gospodăriei dumneavoastră câștigă în prezent un venit, inclusiv din toate sursele, cum ar fi locul de muncă, sprijinul din partea statului, pensia sau orice alte forme de asistență financiară?</t>
  </si>
  <si>
    <t>Сколько членов вашего домохозяйства в настоящее время  получают доход, включая все источники, такие как работа, государственная поддержка, пенсии или другие формы финансовой помощи?</t>
  </si>
  <si>
    <t>&gt;= 0 and &lt;= HH size or = 999</t>
  </si>
  <si>
    <t>0.28.</t>
  </si>
  <si>
    <t>% of HHs by total average monthly income</t>
  </si>
  <si>
    <t xml:space="preserve">What is the total average monthly income of your household, in Moldovan lei, between November 2024 and now, including all sources such as employment, state support, pensions, or any other forms of financial assistance (excluding EVRF compensation)?
</t>
  </si>
  <si>
    <t>Care este venitul mediu total lunar al gospodăriei dumneavoastră, în lei moldovenești, între noiembrie 2024 și prezent, inclusiv din toate sursele, cum ar fi locurile de muncă, sprijinul statului, pensiile sau orice alte forme de asistență financiară (excluzând compensația EVRF)?</t>
  </si>
  <si>
    <t>Каков общий среднемесячный доход вашего домохозяйства в молдавских леях с ноября 2024 года по настоящее время, включая все источники, такие как работа, государственная поддержка, пенсии или другие формы финансовой помощи (кроме компенсации EVRF)?</t>
  </si>
  <si>
    <t>Please round up to the nearest 500</t>
  </si>
  <si>
    <t>Te rog să rotunjești la cel mai apropiat 500.</t>
  </si>
  <si>
    <t>Пожалуйста, округлите до 500.</t>
  </si>
  <si>
    <t>If IN# 0.27. &gt; 0</t>
  </si>
  <si>
    <t>&gt; 0 and round up to the nearest 500 or = 999</t>
  </si>
  <si>
    <t>0.29.</t>
  </si>
  <si>
    <t>Essential expenses</t>
  </si>
  <si>
    <t>% of HHs by total average monthly expense</t>
  </si>
  <si>
    <t xml:space="preserve">What is the total average monthly expense of your household, in Moldovan lei, for basic needs between November 2024 and now, such as rent, food, healthcare, etc. (excluding utility bills)?
</t>
  </si>
  <si>
    <t>Care este cheltuiala medie lunară totală a gospodăriei dumneavoastră, în lei moldovenești, pentru nevoile de bază între noiembrie 2024 și prezent, cum ar fi chiria, alimentele, îngrijirea medicală etc. (excluzând facturile la utilități)?</t>
  </si>
  <si>
    <t>Каковы общие среднемесячные расходы вашего домохозяйства в леях Молдовы на базовые нужды с ноября 2024 года по настоящее время, такие как аренда, еда, здравоохранение и т.д. ( не включая коммунальные платежи)?</t>
  </si>
  <si>
    <t>0.30.</t>
  </si>
  <si>
    <t>% of HHs by type of accommodation</t>
  </si>
  <si>
    <t>What type of accommodation does your household live in?</t>
  </si>
  <si>
    <t>În ce tip de locuință locuiește gospodăria dumneavoastră?</t>
  </si>
  <si>
    <t>В каком типе жилья проживает ваше домохозяйство?</t>
  </si>
  <si>
    <t>Private house (the unit is a standalone home)
Part of a house (the unit is located in a house with at least one other unit)
Apartment
Other (please specify)
Prefer not to answer</t>
  </si>
  <si>
    <t>Casă privată (unitatea este o casă de sine stătătoare)
Parte a unei case (unitatea este situată într-o casă cu cel puțin o altă unitate)
Apartament
Altele (vă rugăm să precizați)
Prefer să nu răspund</t>
  </si>
  <si>
    <t>Частный дом (блок является отдельным домом)
Часть дома ( блок находится в доме, в котором есть еще как минимум один блок)
Квартира
Другое (пожалуйста, укажите)
Предпочитаю не отвечать</t>
  </si>
  <si>
    <t xml:space="preserve">1. What barriers prevent potentially energy-vulnerable refugee and Moldovan households from accessing the EVRF energy compensation in the winter of 2024-2025?
a. What is the level of awareness of potentially energy-vulnerable refugee and Moldovan households regarding the EVRF energy compensation?
b. Are there barriers in the application process and eligibility criteria that prevent potentially energy-vulnerable refugee and Moldovan households from accessing the EVRF energy compensation? </t>
  </si>
  <si>
    <t>1.1.</t>
  </si>
  <si>
    <t>Awareness of compensation</t>
  </si>
  <si>
    <t>% of respondents aware of the EVRF programme before December 2024</t>
  </si>
  <si>
    <t>Did you know about the EVRF energy compensation before December 2024?</t>
  </si>
  <si>
    <t>Știați despre compensarea costurilor energiei prin EVRF înainte de decembrie 2024?</t>
  </si>
  <si>
    <t xml:space="preserve">Знали ли вы о компенсации за энергию в рамках Фонда снижения уязвимости к энергоснабжению (EVRF) до декабря 2024 года?  </t>
  </si>
  <si>
    <t>1.2.</t>
  </si>
  <si>
    <t>% of respondents aware of the EVRF programme, by how they learned about it</t>
  </si>
  <si>
    <t>How did you find out about the EVRF energy compensation the first time?</t>
  </si>
  <si>
    <t>Cum ați aflat pentru prima dată despre compensația energetică EVRF?</t>
  </si>
  <si>
    <t>Как вы узнали о компенсации за энергию по программе EVRF в первый раз?</t>
  </si>
  <si>
    <t>Radio
TV
Social media (Facebook, Instagram, Twitter, or Telegram, Viber, WhatsApp groups)
Online platforms (other than social media, including news platforms)
Family/friends/community members
Community leaders / public authorities
NGOs
Other (specify)
Do not know / Do not remember
Prefer not to answer</t>
  </si>
  <si>
    <t>Radio
TV
Social media (Facebook, Instagram, Twitter sau grupuri Telegram, Viber, WhatsApp)
Platforme online (altele decât social media, inclusiv platforme de știri)
Familie/prieteni/membri ai comunității
Lideri ai comunității/autorități publice
ONG-uri
Altele (vă rugăm să precizați)
Nu știu / Nu-mi amintesc
Prefer să nu răspund</t>
  </si>
  <si>
    <t>Радио
TV
Социальные сети (Facebook, Instagram, Twitter или группы Telegram, Viber, WhatsApp)
Онлайн-платформы (кроме социальных сетей, включая новостные платформы)
Семья/друзья/ члены общины
Лидеры общины / органы государственной власти
НПО
Другое (пожалуйста, укажите)
Не знаю / Не помню
Предпочитаю не отвечать</t>
  </si>
  <si>
    <t>1.3.</t>
  </si>
  <si>
    <t>% of non-beneficiary HHs that applied for energy compensation</t>
  </si>
  <si>
    <t>Have you or any of your household members applied for energy compensation from the Moldovan Government (Ministry of Labour and Social Protection) this year?</t>
  </si>
  <si>
    <t>Dumneavoastră sau vreun membru al gospodăriei ați solicitat compensare pentru energie de la Guvernul Republicii Moldova (Ministerul Muncii și Protecției Sociale) în acest an?</t>
  </si>
  <si>
    <t xml:space="preserve">Подавал ли кто-либо из вашего домохозяйства заявку на компенсацию за энергию от правительства Молдовы (Министерство труда и социальной защиты) в этом году?  </t>
  </si>
  <si>
    <t>1.4.</t>
  </si>
  <si>
    <t>Application process</t>
  </si>
  <si>
    <t>% of HHs that applied for energy compensation, by method of application</t>
  </si>
  <si>
    <t>How did you and your household apply for the EVRF energy compensation?</t>
  </si>
  <si>
    <t>Cum ați aplicat Dumneavoastră și gospodăria dumneavoastră pentru compensația energetică EVRF?</t>
  </si>
  <si>
    <t>Как вы и ваше домохозяйство подали заявку на компенсацию за энергию по программе EVRF?</t>
  </si>
  <si>
    <t>Online platform (compensatii.gov.md)
Social worker
Assisted by NGO representative
Other (specify)
Prefer not to answer</t>
  </si>
  <si>
    <t>Platformă online (compensatii.gov.md)
Asistent social
Asistat(ă) de un reprezentant al ONG
Altele (vă rugăm să precizați)
Prefer să nu răspund</t>
  </si>
  <si>
    <t>Онлайн-платформа (compensatii.gov.md)
Социальный работник
При содействии представителя НПО
Другое (пожалуйста, укажите)
Предпочитаю не отвечать</t>
  </si>
  <si>
    <t>If IN# 1.3. = 'Yes'</t>
  </si>
  <si>
    <t>1.5.</t>
  </si>
  <si>
    <t>% of HHs that applied for energy compensation, by level of satisfaction with the application process</t>
  </si>
  <si>
    <t>Were you and your household satisfied with the application process for the EVRF energy compensation?</t>
  </si>
  <si>
    <t>Ați fost Dumneavoastră și gospodăria dumneavoastră mulțumiți de procesul de aplicare pentru compensația energetică EVRF?</t>
  </si>
  <si>
    <t>Были ли вы и ваше домохозяйство удовлетворены процессом подачи заявки на компенсацию за энергию по программе EVRF?</t>
  </si>
  <si>
    <t xml:space="preserve">Please consider only the technical aspects of the application process, such as clarity of instructions, ease of use, and efficiency, when answering this question. </t>
  </si>
  <si>
    <t>Vă rugăm să luați în considerare numai aspectele tehnice ale procesului de aplicare, cum ar fi claritatea instrucțiunilor, ușurința în utilizare și eficiența, atunci când răspundeți la această întrebare.</t>
  </si>
  <si>
    <t xml:space="preserve">Пожалуйста, при ответе на этот вопрос учитывайте только технические аспекты процесса подачи заявки, такие как ясность инструкций, простота использования и эффективность. </t>
  </si>
  <si>
    <t>Very satisfied
Satisfied
Neutral
Dissatisfied
Very dissatisfied
Prefer not to answer</t>
  </si>
  <si>
    <t>Foarte mulțumit(ă)
Satisfăcut(ă)
Neutru/ă
Nesatisfăcut(ă)
Foarte nesatisfăcut(ă)
Prefer să nu răspund</t>
  </si>
  <si>
    <t>Очень довольны
Удовлетворен
Нейтрально
Неудовлетворен
Очень недоволен
Предпочитаю не отвечать</t>
  </si>
  <si>
    <t>1.6.</t>
  </si>
  <si>
    <t>% of HHs dissatisfied with the application process, by reason of dissatisfaction</t>
  </si>
  <si>
    <t>Why were you and your household dissatisfied with the application process?</t>
  </si>
  <si>
    <t>De ce dumneavoastră și gospodăria dumneavoastră nu ați fost mulțumiți de procesul de aplicare?</t>
  </si>
  <si>
    <t>Почему вы и ваше домохозяйство были недовольны процессом подачи заявки?</t>
  </si>
  <si>
    <t xml:space="preserve">Lack of support or guidance during the application  
Unclear eligibility criteria  
The application process is too complex  
The application took too long to complete  
The website or application platform is confusing  
Too much information needs to be filled in the application  
The application is too complicated because we needed to apply through a social worker  
The process was stressful or time-consuming  
The selection process was not fair or transparent
Other (please specify)  
Do not know  
Prefer not to answer </t>
  </si>
  <si>
    <t>Lipsă de sprijin sau îndrumare în timpul depunerii cererii  
Criterii de eligibilitate neclare  
Procesul de aplicare este prea complex.  
Completarea cererii a durat prea mult. 
Site-ul web sau platforma de aplicare este confuză.  
Prea multe informații trebuie introduse în cerere . 
Aplicarea este prea complicată, deoarece a trebuit să o facem prin intermediul unui asistent social.
Procesul a fost stresant sau/și a consumat mult timp.  
Procesul de selecție nu a fost corect sau/și transparent.
Altele (vă rugăm să precizați)
Nu știu
Prefer să nu răspund</t>
  </si>
  <si>
    <t>Отсутствие поддержки или руководства во время подачи заявки  
Неясные критерии приемлемости  
Слишком сложный процесс подачи заявки  
Подача заявки заняла слишком много времени  
Веб-сайт или платформа для подачи заявки запутанная  
В заявлении необходимо заполнить слишком много информации  
Заявление слишком сложное, потому что мы должны были подавать его через социального работника  
Процесс был стрессовым или отнимал много времени  
Процесс отбора не был справедливым или прозрачным
Другое (пожалуйста, укажите)
Не знаю
Предпочитаю не отвечать</t>
  </si>
  <si>
    <t>IN# 1.5. = 'Dissatisfied' or 'Very dissatisfied'</t>
  </si>
  <si>
    <t>* cannot select 'The application is too complicated because we needed to apply through a social worker' if application was not submitted through a social worker
* cannot select 'Do not know' or 'Prefer not to answer' with any other option</t>
  </si>
  <si>
    <t>1.7.</t>
  </si>
  <si>
    <t>% of HHs that applied through a social worker, by level of satisfaction with the support received</t>
  </si>
  <si>
    <t>Were you and your household satisfied with the support received from the social worker during the application process?</t>
  </si>
  <si>
    <t>Dumneavoastră și gospodăria dumneavoastră ați fost mulțumiți de sprijinul primit de la asistentul social în procesul de aplicare?</t>
  </si>
  <si>
    <t>Были ли вы и ваше домохозяйство удовлетворены поддержкой, предоставленной социальным работником в процессе подачи заявки?</t>
  </si>
  <si>
    <t>If IN# 1.4. = 'Social worker'</t>
  </si>
  <si>
    <t>1.8.</t>
  </si>
  <si>
    <t>% of HHs dissatisfied with the support received from the social worker, by reason of dissatisfaction</t>
  </si>
  <si>
    <t>Why were you and your household dissatisfied with the social worker?</t>
  </si>
  <si>
    <t>De ce Dumneavoastră și gospodăria dumneavoastră nu ați fost mulțumiți de asistentul social?</t>
  </si>
  <si>
    <t>Почему вы и ваше домохозяйство были недовольны работой социального работника?</t>
  </si>
  <si>
    <t xml:space="preserve">They were unavailable or difficult to contact  
They did not provide clear information about the application process  
They refused to help with the application  
They were dismissive or unprofessional in their behavior  
They did not assist in gathering the required documents  
They lacked knowledge about the energy compensation program  
They did not communicate in a language I understand  
They delayed the application process unnecessarily  
They made errors while helping with the application  
They were not empathetic to my situation or needs  
I felt discriminated against by them  
They did not allocate enough time to assist me properly  
Other (please specify)  
Do not know  
Prefer not to answer  </t>
  </si>
  <si>
    <t>Nu au fost disponibili sau/și au fost greu de contactat.  
Nu au furnizat informații clare cu privire la procesul de depunere a cererii.  
Au refuzat să ajute la depunerea cererii. 
Comportamentul lor a fost disprețuitor sau neprofesionist.
Nu au acordat asistență în colectarea documentelor necesare.  
Nu au avut cunoștințe despre programul de compensare pentru energie.  
Nu au comunicat într-o limbă pe care o înțeleg.  
Au întârziat nejustificat procesul de depunere a cererii.
Au comis erori în timp ce mă ajutau cu cererea.  
Nu au manifestat empatie față de situația sau nevoile mele.  
M-am simțit discriminat(ă) de către ei.  
Nu au alocat suficient timp pentru a mă asista corespunzător. 
Altele (vă rugăm să precizați)
Nu știu
Prefer să nu răspund</t>
  </si>
  <si>
    <t>Они были недоступны или с ними было трудно связаться  
Они не предоставили четкой информации о процессе подачи заявления  
Они отказались помочь с подачей заявления  
Они вели себя пренебрежительно или непрофессионально  
Не оказали помощь в сборе необходимых документов  
У них не было знаний о программе компенсации за электроэнергию  
Они не общались на понятном мне языке  
Они неоправданно затянули процесс подачи заявления  
Они допустили ошибки при подаче заявления  
Они не проявили сочувствия к моей ситуации или потребностям  
Я чувствовал себя дискриминированным по отношению к ним  
Они не выделили достаточно времени, чтобы помочь мне должным образом  
Другое (пожалуйста, укажите)
Не знаю
Предпочитаю не отвечать</t>
  </si>
  <si>
    <t>IN# 1.7. = 'Dissatisfied' or 'Very dissatisfied'</t>
  </si>
  <si>
    <t>cannot select 'Do not know' or 'Prefer not to answer' with any other option</t>
  </si>
  <si>
    <t>1.9.</t>
  </si>
  <si>
    <t>% of beneficiary HHs that encountered challenges applying for energy compensation</t>
  </si>
  <si>
    <t>Did you or your household encounter any challenges applying for EVRF?</t>
  </si>
  <si>
    <t>Dumneavoastră sau gospodăria dumneavoastră ați întâmpinat vreo dificultate în procesul de aplicare pentru EVRF?</t>
  </si>
  <si>
    <t>Столкнулись ли вы или ваше домохозяйство с трудностями при подаче заявки на EVRF?</t>
  </si>
  <si>
    <t>Yes
No
Do not know
Prefer not to answer</t>
  </si>
  <si>
    <t>Da
Nu
Nu știu
Prefer să nu răspund</t>
  </si>
  <si>
    <t>Да
Нет
Не знаю
Предпочитаю не отвечать</t>
  </si>
  <si>
    <t>1.10.</t>
  </si>
  <si>
    <t>% of beneficiary HHs that encountered challenges applying for energy compensation, by type of challenge</t>
  </si>
  <si>
    <t>What challenges did your household encounter?</t>
  </si>
  <si>
    <t>Ce dificultăți a întâmpinat gospodăria dumneavoastră?</t>
  </si>
  <si>
    <t>С какими трудностями столкнулось ваше домохозяйство?</t>
  </si>
  <si>
    <t xml:space="preserve">Lack of required documentation  
Language barriers  
No direct access to the internet or digital tools  
Difficulty getting in touch with a social worker  
Technical issues with the online application system  
Landlord already applied for the accommodation we live in
Other (please specify)
Do not know
Prefer not to answer </t>
  </si>
  <si>
    <t>Lipsa documentației necesare  
Bariere lingvistice  
Lipsa accesului direct la internet sau la instrumente digitale  
Dificultate de a intra în contact cu un asistent social  
Probleme tehnice cu sistemul de solicitare online  
Proprietarul a depus deja o cerere pentru locuința în care locuim.
Altele (vă rugăm să precizați)
Nu știu
Prefer să nu răspund</t>
  </si>
  <si>
    <t>Отсутствие необходимой документации  
Языковые барьеры  
Отсутствие прямого доступа к Интернету или цифровым инструментам  
Сложность связаться с социальным работником  
Технические проблемы с онлайн-системой подачи заявлений  
Арендодатель уже подал заявку на жилье, в котором мы живем
Другое (пожалуйста, укажите)
Не знаю
Предпочитаю не отвечать</t>
  </si>
  <si>
    <t>If IN# 1.9. = 'Yes'</t>
  </si>
  <si>
    <t>* cannot select 'Landlord already applied for the accommodation we live in' if they own the accommodation
* cannot select 'Do not know' or 'Prefer not to answer' with any other option</t>
  </si>
  <si>
    <t>1.11.</t>
  </si>
  <si>
    <t>% of non-beneficiary HHs that were denied energy compensation, by reason for rejection</t>
  </si>
  <si>
    <t>Do you know why your household has not received any of the energy compensation from MLSP?</t>
  </si>
  <si>
    <t>Cunoașteți din ce cauză gospodăria dumneavoastră nu a primit niciun fel de compensare a costurilor energiei de la Ministerul Muncii și Protecției Sociale?</t>
  </si>
  <si>
    <t xml:space="preserve">Знаете ли вы, почему ваше домохозяйство не получило компенсацию за энергию от Министерства труда и социальной защиты?  </t>
  </si>
  <si>
    <t>Household did not meet the eligibility criteria
Household's income and expenses haven't been correctly calculated by the system
Our landlord is receiving the compensation even though they do not live here, and my household pays for the utilities  
We made a mistake in the application  
We provided incomplete or incorrect information in the application
Our application was rejected, but no reason was provided  
There were technical issues with the application process
Other (please specify)  
Do not know  
Prefer not to answer</t>
  </si>
  <si>
    <t>Gospodăria nu a îndeplinit criteriile de eligibilitate.
Veniturile și cheltuielile gospodăriei nu au fost calculate corect de sistem.
Proprietarul nostru primește compensația, deși nu locuiește aici, iar gospodăria mea plătește utilitățile,  
Am comis o greșeală în cerere.  
Am furnizat informații incomplete sau/și incorecte în cerere.
Cererea noastră a fost respinsă, dar nu a fost indicat niciun motiv.
Au existat probleme tehnice în procesul de depunere a cererii.
Altele (vă rugăm să precizați)
Nu știu
Prefer să nu răspund</t>
  </si>
  <si>
    <t>Домохозяйство не соответствует критериям приемлемости
Доходы и расходы домохозяйства не были правильно рассчитаны системой
Наш домовладелец получает компенсацию, хотя он не живет здесь, а мое домохозяйство оплачивает коммунальные услуги  
Мы допустили ошибку в заявлении  
Мы предоставили неполную или неверную информацию в заявлении
Наше заявление было отклонено, но причина не была указана  
В процессе подачи заявления возникли технические проблемы
Другое (пожалуйста, укажите)
Не знаю
Предпочитаю не отвечать</t>
  </si>
  <si>
    <t>* cannot select 'Our landlord is receiving the compensation even though they do not live here, and my household pays for the utilities ' if they own the accommodation
* cannot select 'Do not know' or 'Prefer not to answer' with any other option</t>
  </si>
  <si>
    <t>1.12.</t>
  </si>
  <si>
    <t>% of non-beneficiary HHs that did not apply for energy compensation, by reason for not applying</t>
  </si>
  <si>
    <t>Why didn't your household apply to the EVRF energy compensation program?</t>
  </si>
  <si>
    <t>De ce gospodăria Dumneavoastră nu a aplicat la programul de compensații pentru energie al EVRF?</t>
  </si>
  <si>
    <t xml:space="preserve">Почему ваше домохозяйство не подало заявку на участие в программе компенсации за энергию EVRF?  </t>
  </si>
  <si>
    <t>We do not need the support
We were not aware of the program
We did not understand how the program works
We believed we were not eligible
The application process seemed too complicated
We did not have access to the required documents
We did not receive assistance or guidance to complete the application
The program was not available in my language
We did not trust that we would receive the support
We felt the benefit would not be worth the effort of applying
The social worker we asked for assistance said we are not eligible
Other households need the support more than we do
Other (please specify)
Do not know
Prefer not to answer</t>
  </si>
  <si>
    <t>Nu avem nevoie de sprijin.
Nu am știut de acest program.
Nu am înțeles cum funcționează programul.
Am crezut că nu suntem eligibili.
Procesul de aplicare ne-a părut prea complicat.
Nu am avut acces la documentele necesare.
Nu am primit asistență sau îndrumare pentru a completa cererea.
Programul nu a fost disponibil în limba mea
Nu am avut încredere că vom primi sprijin.
Am considerat că beneficiul nu ar merita efortul de a depune cererea.
Asistentul social căruia i-am solicitat asistență ne-a spus că nu suntem eligibili.
Alte gospodării au nevoie de sprijin mai mult decât noi.
Altele (vă rugăm să precizați)
Nu știu
Prefer să nu răspund</t>
  </si>
  <si>
    <t>Мы не нуждаемся в поддержке
Мы не знали о программе
Мы не понимали, как работает программа
Мы считали, что не имеем права на участие в программе
Процесс подачи заявки показался нам слишком сложным
У нас не было доступа к необходимым документам
Мы не получили помощи или руководства по заполнению заявления
Программа не была доступна на моем языке
Мы не верили, что получим поддержку
Мы посчитали, что пособие не будет стоить усилий, затраченных на подачу заявления
Социальный работник, к которому мы обратились за помощью, сказал, что мы не имеем на это права
Другие семьи нуждаются в поддержке больше, чем мы
Другое (пожалуйста, укажите)
Не знаю
Предпочитаю не отвечать</t>
  </si>
  <si>
    <t>If IN# 1.3. = 'No'</t>
  </si>
  <si>
    <t>* cannot select 'We were not aware of the program' if previously answered Yes to knowing about the program before December 2024
* cannot select 'Do not know' or 'Prefer not to answer' with any other option</t>
  </si>
  <si>
    <t>Suggestions</t>
  </si>
  <si>
    <t>% of respondents suggesting specific changes to improve the accessibility of the EVRF</t>
  </si>
  <si>
    <t>What changes would make the EVRF more accessible to households like yours?</t>
  </si>
  <si>
    <t>Ce schimbări efectuate ar face ca EVRF să fie mai accesibil pentru gospodării ca a dumneavoastră?</t>
  </si>
  <si>
    <t>Какие изменения сделали бы программу EVRF более доступной для домохозяйств, подобных вашему?</t>
  </si>
  <si>
    <t>Providing more clear and detailed information about eligibility criteria  
Offering assistance in multiple languages  
Allowing all applications to be submitted online without the need for a social worker  
Providing more support or guidance during the application process    
Improving communication about the status of the application  
Making the program available to a broader range of households, including those with slightly higher income or other criteria  
Offering home visits or community outreach to assist with the application  
Creating an easier process for those living in rental properties (eg, ensuring landlords do not receive the compensation instead of tenants)  
Increasing the amount of compensation offered
Providing more clear and detailed information on how the calculations are done
Other (please specify)  
Do not know  
Prefer not to answer</t>
  </si>
  <si>
    <t>Oferirea unor informații mai clare și detaliate despre criteriile de eligibilitate.
Oferire de asistență în mai multe limbi.
Posibilitate de a aplica online pentru toți, fără a fi necesară implicarea unui asistent social.
Oferirea unui suport sau ghidaj suplimentar în procesul de aplicare.
Îmbunătățirea informării privind statutul aplicației.
Extinderea programului pentru a fi disponibil unui număr mai mare de gospodării, inclusiv celor cu venituri puțin mai mari sau cu alte criterii.
Organizarea unor vizite la domiciliu sau a activităților de informare în comunitate pentru a ajuta la completarea cererii.
Simplificarea procesului pentru cei care locuiesc în locuințe închiriate (de exemplu, asigurându-se că proprietarii nu primesc compensația în locul chiriașilor).
Creșterea sumei compensării oferite.
Oferirea unor informații mai clare și detaliate despre modul în care se realizează calculele.
Altele (vă rugăm să precizați)
Nu știu
Prefer să nu răspund</t>
  </si>
  <si>
    <t>Предоставление более четкой и подробной информации о критериях приемлемости  
Предоставление помощи на нескольких языках  
Возможность подачи всех заявлений в режиме онлайн без участия социального работника  
Предоставление дополнительной поддержки или рекомендаций в процессе подачи заявления    
Улучшение информирования о статусе заявления  
Сделать программу доступной для более широкого круга домохозяйств, в том числе для тех, у кого немного выше доход или другие критерии  
Предлагать посещение на дому или работу с населением для оказания помощи в подаче заявления  
Облегчение процесса для тех, кто проживает в арендованной недвижимости (например, чтобы арендодатели не получали компенсацию вместо арендаторов)  
Увеличение суммы предлагаемой компенсации
Предоставление более четкой и подробной информации о том, как производятся расчеты
Другое (пожалуйста, укажите)
Не знаю
Предпочитаю не отвечать</t>
  </si>
  <si>
    <t>2. To what extent are refugee and Moldovan beneficiary households of the EVRF energy compensation able to meet their energy needs for the winter of 2024-2025?</t>
  </si>
  <si>
    <t>2.1.</t>
  </si>
  <si>
    <t>Heating</t>
  </si>
  <si>
    <t>% of HHs by primary type of heating system</t>
  </si>
  <si>
    <t>What is the primary type of heating system in your accommodation?</t>
  </si>
  <si>
    <t>Care este tipul principal de sistem de încălzire din locuința dumneavoastră?</t>
  </si>
  <si>
    <t>Какой основной тип системы отопления в вашем жилье?</t>
  </si>
  <si>
    <t>Central heating system
Autonomous (individual) system - gas based
Autonomous (individual) system - electricity based
Solid fuel stove or fireplace
Space heaters/ACs
No heating system
Other (please specify)
Prefer not to answer</t>
  </si>
  <si>
    <t>Încălzire centralizată (termică)
Sistem autonom (individual) pe bază de gaz
Sistem autonom (individual) pe bază de electricitate
Sobă/cazan pe combustibil solid
Încălzitoare/aparate de aer condiționat
Fără sistem de încălzire
Altele (vă rugăm să precizați)
Prefer să nu răspund</t>
  </si>
  <si>
    <t>Централизованное отопление (тепловое)
Автономная (индивидуальная) система - на основе газа
Автономная (индивидуальная) система - на основе электричества
Печь/котел на твердом топливе
Обогреватели/ кондиционеры
Нет системы отопления
Другое (пожалуйста, укажите)
Предпочитаю не отвечать</t>
  </si>
  <si>
    <t>2.2.</t>
  </si>
  <si>
    <t>% of HHs by additional sources of heating</t>
  </si>
  <si>
    <t>Does your household use any additional sources of heating?</t>
  </si>
  <si>
    <t>Gospodăria dumneavoastră folosește surse suplimentare de încălzire?</t>
  </si>
  <si>
    <t>Использует ли ваше домохозяйство дополнительные источники отопления?</t>
  </si>
  <si>
    <t>No
Autonomous (individual) system - gas based
Autonomous (individual) system - electricity based
Solid fuel stove or fireplace
Space heaters/ACs
Other (please specify)
Prefer not to answer</t>
  </si>
  <si>
    <t>Nu
Sistem autonom (individual) pe bază de gaz
Sistem autonom (individual) pe bază de electricitate
Sobă/cazan pe combustibil solid
Încălzitoare/aparate de aer condiționat
Altele (vă rugăm să precizați)
Prefer să nu răspund</t>
  </si>
  <si>
    <t>Нет
Автономная (индивидуальная) система - на основе газа
Автономная (индивидуальная) система - на основе электричества
Печь/котел на твердом топливе
Обогреватели/ кондиционеры
Другое (пожалуйста, укажите)
Предпочитаю не отвечать</t>
  </si>
  <si>
    <t>If IN# 2.1. &lt;&gt; 'No heating system'</t>
  </si>
  <si>
    <t>* cannot select 'No' or 'Prefer not to answer' with any other option
* cannot select same option as to the previous question
* cannot select both types of autonomous heating systems, here or in relation to previous question</t>
  </si>
  <si>
    <t>Utility bills</t>
  </si>
  <si>
    <t>Question group header</t>
  </si>
  <si>
    <t>Now we will ask you about your household's utility bill costs for the months of November and December 2024</t>
  </si>
  <si>
    <t>**Acum vă vom întreba despre costurile din facturi pentru utilitățile gospodăriei dumneavoastră pentru lunile noiembrie și decembrie 2024.**</t>
  </si>
  <si>
    <t>**Теперь мы зададим вам вопросы о расходах на коммунальные услуги вашего домохозяйства за ноябрь и декабрь 2024 года.**</t>
  </si>
  <si>
    <t>2.3.</t>
  </si>
  <si>
    <t>Bills payment</t>
  </si>
  <si>
    <t>% of HHs able to cover electricity, gas and heating bills for November 2024</t>
  </si>
  <si>
    <t>Was your household able to cover the cost of your electricity, gas and heating bills for November 2024?</t>
  </si>
  <si>
    <t>Gospodăria dumneavoastră a reușit să acopere costurile legate de electricitate, gaz și încălzire pentru luna noiembrie 2024?</t>
  </si>
  <si>
    <t>Ваше домохозяйство смогло покрыть расходы на счета за электричество, газ и отопление за ноябрь 2024 года?</t>
  </si>
  <si>
    <t>Yes, all of them
Yes, some of them
No
Do not know
Prefer not to answer</t>
  </si>
  <si>
    <t>Da, toate
Da, unele dintre ele
Nu
Nu știu
Prefer să nu răspund</t>
  </si>
  <si>
    <t>Да, все
Да, некоторые из них
Нет
Не знаю
Предпочитаю не отвечать</t>
  </si>
  <si>
    <t>2.4.</t>
  </si>
  <si>
    <t>Gas bills</t>
  </si>
  <si>
    <t>% of HHs using gas</t>
  </si>
  <si>
    <t>Does your household use gas?</t>
  </si>
  <si>
    <t>Gospodăria dumneavoastră folosește gaz?</t>
  </si>
  <si>
    <t>Использует ли ваше домохозяйство газ?</t>
  </si>
  <si>
    <t>Please account for all types of gas sources here, such as gas canisters as well</t>
  </si>
  <si>
    <t>Vă rugăm să luați în considerare toate tipurile de surse de gaz, inclusiv buteliile de gaz</t>
  </si>
  <si>
    <t>Пожалуйста, учтите все типы источников газа, включая газовые баллоны.</t>
  </si>
  <si>
    <t>If IN# 2.1. and 2.2. &lt;&gt; 'Autonomous (individual) system - gas based'</t>
  </si>
  <si>
    <t>default 'Yes' if previously selected 'Autonomous (individual) system - gas based'</t>
  </si>
  <si>
    <t>2.5.</t>
  </si>
  <si>
    <t>% of HHs by average cost of November 2024 gas bill</t>
  </si>
  <si>
    <t>How much did your household spend on gas for November 2024?</t>
  </si>
  <si>
    <t>Cât a cheltuit gospodăria dumneavoastră pentru gaz în luna noiembrie 2024?</t>
  </si>
  <si>
    <t>Сколько ваше домохозяйство потратило на газ за ноябрь 2024 года?</t>
  </si>
  <si>
    <t>Please round up to the nearest 50</t>
  </si>
  <si>
    <t>Te rog să rotunjești la cel mai apropiat 50.</t>
  </si>
  <si>
    <t>Пожалуйста, округлите до 50.</t>
  </si>
  <si>
    <t>If IN# 2.4. = 'Yes'</t>
  </si>
  <si>
    <t>&gt;= 0 and round up to the nearest 100 or = 999</t>
  </si>
  <si>
    <t>2.6.</t>
  </si>
  <si>
    <t>Separate heating costs</t>
  </si>
  <si>
    <t>% of HHs by average cost of November 2024 heating bill</t>
  </si>
  <si>
    <t>How much did your household spend on heating for November 2024?</t>
  </si>
  <si>
    <t>Cât a cheltuit gospodăria dumneavoastră pentru încălzire în luna noiembrie 2024?</t>
  </si>
  <si>
    <t>Сколько ваше домохозяйство потратило на отопление за ноябрь 2024 года?</t>
  </si>
  <si>
    <t>Please round up to the nearest 100</t>
  </si>
  <si>
    <t>Te rog să rotunjești la cel mai apropiat 100.</t>
  </si>
  <si>
    <t>Пожалуйста, округлите до 100.</t>
  </si>
  <si>
    <t>If IN# 2.1. or 2.2. = 'Central heating system' OR 'Solid fuel stove or fireplace' OR 'Other'</t>
  </si>
  <si>
    <t>2.7.</t>
  </si>
  <si>
    <t>Electricity bills</t>
  </si>
  <si>
    <t>% of HHs by average cost of November 2024 electricity bill</t>
  </si>
  <si>
    <t>How much was your household's electricity bill for November 2024?</t>
  </si>
  <si>
    <t>Care a fost suma din factura pentru electricitate a gospodăriei dumneavoastră pentru luna noiembrie 2024?</t>
  </si>
  <si>
    <t>Какова была сумма счета за электричество вашего домохозяйства за ноябрь 2024 года?</t>
  </si>
  <si>
    <t>&gt; 0 and round up to the nearest 100 or = 999</t>
  </si>
  <si>
    <t>2.8.</t>
  </si>
  <si>
    <t>% of HHs able to cover electricity, gas and heating bills for December 2024</t>
  </si>
  <si>
    <t>Was your household able to cover the cost of your electricity, gas and heating bills for December 2024?</t>
  </si>
  <si>
    <t xml:space="preserve">Gospodăria dumneavoastră a reușit să acopere costul electricității, al gazului și al încălzirii pentru luna decembrie 2024?
</t>
  </si>
  <si>
    <t>Ваше домохозяйство смогло покрыть расходы на электричество, газ и отопление за декабрь 2024 года?</t>
  </si>
  <si>
    <t>2.9.</t>
  </si>
  <si>
    <t>% of HHs by average cost of December 2024 gas bill</t>
  </si>
  <si>
    <t>How much did your household spend on gas for December 2024?</t>
  </si>
  <si>
    <t>Cât a cheltuit gospodăria dumneavoastră pentru gaz în luna decembrie 2024?</t>
  </si>
  <si>
    <t>Сколько ваше домохозяйство потратило на газ за декабрь 2024 года?</t>
  </si>
  <si>
    <t>2.10.</t>
  </si>
  <si>
    <t>% of HHs by average cost of December 2024 heating bill</t>
  </si>
  <si>
    <t>How much did your household spend on heating for December 2024?</t>
  </si>
  <si>
    <t>Cât a cheltuit gospodăria dumneavoastră pentru încălzire în luna decembrie 2024?</t>
  </si>
  <si>
    <t>Сколько ваше домохозяйство потратило на отопление за декабрь 2024 года?</t>
  </si>
  <si>
    <t>2.11.</t>
  </si>
  <si>
    <t>% of HHs by average cost of December 2024 electricity bill</t>
  </si>
  <si>
    <t>How much was your household's electricity bill for December 2024?</t>
  </si>
  <si>
    <t>Care a fost suma din factura pentru electricitate a gospodăriei dumneavoastră pentru luna decembrie 2024?</t>
  </si>
  <si>
    <t>Какова была сумма счета за электричество вашего домохозяйства за декабрь 2024 года?</t>
  </si>
  <si>
    <r>
      <t xml:space="preserve">4. What coping strategies are employed by potentially energy-vulnerable refugee and Moldovan households to meet their energy needs for the winter of 2024-2025?
</t>
    </r>
    <r>
      <rPr>
        <b/>
        <sz val="10"/>
        <rFont val="Arial Narrow"/>
        <family val="2"/>
      </rPr>
      <t>a. How do the coping strategies differ between EVRF beneficiaries and non-beneficiaries</t>
    </r>
    <r>
      <rPr>
        <sz val="10"/>
        <rFont val="Arial Narrow"/>
        <family val="2"/>
      </rPr>
      <t>?</t>
    </r>
  </si>
  <si>
    <t>4.1.</t>
  </si>
  <si>
    <t>Resources</t>
  </si>
  <si>
    <t>% of HHs by financial resources used to cover utility bills and heating costs</t>
  </si>
  <si>
    <t xml:space="preserve">How is your household paying the utility bills and heating expenses during this winter season? </t>
  </si>
  <si>
    <t>Cum plătește gospodăria dumneavoastră facturile la utilități și cum acoperă cheltuielile cu încălzirea în această perioadă de iarnă?</t>
  </si>
  <si>
    <t>Как ваше домохозяйство оплачивает коммунальные услуги и расходы на отопление в этом зимнем сезоне?</t>
  </si>
  <si>
    <t>Regular income/fixed salary
Savings
Loans
Support from family/friends/acquaintances
Support from UN agencies or NGOs
EVRF energy compensation scheme [option only for BNF]
Other (please specify)
Do not know
Prefer not to answer</t>
  </si>
  <si>
    <t>Venit regulat/salariu fix
Economii
Credite
Sprijin din partea familiei/prietenilor/cunoscuților
Sprijin din partea agențiilor ONU sau a ONG-urilor
Schema de compensare pentru energie EVRF
Altele (vă rugăm să precizați)
Nu știu
Prefer să nu răspund</t>
  </si>
  <si>
    <t>Регулярный доход/фиксированная зарплата
Сбережения
Кредиты
Поддержка со стороны семьи/друзей/знакомых 
Поддержка со стороны агентств ООН или НПО
Другое (пожалуйста, укажите)
Не знаю
Предпочитаю не отвечать</t>
  </si>
  <si>
    <t xml:space="preserve">If IN# 2.3. = 'Yes, all of them' or 'Yes, some of them' or IN# 2.8. = ''Yes, all of them' or 'Yes, some of them' </t>
  </si>
  <si>
    <t>cannot select 'Not paying bills', 'Do not know' or 'Prefer not to answer' with any other option</t>
  </si>
  <si>
    <t>Energy compensation</t>
  </si>
  <si>
    <t>Now we will ask you about your household's energy compensation amounts for the months of November and December 2024</t>
  </si>
  <si>
    <t>**Acum vă vom întreba despre sumele de compensație energetică ale gospodăriei dumneavoastră pentru lunile noiembrie și decembrie 2024**</t>
  </si>
  <si>
    <t>**Теперь мы зададим вам вопросы о суммах компенсации за энергию, которые ваше домохозяйство получило за ноябрь и декабрь 2024 года.**</t>
  </si>
  <si>
    <t>2.12.</t>
  </si>
  <si>
    <t>% of beneficiary HHs, by date they received it for November 2024</t>
  </si>
  <si>
    <t>When did your household receive the energy compensation for November 2024?</t>
  </si>
  <si>
    <t>Când a primit gospodăria dumneavoastră compensația energetică pentru luna noiembrie 2024?</t>
  </si>
  <si>
    <t>Когда ваше домохозяйство получило компенсацию за энергию за ноябрь 2024 года?</t>
  </si>
  <si>
    <t>date</t>
  </si>
  <si>
    <t>after 01/12/24</t>
  </si>
  <si>
    <t>2.13.</t>
  </si>
  <si>
    <t>% of beneficiary HHs, by average amount of compensation received for November 2024</t>
  </si>
  <si>
    <t>What is the amount of the energy compensation, in Moldovan lei, your household received for November 2024?</t>
  </si>
  <si>
    <t>Care este suma compensației energetice, în lei moldovenești, pe care gospodăria dumneavoastră a primit-o pentru luna noiembrie 2024?</t>
  </si>
  <si>
    <t>Какова была сумма компенсации за энергию, в молдавских леях, которую ваше домохозяйство получило за ноябрь 2024 года?</t>
  </si>
  <si>
    <t>&gt;= 300 and &lt;= 800 or = 999</t>
  </si>
  <si>
    <t>2.14.</t>
  </si>
  <si>
    <t>% of beneficiary HHs receiving the amount of energy compensation they were informed they would receive for November 2024</t>
  </si>
  <si>
    <t>Was this the amount your household was informed you would receive?</t>
  </si>
  <si>
    <t>A fost aceasta suma despre care gospodăria dumneavoastră a fost informată că o va primi?</t>
  </si>
  <si>
    <t>Это была та сумма, о которой ваше домохозяйство было проинформировано?</t>
  </si>
  <si>
    <t>Yes
No
Not sure, was not informed about the amount beforehand
Do not know
Prefer not to answer</t>
  </si>
  <si>
    <t>Da
Nu
Nu sunt sigur(ă), nu am fost informat(ă) despre sumă în prealabil
Nu știu
Prefer să nu răspund</t>
  </si>
  <si>
    <t>Да
Нет
Не уверен, не был заранее проинформирован о сумме
Не знаю
Предпочитаю не отвечать</t>
  </si>
  <si>
    <t>2.15.</t>
  </si>
  <si>
    <t>% of beneficiary HHs receiving a different amount of energy compensation than expected, by average amount of compensation received for November 2024</t>
  </si>
  <si>
    <t>How much was your household informed that you would receive?</t>
  </si>
  <si>
    <t>Despre ce sumă a fost informată gospodăria dumneavoastră că o va primi?</t>
  </si>
  <si>
    <t>О какой сумме ваше домохозяйство было проинформировано, что оно получит?</t>
  </si>
  <si>
    <t>If IN# 2.14. = 'No'</t>
  </si>
  <si>
    <t>2.16.</t>
  </si>
  <si>
    <t>% of beneficiary HHs, by date they received it for December 2024</t>
  </si>
  <si>
    <t>When did your household receive the energy compensation for December 2024?</t>
  </si>
  <si>
    <t>Când a primit gospodăria dumneavoastră compensația energetică pentru luna decembrie 2024?</t>
  </si>
  <si>
    <t>Когда ваше домохозяйство получило компенсацию за энергию за декабрь 2024 года?</t>
  </si>
  <si>
    <t>Date should be after January 1st. If payment was not received yet, please select March 1st</t>
  </si>
  <si>
    <t>Data ar trebui să fie după 1 ianuarie. **Dacă plata nu a fost primită încă, selectați 1 martie**</t>
  </si>
  <si>
    <t>Дата должна быть после 1 января. **Если платеж еще не получен, выберите 1 марта .**</t>
  </si>
  <si>
    <t>after 01/01/25</t>
  </si>
  <si>
    <t>2.17.</t>
  </si>
  <si>
    <t>% of beneficiary HHs, by average amount of compensation received for December 2024</t>
  </si>
  <si>
    <t>What is the amount of the energy compensation, in Moldovan lei, your household received for December 2024?</t>
  </si>
  <si>
    <t>Care este suma compensației energetice, în lei moldovenești, pe care gospodăria dumneavoastră a primit-o pentru luna decembrie 2024?</t>
  </si>
  <si>
    <t>Какова была сумма компенсации за энергию, в молдавских леях, которую ваше домохозяйство получило за декабрь 2024 года?</t>
  </si>
  <si>
    <t>If IN# 2.16. &lt;&gt; March 1</t>
  </si>
  <si>
    <t>&gt;= 500 and &lt;= 1000 or = 999</t>
  </si>
  <si>
    <t>2.18.</t>
  </si>
  <si>
    <t>% of beneficiary HHs receiving the amount of energy compensation they were informed they would receive for December 2024</t>
  </si>
  <si>
    <t>2.19.</t>
  </si>
  <si>
    <t>% of beneficiary HHs receiving a different amount of energy compensation than expected, by average amount of compensation received for December 2024</t>
  </si>
  <si>
    <t>If IN# 2.18. = 'No'</t>
  </si>
  <si>
    <t>2.20.</t>
  </si>
  <si>
    <t>% of beneficiary HHs by way of receiving energy compensation</t>
  </si>
  <si>
    <t>How have you or your household been receiving the energy compensation?</t>
  </si>
  <si>
    <t>Cum ați primit dumneavoastră sau gospodăria dumneavoastră compensația energetică?</t>
  </si>
  <si>
    <t>Как вы или ваше домохозяйство получали компенсацию за энергию?</t>
  </si>
  <si>
    <t>Transfer to bank account/card
Picked up at the Post Office
Both (transfer to bank account and through the post office)
Other (specify)
Do not know
Prefer not to answer</t>
  </si>
  <si>
    <t>Transfer în cont bancar/card
Ridicată de la oficiul poștal
Ambele variante (transfer în cont bancar și prin poștă)
Altele (vă rugăm să precizați)
Nu știu
Prefer să nu răspund</t>
  </si>
  <si>
    <t>Перевод на банковский счет/карту
Забрали в почтовом отделении
Оба варианта (перевод на банковский счет и через почтовое отделение)
Другое (пожалуйста, укажите)
Не знаю
Предпочитаю не отвечать</t>
  </si>
  <si>
    <t>2.21.</t>
  </si>
  <si>
    <t>% of beneficiary HHs needing support receiving energy compensation through the post office</t>
  </si>
  <si>
    <t>Did you or your household need help from someone outside the household to receive the cash from the post office?</t>
  </si>
  <si>
    <t>Ați avut Dumneavoastră sau gospodăria dumneavoastră nevoie de ajutor din partea cuiva din afara gospodăriei pentru a primi banii de la oficiul poștal?</t>
  </si>
  <si>
    <t>Нуждалось ли ваше домохозяйство в помощи извне, чтобы получить деньги на почте?</t>
  </si>
  <si>
    <t>If IN# 2.20. = 'Picked up at the Post Office' OR 'Both'</t>
  </si>
  <si>
    <t>2.22.</t>
  </si>
  <si>
    <t>% of beneficiary HHs needing support receiving energy compensation through the post office, by relationship to person they received aid from</t>
  </si>
  <si>
    <t>Who was this person?</t>
  </si>
  <si>
    <t>Cine a fost această persoană?</t>
  </si>
  <si>
    <t>Кто был этим человеком?</t>
  </si>
  <si>
    <t>Family member / relative
Friend / colleague
Social worker
Community member
NGO representative
Other (please specify)
Do not know
Prefer not to answer</t>
  </si>
  <si>
    <t>Membru al familiei/rudă
Prieten(ă)/coleg(ă)
Asistent(ă) social(ă)
Membru/ră al/a comunității
Reprezentant(ă) al/a unei ONG
Altele (vă rugăm să precizați)
Nu știu
Prefer să nu răspund</t>
  </si>
  <si>
    <t>Член семьи / родственник
Друг / коллега
Социальный работник
Член общины
Представитель НПО
Другое (пожалуйста, укажите)
Не знаю
Предпочитаю не отвечать</t>
  </si>
  <si>
    <t>If IN# 2.21. = 'Yes'</t>
  </si>
  <si>
    <t>2.23.</t>
  </si>
  <si>
    <t>Energy efficiency</t>
  </si>
  <si>
    <t>% of beneficiary HHs receiving vouchers for energy efficient appliances</t>
  </si>
  <si>
    <t>Did your household receive a voucher for a more energy efficient appliance this year?</t>
  </si>
  <si>
    <t>Gospodăria dumneavoastră a primit un voucher pentru un aparat mai eficient din punct de vedere energetic în acest an prin programul EVRF?</t>
  </si>
  <si>
    <t>Получило ли ваше домохозяйство в этом году ваучер на покупку более энергоэффективного бытового оборудования в рамках программы EVRF?</t>
  </si>
  <si>
    <t>Yes
No
Did not request
Did not know it was possible to receive
Do not know
Prefer not to answer</t>
  </si>
  <si>
    <t>Da
Nu
Nu am solicitat
Nu știam că este posibil să primesc
Nu știu
Prefer să nu răspund</t>
  </si>
  <si>
    <t>Да
Нет
Не запрашивал
Не знал, что можно получить
Не знаю
Предпочитаю не отвечать</t>
  </si>
  <si>
    <t>2.24.</t>
  </si>
  <si>
    <t>% of beneficiary HHs receiving vouchers for energy efficient appliances, by type of appliance</t>
  </si>
  <si>
    <t>Please specify for what type of appliance</t>
  </si>
  <si>
    <t>Vă rugăm să specificați pentru ce tip de aparat.</t>
  </si>
  <si>
    <t>Пожалуйста, уточните, на какой тип прибора.</t>
  </si>
  <si>
    <t>Fridge
Washing machine
Cooking stove
Electric water heaters
Air conditioners
Dishwashing machine
Prefer not to answer</t>
  </si>
  <si>
    <t>Frigider
Mașină de spălat rufe
Aragaz
Instalații pentru încălzirea apei (boilere electrice)
Aparate de climatizare (aparate de aer condiționat)
Mașină de spălat vase de uz casnic
Prefer să nu răspund</t>
  </si>
  <si>
    <t>Холодильник
Стиральная машина
Газовая плита
Устройства для нагрева воды (электрические бойлеры)
Климатическое оборудование (кондиционеры)
Посудомоечная машина
Предпочитаю не отвечать</t>
  </si>
  <si>
    <t>If IN# 2.23. = 'Yes'</t>
  </si>
  <si>
    <t>2.25.</t>
  </si>
  <si>
    <t>Former beneficiaries</t>
  </si>
  <si>
    <t>% of HHs that received energy compensation last winter season</t>
  </si>
  <si>
    <t>Did your household receive EVRF energy compensation last winter season (2023-2024)?</t>
  </si>
  <si>
    <t>Gospodăria dumneavoastră a primit compensație energetică EVRF în sezonul de iarnă trecut (2023-2024)?</t>
  </si>
  <si>
    <t>Получало ли ваше домохозяйство компенсацию за энергию по программе EVRF в прошлом зимнем сезоне (2023-2024)?</t>
  </si>
  <si>
    <t>2.26.</t>
  </si>
  <si>
    <t>Comparison to previous winter</t>
  </si>
  <si>
    <t>% of beneficiary HHs by perceived difference in compensation between current and last seasons</t>
  </si>
  <si>
    <t>How does the amount of EVRF energy compensation received this year compare to the amount received last winter season?</t>
  </si>
  <si>
    <t>Cum se compară suma compensației energetice EVRF primită în acest an cu suma primită în sezonul de iarnă trecut?</t>
  </si>
  <si>
    <t>Как сумма компенсации за энергию по программе EVRF в этом году соотносится с суммой, полученной в прошлом зимнем сезоне?</t>
  </si>
  <si>
    <t>Much more
Somewhat more
About the same
Somewhat less
Much less
Do not know / Not sure
Prefer not to answer</t>
  </si>
  <si>
    <t>Mult mai mult
Un pic mai mult
Cam la fel
Un pic mai puțin
Mult mai puțin
Nu știu / Nu sunt sigur/ă
Prefer să nu răspund</t>
  </si>
  <si>
    <t>Намного больше
Немного больше
Примерно одинаково
Чуть меньше
Намного меньше
Не знаю / Не уверен/a
Предпочитаю не отвечать</t>
  </si>
  <si>
    <t>If IN# 2.25. = 'Yes'</t>
  </si>
  <si>
    <t>4.2.</t>
  </si>
  <si>
    <t>Reducing consumption</t>
  </si>
  <si>
    <t>% of HHs that implemented measures to reduce electricity consumption to cut down costs</t>
  </si>
  <si>
    <t>Did you and your household take measures to reduce your electricity consumption for the cold season, to cut down costs?</t>
  </si>
  <si>
    <t>Ați luat Dumneavoastră și gospodăria dumneavoastră măsuri pentru a reduce consumul de electricitate în sezonul rece cu scopul de a micșora costurile?</t>
  </si>
  <si>
    <t>Приняли ли вы и ваше домохозяйство меры для сокращения потребления электричества в холодный сезон, чтобы снизить расходы?</t>
  </si>
  <si>
    <t>4.3.</t>
  </si>
  <si>
    <t>% of HHs that implemented measures to reduce gas consumption to cut down costs</t>
  </si>
  <si>
    <t>Did you and your household take measures to reduce your gas consumption for the cold season, to cut down costs?</t>
  </si>
  <si>
    <t>Ați luat Dumneavoastră și gospodăria dumneavoastră măsuri pentru a reduce consumul de gaz în sezonul rece cu scopul de a micșora costurile?</t>
  </si>
  <si>
    <t>Приняли ли вы и ваше домохозяйство меры для снижения потребления газа в холодный сезон, чтобы сократить расходы?</t>
  </si>
  <si>
    <t>If IN# 2.4. = 'Yes' or IN# 2.1. or 2.2. are 'Autonomous (individual) system - gas based'</t>
  </si>
  <si>
    <t>4.4.</t>
  </si>
  <si>
    <t>% of HHs that implemented measures to reduce heating consumption to cut down costs</t>
  </si>
  <si>
    <t>Did you and your household take measures to reduce your heating consumption for the cold season, to cut down costs?</t>
  </si>
  <si>
    <t>Ați luat Dumneavoastră și gospodăria dumneavoastră măsuri pentru a reduce consumul de încălzire în sezonul rece cu scopul de a micșora costurile?</t>
  </si>
  <si>
    <t>Приняли ли вы и ваше домохозяйство меры для снижения потребления отопления в холодный сезон, чтобы сократить расходы?</t>
  </si>
  <si>
    <t>If IN# 2.1. or 2.2. =  'Solid fuel stove or fireplace' OR 'Other'</t>
  </si>
  <si>
    <t>4.5.</t>
  </si>
  <si>
    <t>% of HHs that reduced electricity, gas or heating consumption, by measure implemented</t>
  </si>
  <si>
    <t>What measures have you and your household taken to reduce electricity, gas or heating consumption?</t>
  </si>
  <si>
    <t>Ce măsuri ați luat Dumneavoastră și gospodăria dumneavoastră pentru a reduce consumul de electricitate, gaz sau încălzire?</t>
  </si>
  <si>
    <t>Какие меры вы и ваше домохозяйство приняли для снижения потребления электричества, газа или отопления?</t>
  </si>
  <si>
    <t xml:space="preserve">Lowering the indoor temperature
Heating only specific rooms
Turning off heating during certain times
Using more blankets or wearing warmer clothing indoors
Switching to cheaper energy sources (e.g. firewood)
Limit the use of electric heaters
Limit the use of light fixtures
Turn off/disconnect appliances when not in use
Reduce consumption of hot water
Reduce usage of gas for cooking
Switch to energy saving appliances
Using energy-efficient bulbs for lighting
Reducing the use of high-energy appliances (e.g., washing machines, dryers)
Sealing windows and doors to prevent heat loss
Other (please specify)
Do not know
Prefer not to answer
</t>
  </si>
  <si>
    <t>Scăderea temperaturii în interior
Încălzirea doar a anumitor camere 
Oprirea încălzirii în anumite intervale de timp
Folosirea mai multor pături sau purtarea îmbrăcămintei mai călduroase în interior
Trecerea la surse de energie mai ieftine (de exemplu, lemne de foc)
Limitarea utilizării încălzitoarelor electrice
Limitarea utilizării corpurilor de iluminat
Oprirea/deconectarea aparatelor când nu sunt utilizate
Reducerea consumului de apă caldă
Reducerea utilizării gazului pentru gătit
Trecerea la aparate economice din punct de vedere energetic
Folosirea becurilor eficiente din punct de vedere energetic pentru iluminat
Reducerea utilizării aparatelor care consumă multă energie (de exemplu, mașini de spălat, uscătoare)
Etanșarea feroneriilor și ușilor pentru a preveni pierderile de căldură
Altele (vă rugăm să precizați)
Nu știu
Prefer să nu răspund</t>
  </si>
  <si>
    <t>Понижение температуры в помещении
Отопление только определенных помещений
Отключение отопления в определенное время
Использовать больше одеял или носить более теплую одежду в помещении
Переход на более дешевые источники энергии (например, дрова).
Ограничение использования электрических обогревателей
Ограничение использования осветительных приборов
Выключать/отключать электроприборы, когда они не используются
Сократить потребление горячей воды
Сократить использование газа для приготовления пищи
Перейти на энергосберегающие приборы
Использование энергосберегающих ламп для освещения
Сократить использование приборов с высоким энергопотреблением (например, стиральных машин, сушилок)
Герметизация окон и дверей для предотвращения потери тепла
Другое (пожалуйста, укажите)
Не знаю
Предпочитаю не отвечать</t>
  </si>
  <si>
    <t>If IN# 4.2. = 'Yes' OR IN# 4.3. = 'Yes' OR IN# 4.4. = 'Yes'</t>
  </si>
  <si>
    <t>4.6.</t>
  </si>
  <si>
    <t>Negative coping strategies</t>
  </si>
  <si>
    <t>% of HHs having to cut down on essential expenses to pay for utility bills</t>
  </si>
  <si>
    <t>Do you or your household have to cut back on other essential expenses (such as food or healthcare) to pay the utility bills this winter?</t>
  </si>
  <si>
    <t>Dumneavoastră sau gospodăria dumneavoastră ați fost nevoiți să reduceți alte cheltuieli esențiale (cum ar fi alimentele sau îngrijirea medicală) pentru a plăti facturile la utilități în această iarnă?</t>
  </si>
  <si>
    <t>Приходится ли вам или вашему домохозяйству сокращать другие важные расходы (такие как еда или здравоохранение), чтобы оплатить коммунальные услуги этой зимой?</t>
  </si>
  <si>
    <t>4.7.</t>
  </si>
  <si>
    <t>% of HHs having to cut down on essential expenses to pay for utility bills, by type of expense</t>
  </si>
  <si>
    <t>Please specify which expenses your household had to cut back on:</t>
  </si>
  <si>
    <t>Vă rugăm să specificați la ce cheltuieli a trebuit să renunțe gospodăria dumneavoastră.</t>
  </si>
  <si>
    <t>Пожалуйста, уточните, какие расходы вашему домохозяйство пришлось сократить:</t>
  </si>
  <si>
    <t>Food
Healthcare
Rent or housing-related expenses
Transportation (e.g., fuel, public transport)
Education or school-related expenses
Clothing or personal care items
Childcare or eldercare services
Debt repayments or loan installments
Leisure activities or entertainment
Other (please specify)
Do not know
Prefer not to answer</t>
  </si>
  <si>
    <t>Produse alimentare
Îngrijiri medicale
Cheltuieli pentru chirie sau legate de locuință
Transport (de exemplu, combustibil, transport public)
Cheltuieli pentru educație sau legate de școală
Îmbrăcăminte sau produse de igienă personală
Servicii de îngrijire a copiilor sau a persoanelor vârstnice
Rambursarea datoriilor sau rate la credite
Activități de agrement sau divertisment
Altele (vă rugăm să precizați)
Nu știu
Prefer să nu răspund</t>
  </si>
  <si>
    <t>Продукты питания
Медицинское обслуживание
Аренда или расходы, связанные с жильем
Транспорт (например, топливо, общественный транспорт)
Образование или расходы, связанные со школой
Одежда или предметы личной гигиены
Услуги по уходу за детьми или пожилыми людьми
Погашение долгов или взносы по кредитам
Досуг или развлечения
Другое (пожалуйста, укажите)
Не знаю
Предпочитаю не отвечать</t>
  </si>
  <si>
    <t>If IN# 4.6. = 'Yes'</t>
  </si>
  <si>
    <t>2.27.</t>
  </si>
  <si>
    <t>Temperature of accommodation</t>
  </si>
  <si>
    <t>% of respondents by perceived indoor temperature in November 2024</t>
  </si>
  <si>
    <t>How would you describe the average indoor temperature of your accommodation in November 2024 with the heating you used?</t>
  </si>
  <si>
    <t>Cum ați descrie temperatura medie din interiorul locuinței Dvs. în noiembrie 2024, având în vedere sistemul de încălzire pe care l-ați folosit?</t>
  </si>
  <si>
    <t>Как бы вы описали среднюю температуру в помещении вашего жилья в ноябре 2024 года при использовании отопления?</t>
  </si>
  <si>
    <t>Very cold
Somewhat cold
Comfortable
Somewhat warm
Very warm
Prefer not to answer</t>
  </si>
  <si>
    <t>Foarte rece
Puțin rece
Confortabil
Puțin cald
Foarte cald
Prefer să nu răspund</t>
  </si>
  <si>
    <t>Очень холодно
Немного холодно
Комфортно
Немного тепло
Очень тепло
Предпочитаю не отвечать</t>
  </si>
  <si>
    <t>2.28.</t>
  </si>
  <si>
    <t>% of respondents by perceived indoor temperature in December 2024</t>
  </si>
  <si>
    <t>How would you describe the average indoor temperature of your accommodation in December 2024 with the heating you used?</t>
  </si>
  <si>
    <t>Cum ați descrie temperatura medie din interiorul locuinței Dvs. în decembrie 2024, având în vedere sistemul de încălzire pe care l-ați folosit?</t>
  </si>
  <si>
    <t>Как бы вы описали среднюю температуру в помещении вашего жилья в декабре 2024 года при использовании отопления?</t>
  </si>
  <si>
    <t>2.29.</t>
  </si>
  <si>
    <t>% of HHs reporting affected health due to colder temperatures or improper heating</t>
  </si>
  <si>
    <t>Have the cold temperatures or lack of adequate heating affected the health or well-being of you or your household members?</t>
  </si>
  <si>
    <t>Temperaturile scăzute sau lipsa unui sistem de încălzire adecvat au afectat sănătatea sau starea Dumneavoastră ori a membrilor gospodăriei?</t>
  </si>
  <si>
    <t>Повлияли ли низкие температуры или отсутствие должного отопления на здоровье или самочувствие вас или членов вашего домохозяйства?</t>
  </si>
  <si>
    <t>If IN# 2.27. or 2.28. = 'Very cold' OR 'Somewhat cold'</t>
  </si>
  <si>
    <t>2.30.</t>
  </si>
  <si>
    <t>% of HHs reporting affected health, by type of affliction</t>
  </si>
  <si>
    <t>How did it affect your or their health or well-being?</t>
  </si>
  <si>
    <t>Cum a afectat acest lucru sănătatea sau starea Dumneavoastră sau a lor?</t>
  </si>
  <si>
    <t>Как это повлияло на здоровье или самочувствие вас или ваших членов домохозяйства?</t>
  </si>
  <si>
    <t>Increased instances of colds, flu, or respiratory issues  
Increased joint pain or soreness (eg. arthritis)  
Affected sleep quality or comfort  
Caused some discomfort (eg. feeling chilly but not sick)  
Other (please specify)
Prefer not to answer</t>
  </si>
  <si>
    <t>Creșterea cazurilor de răceli, gripă sau probleme respiratorii
Creșterea durerilor articulare sau a disconfortului (de exemplu, artrită)
Afectarea calității somnului sau a confortului
Provocarea un anumit disconfort (de exemplu, senzație de frig, dar fără îmbolnăvire)
Altele (vă rugăm să precizați)
Prefer să nu răspund</t>
  </si>
  <si>
    <t>Участившиеся случаи простуды, гриппа или респираторных заболеваний  
Усиление боли или болезненности в суставах (например, артрит)  
Повлияло на качество сна или комфорт  
Вызывают некоторый дискомфорт (например, ощущение зябкости, но не болезни)  
Другое (пожалуйста, укажите)
Предпочитаю не отвечать</t>
  </si>
  <si>
    <t>If IN# 2.32 = 'Yes'</t>
  </si>
  <si>
    <t>cannot select 'Caused some discomfort' or 'Prefer not to answer' with any other option</t>
  </si>
  <si>
    <t>2.31.</t>
  </si>
  <si>
    <t>% of beneficiary HHs, by types of expenditure</t>
  </si>
  <si>
    <t>How did you or your household use the cash received from the energy compensation programme?</t>
  </si>
  <si>
    <t>Cum ați folosit Dumneavoastră sau gospodăria banii primiți din programul de compensare a costurilor energiei?</t>
  </si>
  <si>
    <t>Как вы или ваше домохозяйство использовали деньги, полученные от программы компенсации за энергию?</t>
  </si>
  <si>
    <t>Spent on utility bills/firewood
Spent on food
Spent on household items
Spent on healthcare
Spent on rent
Spent on transport
Saved
Paid a debt
Gave or lent to other family members/friends
Other (please specify)
Do not know
Prefer not to answer</t>
  </si>
  <si>
    <t>Cheltuieli pentru facturi de utilități/lemne de foc
Cheltuieli pentru produse alimentare
Cheltuieli pentru obiecte de uz casnic
Cheltuieli pentru îngrijire medicală
Cheltuieli pentru chirie
Cheltuieli pentru transport
Am economisit.
Am plătit o datorie.
Am dat sau am împrumutat altor membri ai familiei/prietenilor
Altele (vă rugăm să precizați)
Nu știu
Prefer să nu răspund</t>
  </si>
  <si>
    <t>Траты на коммунальные платежи/отопление
Траты на продукты питания
Траты на предметы домашнего обихода
Траты на здравоохранение
Траты на аренду жилья
Траты на транспорт
Сэкономили
Выплатили долг
Дали или одолжили другим членам семьи/друзьям
Другое (пожалуйста, укажите)
Не знаю
Предпочитаю не отвечать</t>
  </si>
  <si>
    <t>* cannot select 'Spent on rent' if they own the accommodation
* cannot select 'Do not know' or 'Prefer not to answer' with any other option</t>
  </si>
  <si>
    <t>3. What is the impact of the EVRF energy compensation on the living conditions and well-being of beneficiaries?
a. How does impact differ between refugee and Moldovan households?</t>
  </si>
  <si>
    <t>Impact on living conditions and wellbeing</t>
  </si>
  <si>
    <t xml:space="preserve">To what extent has the energy compensation contributed to your household's:
</t>
  </si>
  <si>
    <t>**În ce măsură compensarea costurilor energiei a contribuit la: **</t>
  </si>
  <si>
    <t>**В какой степени компенсация за энергию способствовала:**</t>
  </si>
  <si>
    <t>3.1.</t>
  </si>
  <si>
    <t>% of beneficiary HHs with improved living conditions</t>
  </si>
  <si>
    <t>a.	Improved living conditions</t>
  </si>
  <si>
    <t>a. Îmbunătățirea condițiilor de trai</t>
  </si>
  <si>
    <t>a. Улучшению условий жизни вашего домохозяйства</t>
  </si>
  <si>
    <t>Significantly
Moderately
Slightly
Not at all
Do not know
Prefer not to answer</t>
  </si>
  <si>
    <t>Semnificativ
Moderat
Nesemnificativ
Deloc
Nu știu
Prefer să nu răspund</t>
  </si>
  <si>
    <t>Значительно
Умеренно
Незначительно
Совсем нет
Не знаю
Предпочитаю не отвечать</t>
  </si>
  <si>
    <t>3.2.</t>
  </si>
  <si>
    <t>% of beneficiary HHs with reduced psychological stress</t>
  </si>
  <si>
    <t>b.	Reduced psychological stress</t>
  </si>
  <si>
    <t>b. Reducerea stresului psihologic</t>
  </si>
  <si>
    <t>b. Снижению психологического стресса</t>
  </si>
  <si>
    <t>Significantly
Moderately
Slightly
Not at all
Not applicable
Do not know
Prefer not to answer</t>
  </si>
  <si>
    <t>3.3.</t>
  </si>
  <si>
    <t>% of beneficiary HHs with reduced financial burden during winter</t>
  </si>
  <si>
    <t>c.	Reduced financial burden during winter</t>
  </si>
  <si>
    <t>c. Reducerea poverii financiare în timpul iernii</t>
  </si>
  <si>
    <t>c. Снижению финансовой нагрузки зимой</t>
  </si>
  <si>
    <t>3.4.</t>
  </si>
  <si>
    <t>% of beneficiary HHs with reduced need to resort to risky or harmful activities</t>
  </si>
  <si>
    <t>d.	Reduced need to resort to risky or harmful activities (such as child labour, engagement in hazardous labour, begging, child marriage, and exposure to risky movements)</t>
  </si>
  <si>
    <t>d. Reducerea necesității de a recurge la activități riscante sau dăunătoare (cum ar fi angajarea minorilor în câmpul de lucru, angajarea în activități periculoase, cerșitul, căsătoria minorilor și expunerea la tranzitări periculoase)</t>
  </si>
  <si>
    <t>d. Уменьшению необходимость прибегать к рискованным или вредным действиям (например, детский труд, участие в опасных видах работ, попрошайничество, детские браки, небезопасное перемещение)</t>
  </si>
  <si>
    <t>3.5.</t>
  </si>
  <si>
    <t>Basic needs</t>
  </si>
  <si>
    <t>% of HHs able to meet their basic needs</t>
  </si>
  <si>
    <t>Overall, to what extent are you currently able to meet the basic needs of your household?</t>
  </si>
  <si>
    <t>În general, în ce măsură sunteți capabil(ă) în prezent să satisfaceți nevoile de bază ale gospodăriei dumneavoastră?</t>
  </si>
  <si>
    <t>В целом, в какой степени вы в настоящее время можете удовлетворить основные потребности вашего домохозяйства?</t>
  </si>
  <si>
    <t>All
More than half (but not all)
Half
Less than half
Not at all
Do not know
Prefer not to answer</t>
  </si>
  <si>
    <t>Toate
Mai mult de jumătate (dar nu tot)
Jumătate
Mai puțin de jumătate
Deloc
Nu știu
Prefer să nu răspund</t>
  </si>
  <si>
    <t>Все
Больше половины (но не все)
Половина
Меньше половины
Совсем нет
Не знаю
Предпочитаю не отвечать</t>
  </si>
  <si>
    <t>3.6.</t>
  </si>
  <si>
    <t>% of beneficiary HHs by extent the energy compensation aided in meeting their needs</t>
  </si>
  <si>
    <t>To what extent do you think the energy compensation has aided your ability to meet your household's needs?</t>
  </si>
  <si>
    <t>Cum credeți, în ce măsură compensarea costurilor energiei a contribuit la capacitatea Dumneavoastră de a satisface nevoile gospodăriei?</t>
  </si>
  <si>
    <t>В какой степени, по вашему мнению, компенсация за энергию помогла вам удовлетворить потребности вашего домохозяйства?</t>
  </si>
  <si>
    <t>3.7.</t>
  </si>
  <si>
    <t>% of HHs by type of need they cannot afford</t>
  </si>
  <si>
    <t>Which needs is your household not able to afford?</t>
  </si>
  <si>
    <t>Ce nevoi gospodăria dumneavoastră nu poate să le acopere?</t>
  </si>
  <si>
    <t>Какие потребности ваше домохозяйство не в состоянии покрыть?</t>
  </si>
  <si>
    <t>Access to healthcare services and medication
Access to sufficient and nutritious food
Adequate housing conditions
Access to electricity, gas or heating
Appropriate clothing for different weather conditions
Access to hygiene products
Access to public transportation
Access to necessary technology (e.g., phone, internet)
Other (please specify)
Do not know
Prefer not to answer</t>
  </si>
  <si>
    <t>Acces la servicii de îngrijire medicală și medicamente
Acces la hrană suficientă și nutritivă.
Condiții adecvate de locuire
Acces la electricitate, gaz sau încălzire
Îmbrăcăminte adecvată pentru diferite condiții meteorologice
Acces la produse de igienă
Acces la transportul public
Acces la tehnologia necesară (de exemplu, telefon, internet)
Altele (vă rugăm să precizați)
Nu știu
Prefer să nu răspund</t>
  </si>
  <si>
    <t>Доступ к медицинским услугам и лекарствам
Доступ к достаточному и полезному питанию
Адекватные жилищные условия
Доступ к электричеству, газу или отоплению
Соответствующая одежда для различных погодных условий
Доступ к средствам гигиены
Доступ к общественному транспорту
Доступ к необходимым технологиям (например, телефон, интернет)
Другое (пожалуйста, укажите)
Не знаю
Предпочитаю не отвечать</t>
  </si>
  <si>
    <t>If IN# 3.5. &lt;&gt; 'All'</t>
  </si>
  <si>
    <t>4. What coping strategies are employed by potentially energy-vulnerable refugee and Moldovan households to meet their energy needs for the winter of 2024-2025?
a. How do the coping strategies differ between EVRF beneficiaries and non-beneficiaries?</t>
  </si>
  <si>
    <t>Long-term coping strategies</t>
  </si>
  <si>
    <t xml:space="preserve">% of HHs planning long-term strategies to cope with rising and volatile energy costs </t>
  </si>
  <si>
    <t>Are you or your household planning any long-term strategies to cope with rising and volatile energy costs?</t>
  </si>
  <si>
    <t>Dumneavoastră sau gospodăria dumneavoastră plănuiți strategii pe termen lung pentru a face față creșterii și instabilității costurilor energiei?</t>
  </si>
  <si>
    <t>Планируете ли вы или ваше домохозяйство принять долгосрочные стратегии для борьбы с растущими и нестабильными затратами на энергию?</t>
  </si>
  <si>
    <t>In this context, "long-term" refers to strategies aimed at managing rising and volatile energy costs over at least six months, rather than daily/weekly/monthly solutions</t>
  </si>
  <si>
    <t>În acest context, **„pe termen lung”** se referă la strategii destinate gestionării creșterii și volatilitații costurilor energiei pe o perioadă de cel puțin șase luni, mai degrabă decât soluții zilnice/săptămânale/lunare.</t>
  </si>
  <si>
    <t>В этом контексте **"долгосрочные"** стратегии подразумевают меры, направленные на управление растущими и нестабильными затратами на энергоресурсы на срок не менее **шести месяцев**, а не на ежедневные/недельные/месячные решения.</t>
  </si>
  <si>
    <t>4.8.</t>
  </si>
  <si>
    <t>% of HHs planning long-term strategies to cope with rising and volatile energy costs, by type of strategy</t>
  </si>
  <si>
    <t>What strategies is your household considering?</t>
  </si>
  <si>
    <t>Ce strategii ia în considerare gospodăria dumneavoastră?</t>
  </si>
  <si>
    <t>Какие стратегии рассматривает ваше домохозяйство?</t>
  </si>
  <si>
    <t>Improving home insulation
Investing in energy-efficient appliances
Moving to a smaller or more energy-efficient home
Seeking more stable sources of income
Saving money during the warm season
Changing from a centralised to an autonomous heating system
Stocking up on firewood during the warm season, when it is cheaper
Installing solar panels or other renewable energy sources
Reducing overall energy consumption (e.g., using less electricity or gas)
Shifting to cheaper energy sources (e.g., switching to more affordable heating fuels)
Other (please specify)
Do not know
Prefer not to answer</t>
  </si>
  <si>
    <t>Îmbunătățirea izolației termice a locuinței
Investirea în aparate electrocasnice eficiente din punct de vedere energetic
Mutarea într-o locuință mai mică sau mai eficientă energetic
Căutarea unor surse de venit mai stabile
Economisirea banilor în sezonul cald
Trecerea de la un sistem de încălzire centralizat la unul autonom
Achiziționarea lemnelor de foc în sezonul cald, când sunt mai ieftine
Instalarea panourilor solare sau a altor surse de energie regenerabilă
Reducerea consumului general de energie (de exemplu, utilizarea unei cantități mai mici de electricitate sau gaz)
Trecerea la surse de energie mai ieftine (de exemplu, schimbarea combustibililor pentru încălzire cu unele mai accesibile)
Altele (vă rugăm să precizați)
Nu știu
Prefer să nu răspund</t>
  </si>
  <si>
    <t>Улучшение теплоизоляции дома
Инвестиции в энергоэффективные приборы
Переезд в меньший или более энергоэффективный дом
Поиск более стабильных источников дохода
Экономия денег в теплое время года
Переход с централизованной на автономную систему отопления
Запасаться дровами в теплое время года, когда они дешевле
Установка солнечных батарей или других возобновляемых источников энергии
Сокращение общего энергопотребления (например, использование меньшего количества электричества или газа)
Переход на более дешевые источники энергии (например, переход на более доступное топливо для отопления)
Другое (пожалуйста, укажите)
Не знаю
Предпочитаю не отвечать</t>
  </si>
  <si>
    <t>If IN# 4.8. = 'Yes'</t>
  </si>
  <si>
    <t>5. To what extent are refugee and Moldovan beneficiary households satisfied with the amount and mode of distribution of the EVRF energy compensation during the winter of 2024-2025?</t>
  </si>
  <si>
    <t>5.1.</t>
  </si>
  <si>
    <t>Satisfaction with mode of compensation</t>
  </si>
  <si>
    <t>% of beneficiary HHs by preferred method of receiving energy compensation</t>
  </si>
  <si>
    <t>Which method of receiving energy compensation do you and your household prefer?</t>
  </si>
  <si>
    <t>Ce metodă de a primi compensarea costurilor energiei ați prefera Dumneavoastră și gospodăria?</t>
  </si>
  <si>
    <t>Какой метод получения компенсации за энергию вы и ваше домохозяйство предпочли бы?</t>
  </si>
  <si>
    <t>Subtracted directly from the bill
Received as direct cash support
Direct distribution of firewood/solid fuel
No preference
Other (please specify)
Prefer not to answer</t>
  </si>
  <si>
    <t>Scăzut direct din factură
Primit ca sprijin direct în numerar
Distribuire directă a lemnelor de foc/combustibililor solizi
Fără preferință
Altele (vă rugăm să precizați)
Prefer să nu răspund</t>
  </si>
  <si>
    <t>Вычитается непосредственно из счета
Получено в качестве прямой денежной поддержки
Прямое распределение дров/твердого топлива
Без предпочтений
Другое (пожалуйста, укажите)
Предпочитаю не отвечать</t>
  </si>
  <si>
    <t>5.2.</t>
  </si>
  <si>
    <t>% of beneficiary HHs satisfied with the process of receiving energy compensation</t>
  </si>
  <si>
    <t>To what extent are you and your household satisfied with the process of receiving your energy compensation?</t>
  </si>
  <si>
    <t>În ce măsură Dumneavoastră și gospodăria sunteți mulțumiți de procesul de primire a compensației pentru energie?</t>
  </si>
  <si>
    <t>В какой степени вы и ваше домохозяйство удовлетворены процессом получения компенсации за энергию?</t>
  </si>
  <si>
    <t>5.3.</t>
  </si>
  <si>
    <t>% of beneficiary HHs dissatisfied with the process of receiving energy compensation, by reason of dissatisfaction</t>
  </si>
  <si>
    <t>Why are you or your household dissatisfied?</t>
  </si>
  <si>
    <t>De ce Dumneavoastră sau gospodăria Dumneavoastră nu sunteți satisfăcuți?</t>
  </si>
  <si>
    <t>Почему вы или ваше домохозяйство недовольны?</t>
  </si>
  <si>
    <t>The method of payment was inconvenient or difficult to access
We had to provide additional information or documentation after being approved, causing delays
The payment process was not transparent or clearly communicated
There were issues with the payment being sent to the wrong account or recipient
The payment was made in a way that was not accessible to me/us (eg, needing to go to the postal office and having limited mobility)
The payment was delayed beyond the expected timeframe
The payment was received after the utility bills for the respective month were due
Other (please specify)
Do not know
Prefer not to answer</t>
  </si>
  <si>
    <t>Metoda de plată a fost incomodă sau greu accesibilă.
A fost necesar să furnizăm informații sau documentație suplimentară după aprobarea cererii, ceea ce a cauzat întârzieri.
Procesul de plată nu a fost transparent sau clar comunicat.
Au fost probleme cu plata trimisă către un  cont sau beneficiar greșit.
Plata a fost făcută într-un mod care nu era accesibil pentru mine/noi (de exemplu, fiind necesar să mergem la oficiul poștal și având mobilitate limitată).
Plata a întârziat mult după termenul estimat.
Plata a fost primită după data scadentă a facturilor pentru utilitățile respective ale lunii.
Altele (vă rugăm să precizați)
Nu știu
Prefer să nu răspund</t>
  </si>
  <si>
    <t>Способ оплаты был неудобным или труднодоступным
После получения одобрения нам пришлось предоставлять дополнительную информацию или документы, что привело к задержкам
Процесс оплаты не был прозрачным или не был четко проинформирован
Возникли проблемы с отправкой платежа на неправильный счет или получателю
Платеж был осуществлен недоступным для меня/нас способом (например, мне нужно было идти на почту, а я был ограничен в передвижении)
Платеж был задержан сверх ожидаемых сроков
Платеж был получен после того, как подошел срок оплаты коммунальных услуг за соответствующий месяц
Другое (пожалуйста, укажите)
Не знаю
Предпочитаю не отвечать</t>
  </si>
  <si>
    <t>If IN# 5.2. = 'Dissatisfied' OR 'Very dissatisfied'</t>
  </si>
  <si>
    <t>5.4.</t>
  </si>
  <si>
    <t>Satisfaction with amount of compensation</t>
  </si>
  <si>
    <t>% of beneficiary HHs satisfied with the amount of energy compensation received</t>
  </si>
  <si>
    <t>To what extent are you and your household satisfied with the amount your household received from the energy compensation?</t>
  </si>
  <si>
    <t>În ce măsură Dumneavoastră și gospodăria sunteți satisfăcuți de suma primită pentru compensarea costurilor energiei?</t>
  </si>
  <si>
    <t>В какой степени вы и ваше домохозяйство удовлетворены суммой, которую ваше домохозяйство получило от компенсации за энергию?</t>
  </si>
  <si>
    <t>5.5.</t>
  </si>
  <si>
    <t>% of HHs identifying additional forms of assistance needed to help cope with energy costs</t>
  </si>
  <si>
    <t>Are there other forms of assistance you believe should be provided to help households cope with energy costs?</t>
  </si>
  <si>
    <t>Există alte forme de asistență pe care credeți că ar trebui să le primească gospodăriile pentru a face față cheltuielilor pentru energie?</t>
  </si>
  <si>
    <t>Существуют ли другие формы помощи, которые, по вашему мнению, должны быть предоставлены для того, чтобы помочь домохозяйствам справляться с расходами на энергию?</t>
  </si>
  <si>
    <t>Increased assistance with energy-efficient home improvements (eg, insulation, windows, heating systems)
Support for renewable energy solutions (eg, solar panels, wind energy systems)
Energy-saving education programs to help households reduce consumption
Flexible payment plans or deferred payment options for energy bills
Support to access alternative heating sources (eg, firewood, pellets)
Other (please specify)
Do not know
Prefer not to answer</t>
  </si>
  <si>
    <t>Asistență suplimentară pentru îmbunătățiri energetice ale locuinței (de exemplu, izolație, geamuri, sisteme de încălzire)
Sprijin pentru soluții de energie regenerabilă (de exemplu, panouri solare, sisteme de energie eoliană)
Programe educaționale de economisire a energiei pentru a ajuta gospodăriile să reducă consumul
Planuri de plată flexibile sau opțiuni de plată amânată pentru facturile de energie
Sprijin pentru accesarea surselor alternative de încălzire (de exemplu, lemne de foc, peleți)
Altele (vă rugăm să precizați)
Nu știu
Prefer să nu răspund</t>
  </si>
  <si>
    <t>Увеличение помощи в улучшении энергоэффективных домов (например, изоляция, окна, системы отопления)
Поддержка решений в области возобновляемых источников энергии (например, солнечных батарей, ветроэнергетических систем)
Образовательные программы по энергосбережению, помогающие домохозяйствам сократить потребление энергии
Гибкие планы платежей или варианты отсрочки оплаты счетов за электроэнергию
Поддержка в получении доступа к альтернативным источникам отопления (например, дрова, пеллеты)
Другое (пожалуйста, укажите)
Не знаю
Предпочитаю не отвечать</t>
  </si>
  <si>
    <t>Closing remarks</t>
  </si>
  <si>
    <t>Other information</t>
  </si>
  <si>
    <t>End comments</t>
  </si>
  <si>
    <t>Is there anything else that you would like to add in regards to the EVRF compensation programme or the cold season in general?</t>
  </si>
  <si>
    <t>Există ceva ce ați dori să adăugați în legătură cu programul de compensare EVRF sau cu sezonul rece în general?</t>
  </si>
  <si>
    <t>Есть ли что-то еще, что вы хотели бы добавить относительно программы компенсации EVRF или холодного сезона в целом?</t>
  </si>
  <si>
    <t>enter text</t>
  </si>
  <si>
    <t>End</t>
  </si>
  <si>
    <t>End of survey</t>
  </si>
  <si>
    <t>**Vă mulțumim pentru timpul acordat.**</t>
  </si>
  <si>
    <t>** Спасибо Вам за уделенное время**</t>
  </si>
  <si>
    <t>Enumerator comments</t>
  </si>
  <si>
    <t>For the enumerator: please add any relevant comments here</t>
  </si>
  <si>
    <t>Pentru enumerator: Vă rugăm să adăugați orice comentarii relevante aici.</t>
  </si>
  <si>
    <t>Для интервьюера: пожалуйста, добавьте любые соответствующие комментарии здесь.</t>
  </si>
  <si>
    <t>REACH MDA | Energy Vulnerability Reduction Fund Assessment Data Analysis</t>
  </si>
  <si>
    <t>b_hh_type_mixed</t>
  </si>
  <si>
    <t>rural_urban</t>
  </si>
  <si>
    <t xml:space="preserve"> b_hh_type</t>
  </si>
  <si>
    <t>b_hh_size_range</t>
  </si>
  <si>
    <t>b_hh_composition</t>
  </si>
  <si>
    <t>b_hh_with_pwd</t>
  </si>
  <si>
    <t>b_nr_ppl_disability_support_cat</t>
  </si>
  <si>
    <t>b_nr_ppl_earning_income_range</t>
  </si>
  <si>
    <t>b_aver_monthly_income_range</t>
  </si>
  <si>
    <t>b_perc_income_spent_on_energy_nov</t>
  </si>
  <si>
    <t>b_perc_income_spent_on_energy_dec</t>
  </si>
  <si>
    <t>b_hh_heating_systems</t>
  </si>
  <si>
    <t>perc_total_bills_compensated_nov</t>
  </si>
  <si>
    <t>b_total_bills_dec_range</t>
  </si>
  <si>
    <t>b_total_bills_nov_range</t>
  </si>
  <si>
    <t>b_gas_usage_full</t>
  </si>
  <si>
    <t>b_total_bills_nov</t>
  </si>
  <si>
    <t>b_total_bills_dec</t>
  </si>
  <si>
    <t>amount_evrf_nov_range</t>
  </si>
  <si>
    <t>diff_amount_evrf_nov</t>
  </si>
  <si>
    <t>received_evrf_nov_date</t>
  </si>
  <si>
    <t>perc_total_bills_compensated_dec</t>
  </si>
  <si>
    <t>amount_evrf_dec_range</t>
  </si>
  <si>
    <t>diff_amount_evrf_dec</t>
  </si>
  <si>
    <t>received_evrf_dec_date</t>
  </si>
  <si>
    <t>b_refugee</t>
  </si>
  <si>
    <t>b_heat_system_primary</t>
  </si>
  <si>
    <t>b_applied_evrf_how</t>
  </si>
  <si>
    <t>b_legal_status</t>
  </si>
  <si>
    <t>b_aware_of_evrf_how</t>
  </si>
  <si>
    <t>b_hh_with_pwd_certificate</t>
  </si>
  <si>
    <t>b_refugee == "yes" &amp; b_refugee_hh == "yes_all") 
                                              | (b_refugee == "yes" &amp; is.na(b_refugee_hh)) ~ "Refugee HH",
                                              T ~ "Moldovan HH"</t>
  </si>
  <si>
    <t xml:space="preserve"> b_refugee == "yes" &amp; b_refugee_hh == "yes_all" | 
    b_refugee == "yes" &amp; b_hh_size == 1 | 
    b_refugee == "yes" &amp; b_refugee_hh == "child_born_md" ~ "Refugee only",
  b_refugee == "no" &amp;  b_refugee_hh == "no" |
    b_refugee == "no" &amp; b_hh_size == 1 ~ "Moldovan only",
  b_refugee == "yes" &amp; b_refugee_hh == "yes_some" |
    b_refugee == "no" &amp; b_refugee_hh == "yes_some" | b_refugee == "yes" &amp; b_refugee_hh == "no" ~ "Mixed",
  T~ NA</t>
  </si>
  <si>
    <t>b_refugee, b_refugee_hh</t>
  </si>
  <si>
    <t>resp_age</t>
  </si>
  <si>
    <t>resp_age_range</t>
  </si>
  <si>
    <t>b_hh_size</t>
  </si>
  <si>
    <t>b_nr_ppl_disability_support</t>
  </si>
  <si>
    <t>b_nr_ppl_earning_income</t>
  </si>
  <si>
    <t>b_aver_monthly_income</t>
  </si>
  <si>
    <t>b_gas_usage</t>
  </si>
  <si>
    <t>amount_evrf_nov</t>
  </si>
  <si>
    <t>received_evrf_nov</t>
  </si>
  <si>
    <t>amount_evrf_dec</t>
  </si>
  <si>
    <t>received_evrf_dec</t>
  </si>
  <si>
    <t xml:space="preserve"> b_hh_size %in% c(1) | is.na(b_hh_size)  ~ "1",
    b_hh_size %in% c(2,3,4) ~ "2-4",
    b_hh_size &gt;= 5 ~ "5+"</t>
  </si>
  <si>
    <t xml:space="preserve">b_hh_size,b_vuln_groups,b_nr_older_ppl,b_nr_children, resp_age </t>
  </si>
  <si>
    <t>b_wgss_seeing, b_wgss_hearing, b_wgss_walking,
b_wgss_remembering, b_wgss_selfcare, b_wgss_communicating</t>
  </si>
  <si>
    <t>b_nr_ppl_disability_support &gt; 0  ~ "Yes",
  is.na(b_nr_ppl_disability_support) | b_nr_ppl_disability_support == 0 | `b_vuln_groups/pwd` == 0 ~ "No"</t>
  </si>
  <si>
    <t>perc_income_spent_on_energy_nov_1 &lt;= 10 ~ "Up to 10%",
    perc_income_spent_on_energy_nov_1 &gt; 10 &amp; perc_income_spent_on_energy_nov_1 &lt;= 50 ~ "11%-50%",
    perc_income_spent_on_energy_nov_1 &gt; 50  &amp; perc_income_spent_on_energy_nov_1 &lt;= 75 ~ "51%-75%",
    perc_income_spent_on_energy_nov_1 &gt; 75 ~ "More than 75%",
    T ~ "Did not disclose HH income"</t>
  </si>
  <si>
    <t>b_aver_monthly_income, b_total_bills_nov</t>
  </si>
  <si>
    <t>perc_income_spent_on_energy_dec &lt;= 10 ~ "Up to 10%",
    perc_income_spent_on_energy_dec &gt; 10 &amp; perc_income_spent_on_energy_dec &lt;= 50 ~ "11%-50%",
    perc_income_spent_on_energy_dec &gt; 50  &amp; perc_income_spent_on_energy_dec &lt;= 75 ~ "51%-75%",
    perc_income_spent_on_energy_dec &gt; 75 ~ "More than 75%",
    T ~ "Did not disclose HH income"</t>
  </si>
  <si>
    <t>b_total_bills_dec,b_aver_monthly_income</t>
  </si>
  <si>
    <t>b_heat_system_primary %in% c("central","autonomous_gas","autonomous_electric","solid_fuel","heater_ac") &amp; 
   !grepl("none",b_heat_system_secondary) ~ "Mixed heating systems" ,
 b_heat_system_primary == "central" &amp; grepl("none",b_heat_system_secondary) ~ "Central heating only",
 b_heat_system_primary == "autonomous_gas" &amp; grepl("none",b_heat_system_secondary) ~ "Autonomous (individual) system - gas based only",
 b_heat_system_primary == "autonomous_electric" &amp; grepl("none",b_heat_system_secondary) ~ "Autonomous (individual) system - electricity based only",
 b_heat_system_primary == "solid_fuel" &amp; grepl("none",b_heat_system_secondary) ~ "Solid fuel stove or fireplace only",
 b_heat_system_primary == "heater_ac" &amp; grepl("none",b_heat_system_secondary) ~ "Space heater/ACs only",</t>
  </si>
  <si>
    <t>b_heat_system_primary, b_heat_system_secondary</t>
  </si>
  <si>
    <t>(b_heat_system_primary == "autonomous_gas" | `b_heat_system_secondary/autonomous_gas` == 1) | 
  ((b_heat_system_primary != "autonomous_gas" | `b_heat_system_secondary/autonomous_gas` == 0) &amp; b_gas_usage == "yes") ~ "Yes",
T ~ "No"</t>
  </si>
  <si>
    <t>b_heat_system_secondary,b_heat_system_primary,b_gas_usage</t>
  </si>
  <si>
    <t>b_cost_gas_nov, b_cost_heat_nov, b_cost_energy_nov</t>
  </si>
  <si>
    <t>b_cost_gas_dec, b_cost_heat_dec, b_cost_energy_dec</t>
  </si>
  <si>
    <t>Sum of costs for bills in December (b_cost_gas_dec+b_cost_heat_dec+b_cost_energy_dec)</t>
  </si>
  <si>
    <t>Sum of  of costs for bills in November (b_cost_gas_nov+ b_cost_heat_nov+ b_cost_energy_nov)</t>
  </si>
  <si>
    <t>Ranges based on :
b_total_bills_dec &gt;= 0 &amp; b_total_bills_dec &lt;= 500 ~ "0 - 500 MDL",
  b_total_bills_dec &gt;= 501 &amp; b_total_bills_dec &lt;= 1000 ~"501 - 1000 MDL",
  b_total_bills_dec &gt;= 1001 &amp; b_total_bills_dec &lt;= 2000 ~"1001 - 2000 MDL",
  b_total_bills_dec &gt;= 2001 &amp; b_total_bills_dec &lt;= 3000 ~"2001 - 3000 MDL",
  b_total_bills_dec &gt; 3000 ~"More than 3000 MDL",
  T~ NA</t>
  </si>
  <si>
    <t>Ranges based on :
b_total_bills_nov &gt;= 0 &amp; b_total_bills_nov &lt;= 500 ~ "0 - 500 MDL",
  b_total_bills_nov &gt;= 501 &amp; b_total_bills_nov &lt;= 1000 ~"501 - 1000 MDL",
  b_total_bills_nov &gt;= 1001 &amp; b_total_bills_nov &lt;= 2000 ~"1001 - 2000 MDL",
  b_total_bills_nov &gt;= 2001 &amp; b_total_bills_nov &lt;= 3000 ~"2001 - 3000 MDL",
  b_total_bills_nov &gt; 3000 ~"More than 3000 MDL",
  T~ NA</t>
  </si>
  <si>
    <t>Ranges based on : 
b_aver_monthly_income &lt; 2000 ~ "Less than 2.000 MDL",
 b_aver_monthly_income &gt;= 2000 &amp; b_aver_monthly_income &lt;= 5000 ~ "2.000 - 5.000 MDL",
    b_aver_monthly_income &gt;= 5001 &amp; b_aver_monthly_income &lt;= 10000 ~ "5.001 - 10.000 MDL",
b_aver_monthly_income &gt;= 10001 &amp; b_aver_monthly_income &lt;= 15000 ~ "10.001 - 15.000 MDL",
b_aver_monthly_income &gt;= 15001 &amp; b_aver_monthly_income &lt;= 20000 ~ "15.001 - 20.000 MDL",
b_aver_monthly_income &gt;= 20001 ~ "Over 20.001 MDL",
 is.na(b_aver_monthly_income) ~ "Did not disclose HH income"</t>
  </si>
  <si>
    <t>Ranges based on :
b_nr_ppl_earning_income == 1 ~ "1",
   b_nr_ppl_earning_income == 2 ~ "2",
   b_nr_ppl_earning_income &gt;= 3 ~ "3+",
   T ~ "0"</t>
  </si>
  <si>
    <t>Based on these conditions:
(b_hh_size == 1 &amp; is.na(b_nr_older_ppl)) | (b_hh_size &gt; 1 &amp; is.na(b_nr_children) &amp; 
is.na(b_nr_older_ppl)) ~ "One or more adults (18-59) only",
(resp_age &lt;= 59 &amp; b_hh_size &gt; 1 &amp; !is.na(b_vuln_groups) &amp; grepl("single_adult", b_vuln_groups) &amp; 
    b_nr_children &gt; 0 &amp; (is.na(b_nr_older_ppl) | b_nr_older_ppl == 0)) | 
   (resp_age &lt;= 59 &amp; b_hh_size == 2 &amp; b_nr_children &gt; 0 &amp; (is.na(b_nr_older_ppl) | b_nr_older_ppl == 0))  
 ~ "Single adult (18-59) with children",
(b_hh_size &gt;= 3 &amp; b_nr_children &gt; 0 &amp; (is.na(b_nr_older_ppl) | b_nr_older_ppl == 0)) ~ "Two or more adults (18-59) with children",
(resp_age &lt;= 59 &amp; b_hh_size &gt; 1 &amp; b_nr_older_ppl &gt; 0 &amp; (b_nr_children == 0 | is.na(b_nr_children)))  
~ "One or more adults (18-59) with older people",
b_hh_size &gt; 0 &amp; b_nr_older_ppl &gt; 0 &amp; b_nr_children &gt; 0 ~ "One or more adults (18-59) with children and older people",
(b_hh_size &gt;= b_nr_older_ppl &amp; (is.na(b_nr_children) | b_nr_children == 0)) ~ "One or more older people (60+) only",
(resp_age &gt;= 60 &amp; b_hh_size &gt;= 2 &amp; b_nr_older_ppl &gt; 0 &amp; b_nr_children &gt; 0)  ~ "One or more older people (60+) with children"
))</t>
  </si>
  <si>
    <t>Recent based on tis calculation 
(amount_evrf_nov/b_total_bills_nov) * 100</t>
  </si>
  <si>
    <t>amount_evrf_nov,b_total_bills_nov</t>
  </si>
  <si>
    <t>Based on these ranges:
amount_evrf_nov &gt;= 300 &amp; amount_evrf_nov &lt;= 499 ~ "300-499 MDL",
    amount_evrf_nov &gt;= 500 &amp; amount_evrf_nov &lt;= 699 ~ "500-699 MDL",
    amount_evrf_nov &gt;= 700 &amp; amount_evrf_nov &lt;= 800 ~ "700-800 MDL",
    T ~ NA)</t>
  </si>
  <si>
    <t>correct_amount_evrf_nov != "yes" &amp; intended_amount_evrf_nov &gt; amount_evrf_nov ~ "Expected more than received",
    correct_amount_evrf_nov != "yes" &amp; intended_amount_evrf_nov &lt; amount_evrf_nov ~ "Received more than expected",
    correct_amount_evrf_nov == "yes" ~ "Received as expected",
    correct_amount_evrf_nov == "not_sure" | correct_amount_evrf_nov == "idk" ~ "Was not informed about the amount beforehand",
    T ~ NA</t>
  </si>
  <si>
    <t>correct_amount_evrf_nov , intended_amount_evrf_nov, amount_evrf_nov</t>
  </si>
  <si>
    <t>Based on these ranges of receiving EVRF compensation in November:
received_evrf_nov &gt;= as.Date("2024-12-10") &amp; received_evrf_nov &lt;= as.Date("2024-12-15") ~ "10 - 15 Dec",
    received_evrf_nov &gt;= as.Date("2024-12-16") &amp; received_evrf_nov &lt;= as.Date("2024-12-22") ~ "16 - 22 Dec",
    received_evrf_nov &gt;= as.Date("2024-12-23") &amp; received_evrf_nov &lt;= as.Date("2024-12-29") ~ "23 - 29 Dec",
    received_evrf_nov &gt;= as.Date("2024-12-30") &amp; received_evrf_nov &lt;= as.Date("2025-01-05") ~ "30 Dec - 5 Jan",
    received_evrf_nov &gt;= as.Date("2025-01-06") &amp; received_evrf_nov &lt;= as.Date("2025-01-12") ~ "6 - 12 Jan",
    received_evrf_nov &gt;= as.Date("2025-01-13") &amp; received_evrf_nov &lt;= as.Date("2025-01-19") ~ "13 - 19 Jan",
    T ~ NA</t>
  </si>
  <si>
    <t>Percent based on this calculation 
(amount_evrf_dec/b_total_bills_dec) * 100)</t>
  </si>
  <si>
    <t>amount_evrf_dec,b_total_bills_dec</t>
  </si>
  <si>
    <t>Based on these ranges in December:
amount_evrf_dec &gt;= 500 &amp; amount_evrf_dec &lt;= 699 ~ "500-699 MDL",
    amount_evrf_dec &gt;= 700 &amp; amount_evrf_dec &lt;= 899 ~ "700-899 MDL",
    amount_evrf_dec &gt;= 900 ~ "900 MDL or more",
    T ~ NA</t>
  </si>
  <si>
    <t>correct_amount_evrf_dec != "yes" &amp; intended_amount_evrf_dec &gt; amount_evrf_dec ~ "Expected more than received",
    correct_amount_evrf_dec != "yes" &amp; intended_amount_evrf_dec &lt; amount_evrf_dec ~ "Received more than expected",
    correct_amount_evrf_dec == "yes" ~ "Received as expected",
    correct_amount_evrf_dec == "not_sure" | correct_amount_evrf_dec == "idk" ~ "Was not informed about the amount beforehand",
    T ~ NA</t>
  </si>
  <si>
    <t>correct_amount_evrf_dec, intended_amount_evrf_dec, amount_evrf_dec</t>
  </si>
  <si>
    <t>Based on these ranges of receiving EVRF compensation in December:
received_evrf_dec &gt;= as.Date("2025-01-10") &amp; received_evrf_dec &lt;= as.Date("2025-01-15") ~ "10 - 15 Jan",
    received_evrf_dec &gt;= as.Date("2025-01-16") &amp; received_evrf_dec &lt;= as.Date("2025-01-22") ~ "16 - 22 Jan",
    received_evrf_dec &gt;= as.Date("2025-01-23") &amp; received_evrf_dec &lt;= as.Date("2025-01-29") ~ "23 - 29 Jan",
    received_evrf_dec &gt;= as.Date("2025-01-30") &amp; received_evrf_dec &lt;= as.Date("2025-02-05") ~ "30 Jan - 5 Feb",
    received_evrf_dec &gt;= as.Date("2025-02-06") &amp; received_evrf_dec &lt;= as.Date("2025-02-12") ~ "6 - 12 Feb",
    received_evrf_dec &gt;= as.Date("2025-02-13") &amp; received_evrf_dec &lt;= as.Date("2025-02-19") ~ "13 - 19 Feb",
    received_evrf_dec == as.Date("2025-03-01") ~ "Not received yet",
    TRUE ~ NA</t>
  </si>
  <si>
    <t>b_nr_ppl_disability_certificate &gt; 0  ~ "Yes",
  is.na(b_nr_ppl_disability_certificate) | b_nr_ppl_disability_certificate == 0 | `b_vuln_groups/pwd` == 0 ~ "No",
  T ~ NA</t>
  </si>
  <si>
    <t>b_nr_ppl_disability_certificate, b_vuln_groups/pwd</t>
  </si>
  <si>
    <t>resp_age &gt;= 18 &amp; resp_age &lt;= 34 ~ "18-34",
    resp_age &gt;= 35 &amp; resp_age &lt;= 59 ~ "35-59",
    resp_age &gt;= 60 ~ "60+"</t>
  </si>
  <si>
    <t>b_region</t>
  </si>
  <si>
    <t>raion</t>
  </si>
  <si>
    <t>locality</t>
  </si>
  <si>
    <t>region</t>
  </si>
  <si>
    <t xml:space="preserve"> hh_type</t>
  </si>
  <si>
    <t>refugee, refugee_hh</t>
  </si>
  <si>
    <t>refugee == "yes" &amp; refugee_hh == "yes_all") 
                                              | (refugee == "yes" &amp; is.na(refugee_hh)) ~ "Refugee HH",
                                              T ~ "Moldovan HH"</t>
  </si>
  <si>
    <t>hh_type_mixed</t>
  </si>
  <si>
    <t xml:space="preserve"> refugee == "yes" &amp; refugee_hh == "yes_all" | 
    refugee == "yes" &amp; hh_size == 1 | 
    refugee == "yes" &amp; refugee_hh == "child_born_md" ~ "Refugee only",
  refugee == "no" &amp;  refugee_hh == "no" |
    refugee == "no" &amp; hh_size == 1 ~ "Moldovan only",
  refugee == "yes" &amp; refugee_hh == "yes_some" |
    refugee == "no" &amp; refugee_hh == "yes_some" | refugee == "yes" &amp; refugee_hh == "no" ~ "Mixed",
  T~ NA</t>
  </si>
  <si>
    <t>hh_size_range</t>
  </si>
  <si>
    <t>hh_size</t>
  </si>
  <si>
    <t xml:space="preserve"> hh_size %in% c(1) | is.na(hh_size)  ~ "1",
    hh_size %in% c(2,3,4) ~ "2-4",
    hh_size &gt;= 5 ~ "5+"</t>
  </si>
  <si>
    <t>hh_composition</t>
  </si>
  <si>
    <t xml:space="preserve">hh_size,vuln_groups,nr_older_ppl,nr_children, resp_age </t>
  </si>
  <si>
    <t>Based on these conditions:
(hh_size == 1 &amp; is.na(nr_older_ppl)) | (hh_size &gt; 1 &amp; is.na(nr_children) &amp; 
is.na(nr_older_ppl)) ~ "One or more adults (18-59) only",
(resp_age &lt;= 59 &amp; hh_size &gt; 1 &amp; !is.na(vuln_groups) &amp; grepl("single_adult", vuln_groups) &amp; 
    nr_children &gt; 0 &amp; (is.na(nr_older_ppl) | nr_older_ppl == 0)) | 
   (resp_age &lt;= 59 &amp; hh_size == 2 &amp; nr_children &gt; 0 &amp; (is.na(nr_older_ppl) | nr_older_ppl == 0))  
 ~ "Single adult (18-59) with children",
(hh_size &gt;= 3 &amp; nr_children &gt; 0 &amp; (is.na(nr_older_ppl) | nr_older_ppl == 0)) ~ "Two or more adults (18-59) with children",
(resp_age &lt;= 59 &amp; hh_size &gt; 1 &amp; nr_older_ppl &gt; 0 &amp; (nr_children == 0 | is.na(nr_children)))  
~ "One or more adults (18-59) with older people",
hh_size &gt; 0 &amp; nr_older_ppl &gt; 0 &amp; nr_children &gt; 0 ~ "One or more adults (18-59) with children and older people",
(hh_size &gt;= nr_older_ppl &amp; (is.na(nr_children) | nr_children == 0)) ~ "One or more older people (60+) only",
(resp_age &gt;= 60 &amp; hh_size &gt;= 2 &amp; nr_older_ppl &gt; 0 &amp; nr_children &gt; 0)  ~ "One or more older people (60+) with children"
))</t>
  </si>
  <si>
    <t>hh_with_pwd</t>
  </si>
  <si>
    <t>wgss_seeing, wgss_hearing, wgss_walking,
wgss_remembering, wgss_selfcare, wgss_communicating</t>
  </si>
  <si>
    <t>nr_ppl_disability_support_cat</t>
  </si>
  <si>
    <t>nr_ppl_disability_support</t>
  </si>
  <si>
    <t>nr_ppl_disability_support &gt; 0  ~ "Yes",
  is.na(nr_ppl_disability_support) | nr_ppl_disability_support == 0 | `vuln_groups/pwd` == 0 ~ "No"</t>
  </si>
  <si>
    <t>nr_ppl_earning_income_range</t>
  </si>
  <si>
    <t>nr_ppl_earning_income</t>
  </si>
  <si>
    <t>Ranges based on :
nr_ppl_earning_income == 1 ~ "1",
   nr_ppl_earning_income == 2 ~ "2",
   nr_ppl_earning_income &gt;= 3 ~ "3+",
   T ~ "0"</t>
  </si>
  <si>
    <t>aver_monthly_income_range</t>
  </si>
  <si>
    <t>aver_monthly_income</t>
  </si>
  <si>
    <t>Ranges based on : 
aver_monthly_income &lt; 2000 ~ "Less than 2.000 MDL",
 aver_monthly_income &gt;= 2000 &amp; aver_monthly_income &lt;= 5000 ~ "2.000 - 5.000 MDL",
    aver_monthly_income &gt;= 5001 &amp; aver_monthly_income &lt;= 10000 ~ "5.001 - 10.000 MDL",
aver_monthly_income &gt;= 10001 &amp; aver_monthly_income &lt;= 15000 ~ "10.001 - 15.000 MDL",
aver_monthly_income &gt;= 15001 &amp; aver_monthly_income &lt;= 20000 ~ "15.001 - 20.000 MDL",
aver_monthly_income &gt;= 20001 ~ "Over 20.001 MDL",
 is.na(aver_monthly_income) ~ "Did not disclose HH income"</t>
  </si>
  <si>
    <t>perc_income_spent_on_energy_nov</t>
  </si>
  <si>
    <t>aver_monthly_income, total_bills_nov</t>
  </si>
  <si>
    <t>perc_income_spent_on_energy_dec</t>
  </si>
  <si>
    <t>total_bills_dec,aver_monthly_income</t>
  </si>
  <si>
    <t>hh_heating_systems</t>
  </si>
  <si>
    <t>heat_system_primary, heat_system_secondary</t>
  </si>
  <si>
    <t>heat_system_primary %in% c("central","autonomous_gas","autonomous_electric","solid_fuel","heater_ac") &amp; 
   !grepl("none",heat_system_secondary) ~ "Mixed heating systems" ,
 heat_system_primary == "central" &amp; grepl("none",heat_system_secondary) ~ "Central heating only",
 heat_system_primary == "autonomous_gas" &amp; grepl("none",heat_system_secondary) ~ "Autonomous (individual) system - gas based only",
 heat_system_primary == "autonomous_electric" &amp; grepl("none",heat_system_secondary) ~ "Autonomous (individual) system - electricity based only",
 heat_system_primary == "solid_fuel" &amp; grepl("none",heat_system_secondary) ~ "Solid fuel stove or fireplace only",
 heat_system_primary == "heater_ac" &amp; grepl("none",heat_system_secondary) ~ "Space heater/ACs only",</t>
  </si>
  <si>
    <t>gas_usage_full</t>
  </si>
  <si>
    <t>heat_system_secondary,heat_system_primary,gas_usage</t>
  </si>
  <si>
    <t>(heat_system_primary == "autonomous_gas" | `heat_system_secondary/autonomous_gas` == 1) | 
  ((heat_system_primary != "autonomous_gas" | `heat_system_secondary/autonomous_gas` == 0) &amp; gas_usage == "yes") ~ "Yes",
T ~ "No"</t>
  </si>
  <si>
    <t>total_bills_nov</t>
  </si>
  <si>
    <t>cost_gas_nov, cost_heat_nov, cost_energy_nov</t>
  </si>
  <si>
    <t>Sum of  of costs for bills in November (cost_gas_nov+ cost_heat_nov+ cost_energy_nov)</t>
  </si>
  <si>
    <t>total_bills_nov_range</t>
  </si>
  <si>
    <t>Ranges based on :
total_bills_nov &gt;= 0 &amp; total_bills_nov &lt;= 500 ~ "0 - 500 MDL",
  total_bills_nov &gt;= 501 &amp; total_bills_nov &lt;= 1000 ~"501 - 1000 MDL",
  total_bills_nov &gt;= 1001 &amp; total_bills_nov &lt;= 2000 ~"1001 - 2000 MDL",
  total_bills_nov &gt;= 2001 &amp; total_bills_nov &lt;= 3000 ~"2001 - 3000 MDL",
  total_bills_nov &gt; 3000 ~"More than 3000 MDL",
  T~ NA</t>
  </si>
  <si>
    <t>total_bills_dec</t>
  </si>
  <si>
    <t>cost_gas_dec, cost_heat_dec, cost_energy_dec</t>
  </si>
  <si>
    <t>Sum of costs for bills in December (cost_gas_dec+cost_heat_dec+cost_energy_dec)</t>
  </si>
  <si>
    <t>total_bills_dec_range</t>
  </si>
  <si>
    <t>Ranges based on :
total_bills_dec &gt;= 0 &amp; total_bills_dec &lt;= 500 ~ "0 - 500 MDL",
  total_bills_dec &gt;= 501 &amp; total_bills_dec &lt;= 1000 ~"501 - 1000 MDL",
  total_bills_dec &gt;= 1001 &amp; total_bills_dec &lt;= 2000 ~"1001 - 2000 MDL",
  total_bills_dec &gt;= 2001 &amp; total_bills_dec &lt;= 3000 ~"2001 - 3000 MDL",
  total_bills_dec &gt; 3000 ~"More than 3000 MDL",
  T~ NA</t>
  </si>
  <si>
    <t>hh_with_pwd_certificate</t>
  </si>
  <si>
    <t>nr_ppl_disability_certificate, vuln_groups/pwd</t>
  </si>
  <si>
    <t>nr_ppl_disability_certificate &gt; 0  ~ "Yes",
  is.na(nr_ppl_disability_certificate) | nr_ppl_disability_certificate == 0 | `vuln_groups/pwd` == 0 ~ "No",
  T ~ NA</t>
  </si>
  <si>
    <t>uuid</t>
  </si>
  <si>
    <t>loop_index</t>
  </si>
  <si>
    <t>evrf_month</t>
  </si>
  <si>
    <t>b_resp_gender</t>
  </si>
  <si>
    <t>b_legal_status_other</t>
  </si>
  <si>
    <t>b_refugee_hh</t>
  </si>
  <si>
    <t>b_vuln_groups</t>
  </si>
  <si>
    <t>b_vuln_groups/plw</t>
  </si>
  <si>
    <t>b_vuln_groups/children</t>
  </si>
  <si>
    <t>b_vuln_groups/older_people</t>
  </si>
  <si>
    <t>b_vuln_groups/pwd</t>
  </si>
  <si>
    <t>b_vuln_groups/chronic_illness</t>
  </si>
  <si>
    <t>b_vuln_groups/single_adult</t>
  </si>
  <si>
    <t>b_vuln_groups/none</t>
  </si>
  <si>
    <t>b_vuln_groups/no_answer</t>
  </si>
  <si>
    <t>b_nr_children</t>
  </si>
  <si>
    <t>b_nr_older_ppl</t>
  </si>
  <si>
    <t>b_wgss_seeing</t>
  </si>
  <si>
    <t>b_wgss_hearing</t>
  </si>
  <si>
    <t>b_wgss_walking</t>
  </si>
  <si>
    <t>b_wgss_remembering</t>
  </si>
  <si>
    <t>b_wgss_selfcare</t>
  </si>
  <si>
    <t>b_wgss_communicating</t>
  </si>
  <si>
    <t>b_nr_ppl_disability_certificate</t>
  </si>
  <si>
    <t>b_aver_monthly_expense</t>
  </si>
  <si>
    <t>b_accommodation_type</t>
  </si>
  <si>
    <t>b_accommodation_type_other</t>
  </si>
  <si>
    <t>b_aware_of_evrf_how_other</t>
  </si>
  <si>
    <t>b_applied_evrf_how_other</t>
  </si>
  <si>
    <t>b_application_satisfaction</t>
  </si>
  <si>
    <t>b_application_dissatisfaction</t>
  </si>
  <si>
    <t>b_application_dissatisfaction/lack_support</t>
  </si>
  <si>
    <t>b_application_dissatisfaction/unclear_criteria</t>
  </si>
  <si>
    <t>b_application_dissatisfaction/complex_process</t>
  </si>
  <si>
    <t>b_application_dissatisfaction/long_application</t>
  </si>
  <si>
    <t>b_application_dissatisfaction/confusing_platform</t>
  </si>
  <si>
    <t>b_application_dissatisfaction/too_much_info</t>
  </si>
  <si>
    <t>b_application_dissatisfaction/need_social_worker</t>
  </si>
  <si>
    <t>b_application_dissatisfaction/stressful</t>
  </si>
  <si>
    <t>b_application_dissatisfaction/unfair</t>
  </si>
  <si>
    <t>b_application_dissatisfaction/other</t>
  </si>
  <si>
    <t>b_application_dissatisfaction/idk</t>
  </si>
  <si>
    <t>b_application_dissatisfaction/no_answer</t>
  </si>
  <si>
    <t>b_application_dissatisfaction_other</t>
  </si>
  <si>
    <t>b_sw_support_satisfaction</t>
  </si>
  <si>
    <t>b_sw_support_dissatisfaction</t>
  </si>
  <si>
    <t>b_sw_support_dissatisfaction/unavailable</t>
  </si>
  <si>
    <t>b_sw_support_dissatisfaction/no_clear_info</t>
  </si>
  <si>
    <t>b_sw_support_dissatisfaction/refused_to_help</t>
  </si>
  <si>
    <t>b_sw_support_dissatisfaction/unprofessional</t>
  </si>
  <si>
    <t>b_sw_support_dissatisfaction/no_doc_assistance</t>
  </si>
  <si>
    <t>b_sw_support_dissatisfaction/no_evrf_knowledge</t>
  </si>
  <si>
    <t>b_sw_support_dissatisfaction/different_language</t>
  </si>
  <si>
    <t>b_sw_support_dissatisfaction/delays</t>
  </si>
  <si>
    <t>b_sw_support_dissatisfaction/errors</t>
  </si>
  <si>
    <t>b_sw_support_dissatisfaction/no_empathy</t>
  </si>
  <si>
    <t>b_sw_support_dissatisfaction/discriminated</t>
  </si>
  <si>
    <t>b_sw_support_dissatisfaction/not_enough_time</t>
  </si>
  <si>
    <t>b_sw_support_dissatisfaction/other</t>
  </si>
  <si>
    <t>b_sw_support_dissatisfaction/idk</t>
  </si>
  <si>
    <t>b_sw_support_dissatisfaction/no_answer</t>
  </si>
  <si>
    <t>b_sw_support_dissatisfaction_other</t>
  </si>
  <si>
    <t>evrf_challenges</t>
  </si>
  <si>
    <t>evrf_challenges_list</t>
  </si>
  <si>
    <t>evrf_challenges_list/lack_documents</t>
  </si>
  <si>
    <t>evrf_challenges_list/language_barrier</t>
  </si>
  <si>
    <t>evrf_challenges_list/no_internet</t>
  </si>
  <si>
    <t>evrf_challenges_list/inaccessible_sw</t>
  </si>
  <si>
    <t>evrf_challenges_list/tech_issues</t>
  </si>
  <si>
    <t>evrf_challenges_list/landlord_applied</t>
  </si>
  <si>
    <t>evrf_challenges_list/other</t>
  </si>
  <si>
    <t>evrf_challenges_list/idk</t>
  </si>
  <si>
    <t>evrf_challenges_list/no_answer</t>
  </si>
  <si>
    <t>evrf_challenges_list_other</t>
  </si>
  <si>
    <t>b_evrf_changes</t>
  </si>
  <si>
    <t>b_evrf_changes/clearer_criteria</t>
  </si>
  <si>
    <t>b_evrf_changes/more_languages</t>
  </si>
  <si>
    <t>b_evrf_changes/fully_online</t>
  </si>
  <si>
    <t>b_evrf_changes/more_guidance</t>
  </si>
  <si>
    <t>b_evrf_changes/status_communication</t>
  </si>
  <si>
    <t>b_evrf_changes/expand_criteria</t>
  </si>
  <si>
    <t>b_evrf_changes/home_visits</t>
  </si>
  <si>
    <t>b_evrf_changes/target_rentals</t>
  </si>
  <si>
    <t>b_evrf_changes/higher_compensation</t>
  </si>
  <si>
    <t>b_evrf_changes/clearer_calculations</t>
  </si>
  <si>
    <t>b_evrf_changes/other</t>
  </si>
  <si>
    <t>b_evrf_changes/idk</t>
  </si>
  <si>
    <t>b_evrf_changes/no_answer</t>
  </si>
  <si>
    <t>b_evrf_changes_other</t>
  </si>
  <si>
    <t>b_heat_system_primary_other</t>
  </si>
  <si>
    <t>b_heat_system_secondary</t>
  </si>
  <si>
    <t>b_heat_system_secondary/none</t>
  </si>
  <si>
    <t>b_heat_system_secondary/autonomous_gas</t>
  </si>
  <si>
    <t>b_heat_system_secondary/autonomous_electric</t>
  </si>
  <si>
    <t>b_heat_system_secondary/solid_fuel</t>
  </si>
  <si>
    <t>b_heat_system_secondary/heater_ac</t>
  </si>
  <si>
    <t>b_heat_system_secondary/other</t>
  </si>
  <si>
    <t>b_heat_system_secondary/no_answer</t>
  </si>
  <si>
    <t>b_heat_system_secondary_other</t>
  </si>
  <si>
    <t>b_cover_bills_nov</t>
  </si>
  <si>
    <t>b_cost_gas_nov</t>
  </si>
  <si>
    <t>b_cost_heat_nov</t>
  </si>
  <si>
    <t>b_cost_energy_nov</t>
  </si>
  <si>
    <t>b_cover_bills_dec</t>
  </si>
  <si>
    <t>b_cost_gas_dec</t>
  </si>
  <si>
    <t>b_cost_heat_dec</t>
  </si>
  <si>
    <t>b_cost_energy_dec</t>
  </si>
  <si>
    <t>b_resources_for_bills</t>
  </si>
  <si>
    <t>b_resources_for_bills/salary</t>
  </si>
  <si>
    <t>b_resources_for_bills/savings</t>
  </si>
  <si>
    <t>b_resources_for_bills/loans</t>
  </si>
  <si>
    <t>b_resources_for_bills/support_family</t>
  </si>
  <si>
    <t>b_resources_for_bills/support_ngo</t>
  </si>
  <si>
    <t>b_resources_for_bills/evrf</t>
  </si>
  <si>
    <t>b_resources_for_bills/other</t>
  </si>
  <si>
    <t>b_resources_for_bills/idk</t>
  </si>
  <si>
    <t>b_resources_for_bills/no_answer</t>
  </si>
  <si>
    <t>b_resources_for_bills_other</t>
  </si>
  <si>
    <t>correct_amount_evrf_nov</t>
  </si>
  <si>
    <t>intended_amount_evrf_nov</t>
  </si>
  <si>
    <t>correct_amount_evrf_dec</t>
  </si>
  <si>
    <t>intended_amount_evrf_dec</t>
  </si>
  <si>
    <t>evrf_method</t>
  </si>
  <si>
    <t>evrf_method_other</t>
  </si>
  <si>
    <t>needed_aid</t>
  </si>
  <si>
    <t>received_aid_from</t>
  </si>
  <si>
    <t>received_aid_from/family</t>
  </si>
  <si>
    <t>received_aid_from/friend</t>
  </si>
  <si>
    <t>received_aid_from/social_worker</t>
  </si>
  <si>
    <t>received_aid_from/community</t>
  </si>
  <si>
    <t>received_aid_from/ngo</t>
  </si>
  <si>
    <t>received_aid_from/other</t>
  </si>
  <si>
    <t>received_aid_from/idk</t>
  </si>
  <si>
    <t>received_aid_from/no_answer</t>
  </si>
  <si>
    <t>received_aid_from_other</t>
  </si>
  <si>
    <t>voucher</t>
  </si>
  <si>
    <t>voucher_type</t>
  </si>
  <si>
    <t>b_evrf_23_24</t>
  </si>
  <si>
    <t>evrf_comparison</t>
  </si>
  <si>
    <t>b_reduce_electricity</t>
  </si>
  <si>
    <t>b_reduce_gas</t>
  </si>
  <si>
    <t>b_reduce_heat</t>
  </si>
  <si>
    <t>b_reduce_measures</t>
  </si>
  <si>
    <t>b_reduce_measures/lower_temp</t>
  </si>
  <si>
    <t>b_reduce_measures/heat_some_rooms</t>
  </si>
  <si>
    <t>b_reduce_measures/turn_off_heat</t>
  </si>
  <si>
    <t>b_reduce_measures/blankets_clothes</t>
  </si>
  <si>
    <t>b_reduce_measures/cheaper_energy</t>
  </si>
  <si>
    <t>b_reduce_measures/limited_heaters</t>
  </si>
  <si>
    <t>b_reduce_measures/limited_light</t>
  </si>
  <si>
    <t>b_reduce_measures/turn_off_appliances</t>
  </si>
  <si>
    <t>b_reduce_measures/reduce_hot_water</t>
  </si>
  <si>
    <t>b_reduce_measures/reduce_gas</t>
  </si>
  <si>
    <t>b_reduce_measures/energy_eff_appliances</t>
  </si>
  <si>
    <t>b_reduce_measures/energy_eff_bulbs</t>
  </si>
  <si>
    <t>b_reduce_measures/reduce_energy</t>
  </si>
  <si>
    <t>b_reduce_measures/insulation</t>
  </si>
  <si>
    <t>b_reduce_measures/other</t>
  </si>
  <si>
    <t>b_reduce_measures/idk</t>
  </si>
  <si>
    <t>b_reduce_measures/no_answer</t>
  </si>
  <si>
    <t>b_reduce_measures_other</t>
  </si>
  <si>
    <t>b_reduce_expenses</t>
  </si>
  <si>
    <t>b_reduce_expenses_list</t>
  </si>
  <si>
    <t>b_reduce_expenses_list/food</t>
  </si>
  <si>
    <t>b_reduce_expenses_list/healthcare</t>
  </si>
  <si>
    <t>b_reduce_expenses_list/rent_housing</t>
  </si>
  <si>
    <t>b_reduce_expenses_list/transport</t>
  </si>
  <si>
    <t>b_reduce_expenses_list/education</t>
  </si>
  <si>
    <t>b_reduce_expenses_list/personal_items</t>
  </si>
  <si>
    <t>b_reduce_expenses_list/care_services</t>
  </si>
  <si>
    <t>b_reduce_expenses_list/debt_repayment</t>
  </si>
  <si>
    <t>b_reduce_expenses_list/leisure</t>
  </si>
  <si>
    <t>b_reduce_expenses_list/other</t>
  </si>
  <si>
    <t>b_reduce_expenses_list/idk</t>
  </si>
  <si>
    <t>b_reduce_expenses_list/no_answer</t>
  </si>
  <si>
    <t>b_reduce_expenses_list_other</t>
  </si>
  <si>
    <t>b_temp_nov</t>
  </si>
  <si>
    <t>b_temp_dec</t>
  </si>
  <si>
    <t>b_affected_health</t>
  </si>
  <si>
    <t>b_affected_health_how</t>
  </si>
  <si>
    <t>b_affected_health_how/cold</t>
  </si>
  <si>
    <t>b_affected_health_how/joint_pain</t>
  </si>
  <si>
    <t>b_affected_health_how/sleep_comfort</t>
  </si>
  <si>
    <t>b_affected_health_how/mild_discomfort</t>
  </si>
  <si>
    <t>b_affected_health_how/other</t>
  </si>
  <si>
    <t>b_affected_health_how/no_answer</t>
  </si>
  <si>
    <t>b_affected_health_how_other</t>
  </si>
  <si>
    <t>spent_cash_on</t>
  </si>
  <si>
    <t>spent_cash_on/bills_firewood</t>
  </si>
  <si>
    <t>spent_cash_on/food</t>
  </si>
  <si>
    <t>spent_cash_on/hh_items</t>
  </si>
  <si>
    <t>spent_cash_on/healthcare</t>
  </si>
  <si>
    <t>spent_cash_on/rent</t>
  </si>
  <si>
    <t>spent_cash_on/transport</t>
  </si>
  <si>
    <t>spent_cash_on/saved</t>
  </si>
  <si>
    <t>spent_cash_on/paid_debt</t>
  </si>
  <si>
    <t>spent_cash_on/lent</t>
  </si>
  <si>
    <t>spent_cash_on/other</t>
  </si>
  <si>
    <t>spent_cash_on/idk</t>
  </si>
  <si>
    <t>spent_cash_on/no_answer</t>
  </si>
  <si>
    <t>spent_cash_on_other</t>
  </si>
  <si>
    <t>improved_living</t>
  </si>
  <si>
    <t>reduced_stress</t>
  </si>
  <si>
    <t>reduced_fin_burden</t>
  </si>
  <si>
    <t>reduced_risky_activity</t>
  </si>
  <si>
    <t>b_meet_needs</t>
  </si>
  <si>
    <t>meet_needs_evrf</t>
  </si>
  <si>
    <t>b_cannot_meet_needs</t>
  </si>
  <si>
    <t>b_cannot_meet_needs/healthcare</t>
  </si>
  <si>
    <t>b_cannot_meet_needs/food</t>
  </si>
  <si>
    <t>b_cannot_meet_needs/housing</t>
  </si>
  <si>
    <t>b_cannot_meet_needs/utilities</t>
  </si>
  <si>
    <t>b_cannot_meet_needs/clothing</t>
  </si>
  <si>
    <t>b_cannot_meet_needs/hygiene</t>
  </si>
  <si>
    <t>b_cannot_meet_needs/transport</t>
  </si>
  <si>
    <t>b_cannot_meet_needs/technology</t>
  </si>
  <si>
    <t>b_cannot_meet_needs/other</t>
  </si>
  <si>
    <t>b_cannot_meet_needs/idk</t>
  </si>
  <si>
    <t>b_cannot_meet_needs/no_answer</t>
  </si>
  <si>
    <t>b_cannot_meet_needs_other</t>
  </si>
  <si>
    <t>b_strategies_high_costs</t>
  </si>
  <si>
    <t>b_strategies_list</t>
  </si>
  <si>
    <t>b_strategies_list/insulation</t>
  </si>
  <si>
    <t>b_strategies_list/energy_eff_appliances</t>
  </si>
  <si>
    <t>b_strategies_list/change_accommodation</t>
  </si>
  <si>
    <t>b_strategies_list/stable_income</t>
  </si>
  <si>
    <t>b_strategies_list/savings</t>
  </si>
  <si>
    <t>b_strategies_list/autonomous_heat</t>
  </si>
  <si>
    <t>b_strategies_list/stock_firewood</t>
  </si>
  <si>
    <t>b_strategies_list/renewables</t>
  </si>
  <si>
    <t>b_strategies_list/reduce_energy</t>
  </si>
  <si>
    <t>b_strategies_list/cheaper_energy</t>
  </si>
  <si>
    <t>b_strategies_list/other</t>
  </si>
  <si>
    <t>b_strategies_list/idk</t>
  </si>
  <si>
    <t>b_strategies_list/no_answer</t>
  </si>
  <si>
    <t>b_strategies_list_other</t>
  </si>
  <si>
    <t>prefer_evrf_method</t>
  </si>
  <si>
    <t>prefer_evrf_method_other</t>
  </si>
  <si>
    <t>payment_satisfaction</t>
  </si>
  <si>
    <t>payment_dissatisfaction</t>
  </si>
  <si>
    <t>payment_dissatisfaction/inconvenient</t>
  </si>
  <si>
    <t>payment_dissatisfaction/extra_documents</t>
  </si>
  <si>
    <t>payment_dissatisfaction/not_transparent</t>
  </si>
  <si>
    <t>payment_dissatisfaction/wrong_recipient</t>
  </si>
  <si>
    <t>payment_dissatisfaction/not_accessible</t>
  </si>
  <si>
    <t>payment_dissatisfaction/delayed</t>
  </si>
  <si>
    <t>payment_dissatisfaction/too_late</t>
  </si>
  <si>
    <t>payment_dissatisfaction/other</t>
  </si>
  <si>
    <t>payment_dissatisfaction/idk</t>
  </si>
  <si>
    <t>payment_dissatisfaction/no_answer</t>
  </si>
  <si>
    <t>payment_dissatisfaction_other</t>
  </si>
  <si>
    <t>amount_satisfaction</t>
  </si>
  <si>
    <t>b_add_assistance</t>
  </si>
  <si>
    <t>b_add_assistance/home_improvement</t>
  </si>
  <si>
    <t>b_add_assistance/renewables</t>
  </si>
  <si>
    <t>b_add_assistance/education</t>
  </si>
  <si>
    <t>b_add_assistance/payment_plans</t>
  </si>
  <si>
    <t>b_add_assistance/alternative_heating</t>
  </si>
  <si>
    <t>b_add_assistance/other</t>
  </si>
  <si>
    <t>b_add_assistance/idk</t>
  </si>
  <si>
    <t>b_add_assistance/no_answer</t>
  </si>
  <si>
    <t>b_add_assistance_other</t>
  </si>
  <si>
    <t>beneficiary</t>
  </si>
  <si>
    <t>accommodation_ownership</t>
  </si>
  <si>
    <t>overall</t>
  </si>
  <si>
    <t>b_hh_type</t>
  </si>
  <si>
    <t>b_hh_paid_for_gas_nov</t>
  </si>
  <si>
    <t>b_hh_paid_for_heat_nov</t>
  </si>
  <si>
    <t>b_hh_paid_for_gas_dec</t>
  </si>
  <si>
    <t>b_hh_paid_for_heat_dec</t>
  </si>
  <si>
    <t>4b99023d-7d75-476d-b815-e41cc4132d76</t>
  </si>
  <si>
    <t>loop1_1</t>
  </si>
  <si>
    <t>december</t>
  </si>
  <si>
    <t>female</t>
  </si>
  <si>
    <t>md_citizenship</t>
  </si>
  <si>
    <t>no</t>
  </si>
  <si>
    <t>none</t>
  </si>
  <si>
    <t>0</t>
  </si>
  <si>
    <t>1</t>
  </si>
  <si>
    <t>some_difficulty</t>
  </si>
  <si>
    <t>no_difficulty</t>
  </si>
  <si>
    <t>apartment</t>
  </si>
  <si>
    <t>family_friends</t>
  </si>
  <si>
    <t>online</t>
  </si>
  <si>
    <t>satisfied</t>
  </si>
  <si>
    <t>higher_compensation clearer_calculations</t>
  </si>
  <si>
    <t>yes_some</t>
  </si>
  <si>
    <t>yes</t>
  </si>
  <si>
    <t>salary evrf</t>
  </si>
  <si>
    <t>2024-12-20</t>
  </si>
  <si>
    <t>2025-01-16</t>
  </si>
  <si>
    <t>lower_temp</t>
  </si>
  <si>
    <t>comfortable</t>
  </si>
  <si>
    <t>bills_firewood</t>
  </si>
  <si>
    <t>slightly</t>
  </si>
  <si>
    <t>not_applicable</t>
  </si>
  <si>
    <t>more_than_half</t>
  </si>
  <si>
    <t>utilities</t>
  </si>
  <si>
    <t>cash</t>
  </si>
  <si>
    <t>neutral</t>
  </si>
  <si>
    <t>alternative_heating</t>
  </si>
  <si>
    <t>chisinau</t>
  </si>
  <si>
    <t>chisinau_chisinau</t>
  </si>
  <si>
    <t>own</t>
  </si>
  <si>
    <t>Centre</t>
  </si>
  <si>
    <t>35-59</t>
  </si>
  <si>
    <t>One or more adults (18-59) only</t>
  </si>
  <si>
    <t>2</t>
  </si>
  <si>
    <t>Did not disclose HH income</t>
  </si>
  <si>
    <t>More than 3000 MDL</t>
  </si>
  <si>
    <t>Central heating only</t>
  </si>
  <si>
    <t>300-499 MDL</t>
  </si>
  <si>
    <t>Received as expected</t>
  </si>
  <si>
    <t>500-699 MDL</t>
  </si>
  <si>
    <t>16 - 22 Dec</t>
  </si>
  <si>
    <t>16 - 22 Jan</t>
  </si>
  <si>
    <t>4d32f848-5597-46be-9dfe-d3621f56b377</t>
  </si>
  <si>
    <t>loop1_2</t>
  </si>
  <si>
    <t>children older_people pwd chronic_illness</t>
  </si>
  <si>
    <t>private_house</t>
  </si>
  <si>
    <t>tv</t>
  </si>
  <si>
    <t>social_worker</t>
  </si>
  <si>
    <t>very_satisfied</t>
  </si>
  <si>
    <t>higher_compensation</t>
  </si>
  <si>
    <t>solid_fuel</t>
  </si>
  <si>
    <t>heater_ac</t>
  </si>
  <si>
    <t>yes_all</t>
  </si>
  <si>
    <t>2024-12-12</t>
  </si>
  <si>
    <t>2025-01-12</t>
  </si>
  <si>
    <t>same</t>
  </si>
  <si>
    <t>reduce_hot_water turn_off_appliances limited_light limited_heaters reduce_gas reduce_energy</t>
  </si>
  <si>
    <t>significantly</t>
  </si>
  <si>
    <t>all</t>
  </si>
  <si>
    <t>from_bill</t>
  </si>
  <si>
    <t>stefanvoda</t>
  </si>
  <si>
    <t>stefanvoda_popeasca</t>
  </si>
  <si>
    <t>South</t>
  </si>
  <si>
    <t>60+</t>
  </si>
  <si>
    <t>One or more adults (18-59) with children and older people</t>
  </si>
  <si>
    <t>10.001 - 15.000 MDL</t>
  </si>
  <si>
    <t>Up to 10%</t>
  </si>
  <si>
    <t>0 - 500 MDL</t>
  </si>
  <si>
    <t>501 - 1000 MDL</t>
  </si>
  <si>
    <t>Mixed heating systems</t>
  </si>
  <si>
    <t>10 - 15 Dec</t>
  </si>
  <si>
    <t>10 - 15 Jan</t>
  </si>
  <si>
    <t>Mixed</t>
  </si>
  <si>
    <t>aaf352c8-a935-46c2-8f86-5a616f30f7ef</t>
  </si>
  <si>
    <t>loop1_3</t>
  </si>
  <si>
    <t>tp</t>
  </si>
  <si>
    <t>children single_adult</t>
  </si>
  <si>
    <t>social_media</t>
  </si>
  <si>
    <t>clearer_criteria</t>
  </si>
  <si>
    <t>support_family evrf</t>
  </si>
  <si>
    <t>not_sure</t>
  </si>
  <si>
    <t>2025-01-17</t>
  </si>
  <si>
    <t>energy_eff_appliances reduce_energy</t>
  </si>
  <si>
    <t>food healthcare personal_items</t>
  </si>
  <si>
    <t>moderately</t>
  </si>
  <si>
    <t>housing utilities clothing</t>
  </si>
  <si>
    <t>reduce_energy</t>
  </si>
  <si>
    <t>home_improvement</t>
  </si>
  <si>
    <t>orhei</t>
  </si>
  <si>
    <t>orhei_seliste</t>
  </si>
  <si>
    <t>rent_separate</t>
  </si>
  <si>
    <t>Refugee HH</t>
  </si>
  <si>
    <t>18-34</t>
  </si>
  <si>
    <t>Single adult (18-59) with children</t>
  </si>
  <si>
    <t>51%-75%</t>
  </si>
  <si>
    <t>Solid fuel stove or fireplace only</t>
  </si>
  <si>
    <t>Was not informed about the amount beforehand</t>
  </si>
  <si>
    <t>Refugee only</t>
  </si>
  <si>
    <t>e7b88062-1538-4866-9c37-6e3d8003ec5d</t>
  </si>
  <si>
    <t>loop1_4</t>
  </si>
  <si>
    <t>children</t>
  </si>
  <si>
    <t>status_communication expand_criteria target_rentals higher_compensation clearer_calculations</t>
  </si>
  <si>
    <t>2024-12-17</t>
  </si>
  <si>
    <t>much_less</t>
  </si>
  <si>
    <t>turn_off_appliances energy_eff_appliances energy_eff_bulbs insulation</t>
  </si>
  <si>
    <t>very_warm</t>
  </si>
  <si>
    <t>energy_eff_appliances savings</t>
  </si>
  <si>
    <t>dissatisfied</t>
  </si>
  <si>
    <t>idk</t>
  </si>
  <si>
    <t>Two or more adults (18-59) with children</t>
  </si>
  <si>
    <t>Over 20.001 MDL</t>
  </si>
  <si>
    <t>611049c9-3a50-41e6-98c6-69c2b5ccfdb5</t>
  </si>
  <si>
    <t>loop1_5</t>
  </si>
  <si>
    <t>2024-12-15</t>
  </si>
  <si>
    <t>2025-01-15</t>
  </si>
  <si>
    <t>somewhat_less</t>
  </si>
  <si>
    <t>energy_eff_appliances energy_eff_bulbs reduce_energy</t>
  </si>
  <si>
    <t>savings</t>
  </si>
  <si>
    <t>5.001 - 10.000 MDL</t>
  </si>
  <si>
    <t>2001 - 3000 MDL</t>
  </si>
  <si>
    <t>More than 75%</t>
  </si>
  <si>
    <t>3f2fa31b-bdac-4d7c-a6cf-514d1cde43fd</t>
  </si>
  <si>
    <t>loop1_6</t>
  </si>
  <si>
    <t>male</t>
  </si>
  <si>
    <t>older_people</t>
  </si>
  <si>
    <t>more_guidance higher_compensation</t>
  </si>
  <si>
    <t>salary support_family evrf</t>
  </si>
  <si>
    <t>2024-12-19</t>
  </si>
  <si>
    <t>no_request</t>
  </si>
  <si>
    <t>food</t>
  </si>
  <si>
    <t>somewhat_cold</t>
  </si>
  <si>
    <t>half</t>
  </si>
  <si>
    <t>utilities healthcare</t>
  </si>
  <si>
    <t>One or more adults (18-59) with older people</t>
  </si>
  <si>
    <t>1001 - 2000 MDL</t>
  </si>
  <si>
    <t>700-899 MDL</t>
  </si>
  <si>
    <t>1e6a1946-04b4-4a72-96de-4b8cf1306481</t>
  </si>
  <si>
    <t>loop1_7</t>
  </si>
  <si>
    <t>autonomous_gas</t>
  </si>
  <si>
    <t>salary savings evrf</t>
  </si>
  <si>
    <t>2024-12-13</t>
  </si>
  <si>
    <t>lower_temp heat_some_rooms blankets_clothes limited_light energy_eff_bulbs insulation</t>
  </si>
  <si>
    <t>somewhat_warm</t>
  </si>
  <si>
    <t>insulation savings reduce_energy</t>
  </si>
  <si>
    <t>very_dissatisfied</t>
  </si>
  <si>
    <t>home_improvement payment_plans</t>
  </si>
  <si>
    <t>15.001 - 20.000 MDL</t>
  </si>
  <si>
    <t>188fbdcd-f348-4119-bafc-1e7aaf29a73d</t>
  </si>
  <si>
    <t>loop1_8</t>
  </si>
  <si>
    <t>cannot_do</t>
  </si>
  <si>
    <t>2024-12-10</t>
  </si>
  <si>
    <t>2025-01-10</t>
  </si>
  <si>
    <t>lower_temp limited_light</t>
  </si>
  <si>
    <t>healthcare food utilities</t>
  </si>
  <si>
    <t>Autonomous (individual) system - gas based only</t>
  </si>
  <si>
    <t>900 MDL or more</t>
  </si>
  <si>
    <t>b025cdb0-02dd-4762-bd24-0e25af8f731f</t>
  </si>
  <si>
    <t>loop1_9</t>
  </si>
  <si>
    <t>salary loans evrf</t>
  </si>
  <si>
    <t>limited_light turn_off_appliances energy_eff_bulbs</t>
  </si>
  <si>
    <t>700-800 MDL</t>
  </si>
  <si>
    <t>Expected more than received</t>
  </si>
  <si>
    <t>f183a99a-bb55-4a6f-9c31-aa4166969a87</t>
  </si>
  <si>
    <t>loop1_10</t>
  </si>
  <si>
    <t>limited_light</t>
  </si>
  <si>
    <t>food transport</t>
  </si>
  <si>
    <t>52dceb35-adb9-4118-abca-2eca800abd1f</t>
  </si>
  <si>
    <t>loop1_11</t>
  </si>
  <si>
    <t>2025-01-14</t>
  </si>
  <si>
    <t>reduce_gas reduce_hot_water turn_off_appliances limited_light limited_heaters blankets_clothes</t>
  </si>
  <si>
    <t>One or more older people (60+) only</t>
  </si>
  <si>
    <t>8b98ba71-d554-4d1e-ac19-f293ca62276f</t>
  </si>
  <si>
    <t>loop1_12</t>
  </si>
  <si>
    <t>chronic_illness</t>
  </si>
  <si>
    <t>evrf support_family</t>
  </si>
  <si>
    <t>2024-12-11</t>
  </si>
  <si>
    <t>blankets_clothes limited_heaters limited_light turn_off_appliances reduce_hot_water reduce_energy</t>
  </si>
  <si>
    <t>0fd04c9e-b8e5-4e57-9b03-6257b5caae38</t>
  </si>
  <si>
    <t>loop1_13</t>
  </si>
  <si>
    <t>children older_people pwd</t>
  </si>
  <si>
    <t>lot_of_difficulty</t>
  </si>
  <si>
    <t>clearer_criteria status_communication higher_compensation clearer_calculations</t>
  </si>
  <si>
    <t>solid_fuel heater_ac</t>
  </si>
  <si>
    <t>salary evrf savings</t>
  </si>
  <si>
    <t>2024-12-16</t>
  </si>
  <si>
    <t>lower_temp blankets_clothes limited_heaters turn_off_appliances energy_eff_bulbs</t>
  </si>
  <si>
    <t>payment_plans renewables</t>
  </si>
  <si>
    <t>chisinau_singera</t>
  </si>
  <si>
    <t>4667bca6-97a6-440e-8763-868c266f07ff</t>
  </si>
  <si>
    <t>loop1_14</t>
  </si>
  <si>
    <t>orhei_orhei</t>
  </si>
  <si>
    <t>0b89d254-7b6d-4eb9-a2ac-6180ae0f2132</t>
  </si>
  <si>
    <t>loop1_15</t>
  </si>
  <si>
    <t>clearer_calculations clearer_criteria</t>
  </si>
  <si>
    <t>03e6ab18-06b3-42c2-bdd8-d411dbb4dcac</t>
  </si>
  <si>
    <t>loop1_16</t>
  </si>
  <si>
    <t>plw children</t>
  </si>
  <si>
    <t>expand_criteria target_rentals higher_compensation clearer_calculations</t>
  </si>
  <si>
    <t>2025-03-01</t>
  </si>
  <si>
    <t>turn_off_appliances limited_light energy_eff_appliances reduce_energy energy_eff_bulbs</t>
  </si>
  <si>
    <t>energy_eff_appliances change_accommodation savings reduce_energy</t>
  </si>
  <si>
    <t>education payment_plans</t>
  </si>
  <si>
    <t>Not received yet</t>
  </si>
  <si>
    <t>3376de10-b77c-4a67-8dc4-66649c53fb24</t>
  </si>
  <si>
    <t>loop1_17</t>
  </si>
  <si>
    <t>children pwd</t>
  </si>
  <si>
    <t>lower_temp turn_off_heat turn_off_appliances reduce_energy</t>
  </si>
  <si>
    <t>food clothing</t>
  </si>
  <si>
    <t>change_accommodation renewables</t>
  </si>
  <si>
    <t>home_improvement renewables payment_plans</t>
  </si>
  <si>
    <t>aneniinoi</t>
  </si>
  <si>
    <t>aneniinoi_bulboaca</t>
  </si>
  <si>
    <t>e1e1de3a-f20d-4232-8002-84539322eba1</t>
  </si>
  <si>
    <t>loop1_18</t>
  </si>
  <si>
    <t>fully_online</t>
  </si>
  <si>
    <t>savings evrf</t>
  </si>
  <si>
    <t>lower_temp reduce_hot_water energy_eff_appliances</t>
  </si>
  <si>
    <t>payment_plans</t>
  </si>
  <si>
    <t>balti</t>
  </si>
  <si>
    <t>balti_balti</t>
  </si>
  <si>
    <t>North</t>
  </si>
  <si>
    <t>48600f54-e75e-4e57-a922-51e0d2c55572</t>
  </si>
  <si>
    <t>loop1_19</t>
  </si>
  <si>
    <t>somewhat_more</t>
  </si>
  <si>
    <t>heat_some_rooms cheaper_energy limited_light turn_off_appliances energy_eff_appliances energy_eff_bulbs</t>
  </si>
  <si>
    <t>bills_firewood food</t>
  </si>
  <si>
    <t>savings stock_firewood</t>
  </si>
  <si>
    <t>stefanvoda_ermoclia</t>
  </si>
  <si>
    <t>898ba0ac-e235-4af9-a713-a63cd4328003</t>
  </si>
  <si>
    <t>loop1_20</t>
  </si>
  <si>
    <t>community_authority</t>
  </si>
  <si>
    <t>expand_criteria higher_compensation</t>
  </si>
  <si>
    <t>blankets_clothes cheaper_energy limited_light limited_heaters energy_eff_appliances reduce_energy</t>
  </si>
  <si>
    <t>food bills_firewood</t>
  </si>
  <si>
    <t>savings stock_firewood reduce_energy</t>
  </si>
  <si>
    <t>47e702c8-52e8-4a60-9d33-b6cf0cffcdda</t>
  </si>
  <si>
    <t>loop1_21</t>
  </si>
  <si>
    <t>savings support_family evrf</t>
  </si>
  <si>
    <t>not_aware</t>
  </si>
  <si>
    <t>turn_off_appliances energy_eff_bulbs reduce_energy lower_temp heat_some_rooms blankets_clothes</t>
  </si>
  <si>
    <t>c85eed10-4b91-47ae-97d9-da842e485619</t>
  </si>
  <si>
    <t>loop1_22</t>
  </si>
  <si>
    <t>older_people pwd</t>
  </si>
  <si>
    <t>healthcare food</t>
  </si>
  <si>
    <t>healthcare utilities</t>
  </si>
  <si>
    <t>d02d48a3-6acb-48b0-952d-3257dc6dfbf0</t>
  </si>
  <si>
    <t>loop1_23</t>
  </si>
  <si>
    <t>plw children single_adult</t>
  </si>
  <si>
    <t>lower_temp cheaper_energy</t>
  </si>
  <si>
    <t>healthcare food hygiene</t>
  </si>
  <si>
    <t>d35c8a55-e596-41d9-a2b7-3621c62baf7d</t>
  </si>
  <si>
    <t>loop1_24</t>
  </si>
  <si>
    <t>evrf</t>
  </si>
  <si>
    <t>lower_temp limited_light turn_off_appliances</t>
  </si>
  <si>
    <t>no_answer</t>
  </si>
  <si>
    <t>Autonomous (individual) system - electricity based only</t>
  </si>
  <si>
    <t>20a51770-c08a-4397-a877-f822cc051864</t>
  </si>
  <si>
    <t>loop1_25</t>
  </si>
  <si>
    <t>support_family support_ngo evrf</t>
  </si>
  <si>
    <t>turn_off_heat turn_off_appliances reduce_hot_water</t>
  </si>
  <si>
    <t>home_improvement alternative_heating</t>
  </si>
  <si>
    <t>rezina</t>
  </si>
  <si>
    <t>rezina_rezina</t>
  </si>
  <si>
    <t>1a564fb1-749f-4949-933a-cdb1d77ba238</t>
  </si>
  <si>
    <t>loop1_26</t>
  </si>
  <si>
    <t>plw</t>
  </si>
  <si>
    <t>e1d73000-e740-4a58-a825-1b95431da1c4</t>
  </si>
  <si>
    <t>loop1_27</t>
  </si>
  <si>
    <t>limited_heaters limited_light turn_off_appliances reduce_hot_water reduce_gas reduce_energy</t>
  </si>
  <si>
    <t>hosted_paying</t>
  </si>
  <si>
    <t>32510862-89e1-483b-85cc-9b4b09aa9b40</t>
  </si>
  <si>
    <t>loop1_28</t>
  </si>
  <si>
    <t>limited_light energy_eff_bulbs</t>
  </si>
  <si>
    <t>savings reduce_energy</t>
  </si>
  <si>
    <t>payment_plans education</t>
  </si>
  <si>
    <t>Received more than expected</t>
  </si>
  <si>
    <t>6c13864e-89c7-4431-8c39-bcc7f61e9ce2</t>
  </si>
  <si>
    <t>loop1_29</t>
  </si>
  <si>
    <t>salary support_ngo evrf</t>
  </si>
  <si>
    <t>2025-01-19</t>
  </si>
  <si>
    <t>reduce_hot_water energy_eff_appliances</t>
  </si>
  <si>
    <t>savings cheaper_energy</t>
  </si>
  <si>
    <t>50f01d7a-06ff-42fe-be4f-945ed1c6dbb1</t>
  </si>
  <si>
    <t>loop1_30</t>
  </si>
  <si>
    <t>clearer_criteria higher_compensation</t>
  </si>
  <si>
    <t>lower_temp heat_some_rooms cheaper_energy limited_light reduce_energy</t>
  </si>
  <si>
    <t>housing</t>
  </si>
  <si>
    <t>singerei</t>
  </si>
  <si>
    <t>singerei_izvoare</t>
  </si>
  <si>
    <t>7cfbe91d-f71b-4a0d-b51b-f05e38654c1a</t>
  </si>
  <si>
    <t>loop1_31</t>
  </si>
  <si>
    <t>home_visits</t>
  </si>
  <si>
    <t>lower_temp heat_some_rooms turn_off_heat blankets_clothes limited_heaters limited_light turn_off_appliances reduce_hot_water reduce_gas energy_eff_bulbs insulation</t>
  </si>
  <si>
    <t>personal_items</t>
  </si>
  <si>
    <t>cold sleep_comfort</t>
  </si>
  <si>
    <t>insulation</t>
  </si>
  <si>
    <t>682e57ee-44c9-4076-a98f-be7a91a4b531</t>
  </si>
  <si>
    <t>loop1_32</t>
  </si>
  <si>
    <t>tech_issues</t>
  </si>
  <si>
    <t>higher_compensation clearer_calculations clearer_criteria</t>
  </si>
  <si>
    <t>blankets_clothes cheaper_energy turn_off_appliances energy_eff_bulbs</t>
  </si>
  <si>
    <t>insulation savings stock_firewood reduce_energy</t>
  </si>
  <si>
    <t>chisinau_durlesti</t>
  </si>
  <si>
    <t>ac5c10fa-04bd-4ce7-8261-abc178532e57</t>
  </si>
  <si>
    <t>loop1_33</t>
  </si>
  <si>
    <t>clearer_criteria higher_compensation clearer_calculations</t>
  </si>
  <si>
    <t>2340aced-7da1-4b15-a44e-ce2222a43e2a</t>
  </si>
  <si>
    <t>loop1_34</t>
  </si>
  <si>
    <t>children older_people chronic_illness</t>
  </si>
  <si>
    <t>savings support_family support_ngo evrf</t>
  </si>
  <si>
    <t>2024-12-23</t>
  </si>
  <si>
    <t>blankets_clothes limited_heaters limited_light turn_off_appliances reduce_hot_water reduce_gas</t>
  </si>
  <si>
    <t>very_cold</t>
  </si>
  <si>
    <t>cold</t>
  </si>
  <si>
    <t>home_improvement renewables alternative_heating</t>
  </si>
  <si>
    <t>23 - 29 Dec</t>
  </si>
  <si>
    <t>170c97b9-c352-4758-b84e-a87a72468050</t>
  </si>
  <si>
    <t>loop1_35</t>
  </si>
  <si>
    <t>2025-01-13</t>
  </si>
  <si>
    <t>lower_temp heat_some_rooms reduce_hot_water reduce_energy</t>
  </si>
  <si>
    <t>healthcare</t>
  </si>
  <si>
    <t>97a75334-d521-44fb-9e2d-6fe5ca8a228f</t>
  </si>
  <si>
    <t>loop1_36</t>
  </si>
  <si>
    <t>much_more</t>
  </si>
  <si>
    <t>insulation stock_firewood renewables</t>
  </si>
  <si>
    <t>singerei_grigorauca</t>
  </si>
  <si>
    <t>9eef281a-aa34-43a8-a901-9fc8552bd97a</t>
  </si>
  <si>
    <t>loop1_37</t>
  </si>
  <si>
    <t>cheaper_energy limited_light turn_off_appliances reduce_hot_water</t>
  </si>
  <si>
    <t>food personal_items</t>
  </si>
  <si>
    <t>9aeb317b-d934-4bd1-a02c-51396a87232e</t>
  </si>
  <si>
    <t>loop1_38</t>
  </si>
  <si>
    <t>energy_eff_appliances energy_eff_bulbs</t>
  </si>
  <si>
    <t>renewables</t>
  </si>
  <si>
    <t>singerei_copaceni</t>
  </si>
  <si>
    <t>a0f31d9f-cec7-4881-991b-b5162f6fe8b6</t>
  </si>
  <si>
    <t>loop1_39</t>
  </si>
  <si>
    <t>2024-12-24</t>
  </si>
  <si>
    <t>chisinau_ghidighici</t>
  </si>
  <si>
    <t>3d9c58be-1a29-4137-b659-3d7c4408a273</t>
  </si>
  <si>
    <t>loop1_40</t>
  </si>
  <si>
    <t>salary evrf support_family</t>
  </si>
  <si>
    <t>blankets_clothes limited_light turn_off_appliances reduce_gas reduce_energy</t>
  </si>
  <si>
    <t>food healthcare</t>
  </si>
  <si>
    <t>healthcare food housing</t>
  </si>
  <si>
    <t>singerei_bilicenii_vechi</t>
  </si>
  <si>
    <t>dae3c3ff-0db6-4801-8e3b-c2827c577998</t>
  </si>
  <si>
    <t>loop1_41</t>
  </si>
  <si>
    <t>turn_off_appliances reduce_gas reduce_energy</t>
  </si>
  <si>
    <t>singerei_prepelita</t>
  </si>
  <si>
    <t>97920415-9653-4cd5-8001-f90733361432</t>
  </si>
  <si>
    <t>loop1_42</t>
  </si>
  <si>
    <t>2025-01-21</t>
  </si>
  <si>
    <t>blankets_clothes limited_heaters limited_light turn_off_appliances reduce_hot_water reduce_gas reduce_energy</t>
  </si>
  <si>
    <t>aneniinoi_aneniinoi</t>
  </si>
  <si>
    <t>94bd74a0-b6ed-4b6d-bc8c-7fede6c4c7c0</t>
  </si>
  <si>
    <t>loop1_43</t>
  </si>
  <si>
    <t>children older_people</t>
  </si>
  <si>
    <t>ngo</t>
  </si>
  <si>
    <t>heat_some_rooms</t>
  </si>
  <si>
    <t>stock_firewood cheaper_energy</t>
  </si>
  <si>
    <t>renewables alternative_heating</t>
  </si>
  <si>
    <t>aneniinoi_botnaresti</t>
  </si>
  <si>
    <t>01f87087-81f2-4ccb-86fd-4b46df46c87b</t>
  </si>
  <si>
    <t>loop1_44</t>
  </si>
  <si>
    <t>clearer_calculations higher_compensation clearer_criteria</t>
  </si>
  <si>
    <t>evrf salary</t>
  </si>
  <si>
    <t>turn_off_appliances reduce_gas</t>
  </si>
  <si>
    <t>d0b3caa2-9d03-4d4f-a52f-72322f2cfa85</t>
  </si>
  <si>
    <t>loop1_45</t>
  </si>
  <si>
    <t>support_ngo evrf</t>
  </si>
  <si>
    <t>turn_off_heat turn_off_appliances</t>
  </si>
  <si>
    <t>02113dd6-48d9-45f4-9c11-18ece4776407</t>
  </si>
  <si>
    <t>loop1_46</t>
  </si>
  <si>
    <t>lower_temp limited_heaters turn_off_appliances</t>
  </si>
  <si>
    <t>aneniinoi_maximovca</t>
  </si>
  <si>
    <t>Space heater/ACs only</t>
  </si>
  <si>
    <t>711af442-7e02-47cc-ac3c-115db77f1a4f</t>
  </si>
  <si>
    <t>loop1_47</t>
  </si>
  <si>
    <t>clearer_criteria more_guidance higher_compensation clearer_calculations</t>
  </si>
  <si>
    <t>lower_temp turn_off_heat limited_heaters</t>
  </si>
  <si>
    <t>food utilities</t>
  </si>
  <si>
    <t>singerei_singerei</t>
  </si>
  <si>
    <t>e8c67244-3a13-4f4d-bfd0-ed99f7aa48f7</t>
  </si>
  <si>
    <t>loop1_48</t>
  </si>
  <si>
    <t>turn_off_heat turn_off_appliances energy_eff_appliances energy_eff_bulbs</t>
  </si>
  <si>
    <t>less_than_half</t>
  </si>
  <si>
    <t>42b2c80b-9cc7-43e1-8c96-5bac3a418861</t>
  </si>
  <si>
    <t>loop1_49</t>
  </si>
  <si>
    <t>home_visits higher_compensation</t>
  </si>
  <si>
    <t>2024-12-18</t>
  </si>
  <si>
    <t>turn_off_appliances</t>
  </si>
  <si>
    <t>other</t>
  </si>
  <si>
    <t>Additional financial assistance</t>
  </si>
  <si>
    <t>0ed21b6e-7b65-403c-8de8-b0af99212979</t>
  </si>
  <si>
    <t>loop1_50</t>
  </si>
  <si>
    <t>clearer_criteria clearer_calculations</t>
  </si>
  <si>
    <t>salary</t>
  </si>
  <si>
    <t>turn_off_heat limited_light turn_off_appliances energy_eff_appliances reduce_energy insulation</t>
  </si>
  <si>
    <t>8e5941f9-da64-43ca-bf76-99ae828c32e9</t>
  </si>
  <si>
    <t>loop1_52</t>
  </si>
  <si>
    <t>turn_off_heat limited_heaters turn_off_appliances reduce_gas insulation</t>
  </si>
  <si>
    <t>healthcare rent_housing care_services personal_items</t>
  </si>
  <si>
    <t>housing utilities</t>
  </si>
  <si>
    <t>home_improvement alternative_heating payment_plans</t>
  </si>
  <si>
    <t>gagauzia</t>
  </si>
  <si>
    <t>utagagauzia_comrat</t>
  </si>
  <si>
    <t>f42a5e7c-ce89-4eac-8117-9ecdcbfaa0bc</t>
  </si>
  <si>
    <t>loop1_53</t>
  </si>
  <si>
    <t>children chronic_illness</t>
  </si>
  <si>
    <t>more_languages status_communication higher_compensation</t>
  </si>
  <si>
    <t>lower_temp energy_eff_bulbs reduce_energy</t>
  </si>
  <si>
    <t>stable_income savings reduce_energy</t>
  </si>
  <si>
    <t>b3db7e1e-54ee-42f8-a1db-42957aa7d3cf</t>
  </si>
  <si>
    <t>loop1_54</t>
  </si>
  <si>
    <t>soroca</t>
  </si>
  <si>
    <t>soroca_cainarii_vechi</t>
  </si>
  <si>
    <t>1581d8a1-2d72-46c8-9ba3-c5aa3b2dac95</t>
  </si>
  <si>
    <t>loop1_55</t>
  </si>
  <si>
    <t>lower_temp turn_off_appliances reduce_gas energy_eff_appliances reduce_energy</t>
  </si>
  <si>
    <t>healthcare food clothing</t>
  </si>
  <si>
    <t>fa93de30-8ddd-4ca7-8f71-8bc8b8bf868f</t>
  </si>
  <si>
    <t>loop1_56</t>
  </si>
  <si>
    <t>higher_compensation other</t>
  </si>
  <si>
    <t>Resumption of financial assistance for the cold season for children with disabilities</t>
  </si>
  <si>
    <t>lower_temp heat_some_rooms</t>
  </si>
  <si>
    <t>Smart meters</t>
  </si>
  <si>
    <t>leova</t>
  </si>
  <si>
    <t>leova_leova</t>
  </si>
  <si>
    <t>0fa2267a-94e7-448d-a574-ce8fd2ece408</t>
  </si>
  <si>
    <t>loop1_57</t>
  </si>
  <si>
    <t>more_guidance status_communication home_visits higher_compensation clearer_calculations</t>
  </si>
  <si>
    <t>2025-01-20</t>
  </si>
  <si>
    <t>lower_temp heat_some_rooms turn_off_appliances energy_eff_bulbs</t>
  </si>
  <si>
    <t>energy_eff_appliances savings stock_firewood renewables reduce_energy cheaper_energy</t>
  </si>
  <si>
    <t>stefanvoda_talmaza</t>
  </si>
  <si>
    <t>c06b367e-0b86-4501-9f73-768be06e4c5a</t>
  </si>
  <si>
    <t>loop1_58</t>
  </si>
  <si>
    <t>status_communication clearer_calculations higher_compensation</t>
  </si>
  <si>
    <t>lower_temp heat_some_rooms cheaper_energy limited_light turn_off_appliances reduce_energy insulation</t>
  </si>
  <si>
    <t>savings stock_firewood reduce_energy insulation</t>
  </si>
  <si>
    <t>payment_plans home_improvement education</t>
  </si>
  <si>
    <t>698d6245-f76c-4719-aeca-881edd736130</t>
  </si>
  <si>
    <t>loop1_59</t>
  </si>
  <si>
    <t>heat_some_rooms limited_light turn_off_appliances insulation reduce_gas</t>
  </si>
  <si>
    <t>insulation savings stock_firewood reduce_energy renewables</t>
  </si>
  <si>
    <t>payment_plans home_improvement alternative_heating</t>
  </si>
  <si>
    <t>bccd40bc-643f-4c6d-b82a-b2dd268c37ae</t>
  </si>
  <si>
    <t>loop1_60</t>
  </si>
  <si>
    <t>alternative_heating other</t>
  </si>
  <si>
    <t>Social support</t>
  </si>
  <si>
    <t>falesti</t>
  </si>
  <si>
    <t>falesti_bocani</t>
  </si>
  <si>
    <t>8bbd64dd-8a41-4b43-88f6-cf882280ad02</t>
  </si>
  <si>
    <t>loop1_61</t>
  </si>
  <si>
    <t>status_communication target_rentals higher_compensation clearer_calculations</t>
  </si>
  <si>
    <t>c47de923-aca7-47ed-8ef7-b2099f1bf613</t>
  </si>
  <si>
    <t>loop1_62</t>
  </si>
  <si>
    <t>renewables payment_plans</t>
  </si>
  <si>
    <t>df49b41c-0179-4dd8-bc26-34565ca24359</t>
  </si>
  <si>
    <t>loop1_63</t>
  </si>
  <si>
    <t>status_communication</t>
  </si>
  <si>
    <t>limited_heaters limited_light</t>
  </si>
  <si>
    <t>insulation savings stock_firewood</t>
  </si>
  <si>
    <t>f59bf3e8-5073-45c7-a039-5651c9f1ca2e</t>
  </si>
  <si>
    <t>loop1_64</t>
  </si>
  <si>
    <t>turn_off_heat limited_light</t>
  </si>
  <si>
    <t>clothing hygiene</t>
  </si>
  <si>
    <t>62d5de11-f74e-444a-b2c9-657227175059</t>
  </si>
  <si>
    <t>loop1_65</t>
  </si>
  <si>
    <t>status_communication higher_compensation</t>
  </si>
  <si>
    <t>heat_some_rooms cheaper_energy reduce_hot_water reduce_gas energy_eff_bulbs</t>
  </si>
  <si>
    <t>payment_plans alternative_heating</t>
  </si>
  <si>
    <t>aneniinoi_calfa</t>
  </si>
  <si>
    <t>rent_with_owner</t>
  </si>
  <si>
    <t>9d4e1676-fbce-446c-a135-6d54e65603cb</t>
  </si>
  <si>
    <t>loop1_66</t>
  </si>
  <si>
    <t>blankets_clothes limited_heaters turn_off_appliances insulation</t>
  </si>
  <si>
    <t>energy_eff_appliances</t>
  </si>
  <si>
    <t>aneniinoi_gura_bicului</t>
  </si>
  <si>
    <t>249a4fd3-d7cd-4817-acd7-cf63a7109152</t>
  </si>
  <si>
    <t>loop1_67</t>
  </si>
  <si>
    <t>lower_temp heat_some_rooms blankets_clothes</t>
  </si>
  <si>
    <t>owner_with_tenants</t>
  </si>
  <si>
    <t>76d2a0e4-668d-45c3-9c8a-2ca855d214a7</t>
  </si>
  <si>
    <t>loop1_68</t>
  </si>
  <si>
    <t>turn_off_appliances energy_eff_appliances</t>
  </si>
  <si>
    <t>clothing technology</t>
  </si>
  <si>
    <t>a72a3932-b65b-41a9-bb9d-e964fff3848b</t>
  </si>
  <si>
    <t>loop1_69</t>
  </si>
  <si>
    <t>turn_off_heat</t>
  </si>
  <si>
    <t>786a378a-a7e1-45c9-acd9-3811e5acbae2</t>
  </si>
  <si>
    <t>loop1_70</t>
  </si>
  <si>
    <t>13 - 19 Jan</t>
  </si>
  <si>
    <t>09386ddf-cb41-4483-a9d9-3dffc596c0ba</t>
  </si>
  <si>
    <t>loop1_71</t>
  </si>
  <si>
    <t>lower_temp limited_light energy_eff_bulbs</t>
  </si>
  <si>
    <t>healthcare food clothing hygiene</t>
  </si>
  <si>
    <t>inconvenient</t>
  </si>
  <si>
    <t>3116282e-e0a7-4ffe-9d39-32c4dea4f2dc</t>
  </si>
  <si>
    <t>loop1_72</t>
  </si>
  <si>
    <t>lower_temp turn_off_heat</t>
  </si>
  <si>
    <t>7511b507-a231-47bc-ab02-b634972c7d71</t>
  </si>
  <si>
    <t>loop1_73</t>
  </si>
  <si>
    <t>limited_light turn_off_appliances reduce_gas energy_eff_appliances</t>
  </si>
  <si>
    <t>4820070e-5da7-410b-adf0-12f5ecee5fc5</t>
  </si>
  <si>
    <t>loop1_74</t>
  </si>
  <si>
    <t>children chronic_illness single_adult</t>
  </si>
  <si>
    <t>Increase the average living wage in Moldova</t>
  </si>
  <si>
    <t>ialoveni</t>
  </si>
  <si>
    <t>ialoveni_ialoveni</t>
  </si>
  <si>
    <t>60ee689a-de98-40d7-98f2-82fd85c308b6</t>
  </si>
  <si>
    <t>loop1_75</t>
  </si>
  <si>
    <t>refugee</t>
  </si>
  <si>
    <t>6778bafb-00db-4ecf-bdb0-b917ecd308f4</t>
  </si>
  <si>
    <t>loop1_76</t>
  </si>
  <si>
    <t>loans support_family evrf</t>
  </si>
  <si>
    <t>reduce_gas energy_eff_appliances</t>
  </si>
  <si>
    <t>healthcare housing</t>
  </si>
  <si>
    <t>023d9543-961a-4155-9579-a31d6ba3817e</t>
  </si>
  <si>
    <t>loop1_77</t>
  </si>
  <si>
    <t>lower_temp blankets_clothes limited_heaters limited_light</t>
  </si>
  <si>
    <t>not_accessible</t>
  </si>
  <si>
    <t>4fcffb18-cd7b-4e4b-8f46-4bea3ecf7915</t>
  </si>
  <si>
    <t>loop1_78</t>
  </si>
  <si>
    <t>soroca_oclanda</t>
  </si>
  <si>
    <t>0f27ce37-17bb-4185-8a40-91a793c7f6b1</t>
  </si>
  <si>
    <t>loop1_79</t>
  </si>
  <si>
    <t>limited_light reduce_gas reduce_energy</t>
  </si>
  <si>
    <t>27332841-763a-41b3-b22f-dea8643a8b48</t>
  </si>
  <si>
    <t>loop1_80</t>
  </si>
  <si>
    <t>more_guidance home_visits higher_compensation</t>
  </si>
  <si>
    <t>turn_off_heat limited_light turn_off_appliances</t>
  </si>
  <si>
    <t>aneniinoi_ciobanovca</t>
  </si>
  <si>
    <t>eb885c6f-200f-4093-a568-e802491690db</t>
  </si>
  <si>
    <t>loop1_81</t>
  </si>
  <si>
    <t>savings support_ngo evrf</t>
  </si>
  <si>
    <t>7bc95d69-8e96-42a1-9ef4-f4cc51cbf5c1</t>
  </si>
  <si>
    <t>loop1_82</t>
  </si>
  <si>
    <t>aneniinoi_chirca</t>
  </si>
  <si>
    <t>51fc5bdd-3bab-4c18-8e14-e0d8a6c14fa6</t>
  </si>
  <si>
    <t>loop1_83</t>
  </si>
  <si>
    <t>status_communication expand_criteria home_visits</t>
  </si>
  <si>
    <t>aneniinoi_chetrosu</t>
  </si>
  <si>
    <t>624831f3-b822-4694-a230-84d63704f4ce</t>
  </si>
  <si>
    <t>loop1_84</t>
  </si>
  <si>
    <t>cb65b2b0-61c7-4119-8731-28f577b039df</t>
  </si>
  <si>
    <t>loop1_85</t>
  </si>
  <si>
    <t>2025-01-11</t>
  </si>
  <si>
    <t>aneniinoi_tintareni</t>
  </si>
  <si>
    <t>22248bac-bc1a-4138-98dc-5d0b0805ff6f</t>
  </si>
  <si>
    <t>loop1_86</t>
  </si>
  <si>
    <t>turn_off_heat cheaper_energy turn_off_appliances reduce_hot_water reduce_energy</t>
  </si>
  <si>
    <t>home_improvement alternative_heating education</t>
  </si>
  <si>
    <t>0593f279-c1e9-4410-9fba-1f73549549a0</t>
  </si>
  <si>
    <t>loop1_87</t>
  </si>
  <si>
    <t>2aca91c0-9086-4b5c-a308-3ffbcd98ac1a</t>
  </si>
  <si>
    <t>loop1_88</t>
  </si>
  <si>
    <t>food healthcare rent_housing personal_items</t>
  </si>
  <si>
    <t>33817025-25a0-49e6-8526-bd45732408cd</t>
  </si>
  <si>
    <t>loop1_90</t>
  </si>
  <si>
    <t>status_communication clearer_calculations other</t>
  </si>
  <si>
    <t>It would be good to receive a message and be informed when we can pick up the compensation from the post office.</t>
  </si>
  <si>
    <t>lower_temp turn_off_heat blankets_clothes limited_heaters reduce_gas</t>
  </si>
  <si>
    <t>stable_income savings</t>
  </si>
  <si>
    <t>soroca_cosauti</t>
  </si>
  <si>
    <t>86d75250-267b-4739-b55e-ab65ff51ad0d</t>
  </si>
  <si>
    <t>loop1_91</t>
  </si>
  <si>
    <t>1c909808-b244-4b46-9e9d-a82f2f25c379</t>
  </si>
  <si>
    <t>loop1_92</t>
  </si>
  <si>
    <t>heat_some_rooms cheaper_energy limited_heaters turn_off_appliances reduce_gas reduce_energy</t>
  </si>
  <si>
    <t>8c7b3bcc-c9be-44a4-abe1-5b35ac3eca9b</t>
  </si>
  <si>
    <t>loop1_93</t>
  </si>
  <si>
    <t>healthcare clothing</t>
  </si>
  <si>
    <t>cc9706a3-9740-4a23-b46a-abc73382a24d</t>
  </si>
  <si>
    <t>loop1_94</t>
  </si>
  <si>
    <t>clothing</t>
  </si>
  <si>
    <t>0bce27b9-e3fe-4890-bca4-15974386656c</t>
  </si>
  <si>
    <t>loop1_95</t>
  </si>
  <si>
    <t>expand_criteria higher_compensation clearer_calculations</t>
  </si>
  <si>
    <t>heat_some_rooms blankets_clothes cheaper_energy turn_off_appliances reduce_gas</t>
  </si>
  <si>
    <t>ungheni</t>
  </si>
  <si>
    <t>ungheni_costuleni</t>
  </si>
  <si>
    <t>ad3d854f-d405-42ba-8336-45cc86b99b7e</t>
  </si>
  <si>
    <t>loop1_96</t>
  </si>
  <si>
    <t>older_people chronic_illness</t>
  </si>
  <si>
    <t>food personal_items leisure</t>
  </si>
  <si>
    <t>78167d08-2ea5-4dae-bb13-dda91ac12b4a</t>
  </si>
  <si>
    <t>loop1_97</t>
  </si>
  <si>
    <t>status_communication clearer_calculations</t>
  </si>
  <si>
    <t>a0ac03d7-907b-4759-b3ab-ab3a64739fc2</t>
  </si>
  <si>
    <t>loop1_98</t>
  </si>
  <si>
    <t>bfe2ac25-042a-457b-bafe-35da2fc281e4</t>
  </si>
  <si>
    <t>loop1_99</t>
  </si>
  <si>
    <t>0f15d3be-e6ad-4154-8421-d063fb1cfa72</t>
  </si>
  <si>
    <t>loop1_100</t>
  </si>
  <si>
    <t>turn_off_appliances reduce_energy</t>
  </si>
  <si>
    <t>healthcare food housing clothing</t>
  </si>
  <si>
    <t>payment_plans other</t>
  </si>
  <si>
    <t>Lower prices</t>
  </si>
  <si>
    <t>a867c472-b5ad-4cfd-964e-ca35426a0c43</t>
  </si>
  <si>
    <t>loop1_101</t>
  </si>
  <si>
    <t>soroca_soroca</t>
  </si>
  <si>
    <t>3fce2113-f3c8-438b-b93b-6ef087b8aeb9</t>
  </si>
  <si>
    <t>loop1_102</t>
  </si>
  <si>
    <t>clearer_criteria more_languages status_communication higher_compensation clearer_calculations</t>
  </si>
  <si>
    <t>lower_temp energy_eff_bulbs insulation</t>
  </si>
  <si>
    <t>c828b060-e7e5-4a8c-bf61-8f567680f4ed</t>
  </si>
  <si>
    <t>loop1_103</t>
  </si>
  <si>
    <t>Lower the prices of public utilities</t>
  </si>
  <si>
    <t>55ea021f-e471-4e23-b3fb-7db476620c54</t>
  </si>
  <si>
    <t>loop1_104</t>
  </si>
  <si>
    <t>clothing hygiene technology</t>
  </si>
  <si>
    <t>5062c705-003d-419e-9973-c88bd5095dfe</t>
  </si>
  <si>
    <t>loop1_105</t>
  </si>
  <si>
    <t>healthcare housing utilities</t>
  </si>
  <si>
    <t>ba134509-b4ce-4379-a6d2-979ed9b5636e</t>
  </si>
  <si>
    <t>loop1_106</t>
  </si>
  <si>
    <t>limited_heaters turn_off_appliances</t>
  </si>
  <si>
    <t>insulation energy_eff_appliances stock_firewood</t>
  </si>
  <si>
    <t>basarabeasca</t>
  </si>
  <si>
    <t>basarabeasca_abaclia</t>
  </si>
  <si>
    <t>5a960a5c-efbd-4e71-9a1f-01879f25f046</t>
  </si>
  <si>
    <t>loop1_107</t>
  </si>
  <si>
    <t>older_people children</t>
  </si>
  <si>
    <t>turn_off_heat cheaper_energy turn_off_appliances energy_eff_bulbs</t>
  </si>
  <si>
    <t>insulation stock_firewood</t>
  </si>
  <si>
    <t>basarabeasca_basarabeasca</t>
  </si>
  <si>
    <t>ac76c431-88aa-4b84-b241-94e26ab594fd</t>
  </si>
  <si>
    <t>loop1_108</t>
  </si>
  <si>
    <t>more_languages</t>
  </si>
  <si>
    <t>support_ngo evrf support_family</t>
  </si>
  <si>
    <t>lower_temp cheaper_energy limited_heaters energy_eff_bulbs</t>
  </si>
  <si>
    <t>food healthcare clothing</t>
  </si>
  <si>
    <t>0a8d0a97-4ce1-4499-be32-600447ef2c27</t>
  </si>
  <si>
    <t>loop1_109</t>
  </si>
  <si>
    <t>blankets_clothes reduce_gas turn_off_appliances</t>
  </si>
  <si>
    <t>food rent_housing</t>
  </si>
  <si>
    <t>healthcare food housing utilities</t>
  </si>
  <si>
    <t>payment_plans home_improvement</t>
  </si>
  <si>
    <t>5b913e05-29b5-4daf-a9e9-c847670568bc</t>
  </si>
  <si>
    <t>loop1_110</t>
  </si>
  <si>
    <t>human_protection</t>
  </si>
  <si>
    <t>expand_criteria target_rentals</t>
  </si>
  <si>
    <t>limited_light turn_off_appliances</t>
  </si>
  <si>
    <t>75b212ae-b7ff-40fa-bb5a-bbfb69daeed3</t>
  </si>
  <si>
    <t>loop1_111</t>
  </si>
  <si>
    <t>salary savings support_ngo evrf</t>
  </si>
  <si>
    <t>lower_temp turn_off_heat blankets_clothes turn_off_appliances reduce_hot_water reduce_energy</t>
  </si>
  <si>
    <t>education payment_plans other</t>
  </si>
  <si>
    <t>1d053f07-a586-4f8c-b2d4-a262dd7d4d15</t>
  </si>
  <si>
    <t>loop1_112</t>
  </si>
  <si>
    <t>clearer_criteria more_guidance clearer_calculations higher_compensation</t>
  </si>
  <si>
    <t>97ae082a-6f9d-4350-9605-55fda0946012</t>
  </si>
  <si>
    <t>loop1_113</t>
  </si>
  <si>
    <t>status_communication higher_compensation clearer_calculations</t>
  </si>
  <si>
    <t>lower_temp heat_some_rooms limited_light turn_off_appliances energy_eff_appliances energy_eff_bulbs</t>
  </si>
  <si>
    <t>insulation savings</t>
  </si>
  <si>
    <t>377ce4ca-dcbc-48e8-b46a-bbd06696b2de</t>
  </si>
  <si>
    <t>loop1_114</t>
  </si>
  <si>
    <t>lower_temp blankets_clothes turn_off_heat limited_light turn_off_appliances energy_eff_bulbs</t>
  </si>
  <si>
    <t>healthcare food utilities clothing</t>
  </si>
  <si>
    <t>7a484a60-dcf6-4123-bc3c-557ccdc72afc</t>
  </si>
  <si>
    <t>loop1_115</t>
  </si>
  <si>
    <t>higher_compensation home_visits</t>
  </si>
  <si>
    <t>falesti_glinjeni</t>
  </si>
  <si>
    <t>587f1205-f2f9-4603-815d-d95349e86994</t>
  </si>
  <si>
    <t>loop1_116</t>
  </si>
  <si>
    <t>fully_online more_guidance status_communication</t>
  </si>
  <si>
    <t>turn_off_appliances reduce_hot_water</t>
  </si>
  <si>
    <t>alternative_heating home_improvement</t>
  </si>
  <si>
    <t>0e1851f0-352f-480d-af7d-b537963a18b0</t>
  </si>
  <si>
    <t>loop1_117</t>
  </si>
  <si>
    <t>fully_online home_visits</t>
  </si>
  <si>
    <t>turn_off_heat cheaper_energy limited_light turn_off_appliances reduce_hot_water reduce_gas</t>
  </si>
  <si>
    <t>4886b622-d14c-46c0-8c80-9280056a827b</t>
  </si>
  <si>
    <t>loop1_118</t>
  </si>
  <si>
    <t>clearer_criteria status_communication higher_compensation</t>
  </si>
  <si>
    <t>2025-01-24</t>
  </si>
  <si>
    <t>turn_off_heat lower_temp cheaper_energy limited_light turn_off_appliances energy_eff_bulbs insulation</t>
  </si>
  <si>
    <t>energy_eff_appliances savings stock_firewood reduce_energy</t>
  </si>
  <si>
    <t>23 - 29 Jan</t>
  </si>
  <si>
    <t>823bbefc-1cf2-44f5-9ff3-a2bf1026cbdb</t>
  </si>
  <si>
    <t>loop1_119</t>
  </si>
  <si>
    <t>heater_ac solid_fuel</t>
  </si>
  <si>
    <t>2025-01-22</t>
  </si>
  <si>
    <t>52c3fdf7-d676-4efb-afed-078dad790b9b</t>
  </si>
  <si>
    <t>loop1_120</t>
  </si>
  <si>
    <t>complex_process long_application</t>
  </si>
  <si>
    <t>clearer_criteria more_guidance status_communication higher_compensation clearer_calculations</t>
  </si>
  <si>
    <t>lower_temp turn_off_heat cheaper_energy turn_off_appliances</t>
  </si>
  <si>
    <t>alternative_heating payment_plans</t>
  </si>
  <si>
    <t>82ca04de-a87c-4b19-80e5-b3405dc84df8</t>
  </si>
  <si>
    <t>loop1_121</t>
  </si>
  <si>
    <t>b0104eaf-44c7-48be-ae9e-c18b0320c118</t>
  </si>
  <si>
    <t>loop1_122</t>
  </si>
  <si>
    <t>turn_off_heat blankets_clothes turn_off_appliances</t>
  </si>
  <si>
    <t>dd1fd99b-3603-48c2-8a3a-e12f7087b3bd</t>
  </si>
  <si>
    <t>loop1_123</t>
  </si>
  <si>
    <t>turn_off_appliances reduce_hot_water reduce_gas reduce_energy</t>
  </si>
  <si>
    <t>1ca8dc79-06f4-4486-9b4e-ebbed8675d82</t>
  </si>
  <si>
    <t>loop1_124</t>
  </si>
  <si>
    <t>turn_off_heat blankets_clothes</t>
  </si>
  <si>
    <t>orhei_pelivan</t>
  </si>
  <si>
    <t>d2d09840-cfcc-4020-88f9-416519a14af8</t>
  </si>
  <si>
    <t>loop1_125</t>
  </si>
  <si>
    <t>turn_off_appliances energy_eff_bulbs reduce_energy</t>
  </si>
  <si>
    <t>food healthcare rent_housing</t>
  </si>
  <si>
    <t>healthcare housing food hygiene</t>
  </si>
  <si>
    <t>stable_income savings cheaper_energy</t>
  </si>
  <si>
    <t>chisinau_truseni</t>
  </si>
  <si>
    <t>3b44f069-4479-4e94-bdb1-82bb13500a20</t>
  </si>
  <si>
    <t>loop1_126</t>
  </si>
  <si>
    <t>lower_temp heat_some_rooms turn_off_heat turn_off_appliances limited_light reduce_energy</t>
  </si>
  <si>
    <t>2d3d78a6-9afd-4778-badd-65beb06bae8d</t>
  </si>
  <si>
    <t>loop1_127</t>
  </si>
  <si>
    <t>lower_temp limited_heaters energy_eff_bulbs reduce_energy insulation</t>
  </si>
  <si>
    <t>food healthcare transport personal_items leisure</t>
  </si>
  <si>
    <t>c62ce1d2-72e2-4052-a24a-5c8f8da65501</t>
  </si>
  <si>
    <t>loop1_128</t>
  </si>
  <si>
    <t>plw children chronic_illness</t>
  </si>
  <si>
    <t>turn_off_heat blankets_clothes turn_off_appliances reduce_hot_water reduce_energy</t>
  </si>
  <si>
    <t>8e295072-8900-4446-ac76-d709b39384d0</t>
  </si>
  <si>
    <t>loop1_129</t>
  </si>
  <si>
    <t>utagagauzia_congaz</t>
  </si>
  <si>
    <t>5c1dbc0b-8697-431f-a28c-fe0b2e49d7ce</t>
  </si>
  <si>
    <t>loop1_130</t>
  </si>
  <si>
    <t>5cb7647e-0a1d-41ab-9911-887d964ffdd3</t>
  </si>
  <si>
    <t>loop1_131</t>
  </si>
  <si>
    <t>children pwd chronic_illness</t>
  </si>
  <si>
    <t>fridge</t>
  </si>
  <si>
    <t>79388ad0-182d-4d22-8e1c-2b0c7c382a05</t>
  </si>
  <si>
    <t>loop1_132</t>
  </si>
  <si>
    <t>energy_eff_bulbs</t>
  </si>
  <si>
    <t>food healthcare personal_items leisure</t>
  </si>
  <si>
    <t>They can cover all needs, but not fully.</t>
  </si>
  <si>
    <t>calarasi</t>
  </si>
  <si>
    <t>calarasi_calarasi</t>
  </si>
  <si>
    <t>8f4ef3ae-c2dc-42a3-a2f4-4199ee08a348</t>
  </si>
  <si>
    <t>loop1_133</t>
  </si>
  <si>
    <t>lower_temp turn_off_heat reduce_hot_water turn_off_appliances reduce_energy</t>
  </si>
  <si>
    <t>healthcare rent_housing</t>
  </si>
  <si>
    <t>chisinau_bubuieci</t>
  </si>
  <si>
    <t>eb73a3f5-a060-46d8-a72f-e23ce0ff7b51</t>
  </si>
  <si>
    <t>loop1_134</t>
  </si>
  <si>
    <t>drochia</t>
  </si>
  <si>
    <t>drochia_nicoreni</t>
  </si>
  <si>
    <t>c2b571ab-f95b-4bae-8b15-63fccbd0dc56</t>
  </si>
  <si>
    <t>loop1_135</t>
  </si>
  <si>
    <t>higher_compensation expand_criteria</t>
  </si>
  <si>
    <t>limited_heaters turn_off_appliances energy_eff_appliances reduce_energy</t>
  </si>
  <si>
    <t>30498a41-8f31-404f-9f58-3edcacaee228</t>
  </si>
  <si>
    <t>loop1_136</t>
  </si>
  <si>
    <t>heat_some_rooms turn_off_heat limited_light turn_off_appliances</t>
  </si>
  <si>
    <t>food healthcare transport</t>
  </si>
  <si>
    <t>floresti</t>
  </si>
  <si>
    <t>floresti_prodanesti</t>
  </si>
  <si>
    <t>ab7589fa-4b0a-4382-8d06-a3844f3a6b90</t>
  </si>
  <si>
    <t>loop1_137</t>
  </si>
  <si>
    <t>heat_some_rooms turn_off_heat blankets_clothes limited_light turn_off_appliances</t>
  </si>
  <si>
    <t>080a0eb9-1a2f-40c7-9446-15c96c18f759</t>
  </si>
  <si>
    <t>loop1_138</t>
  </si>
  <si>
    <t>clearer_criteria more_guidance higher_compensation</t>
  </si>
  <si>
    <t>turn_off_heat limited_light reduce_hot_water</t>
  </si>
  <si>
    <t>insulation stable_income</t>
  </si>
  <si>
    <t>9ab5f75e-9252-4248-b76e-4b31f0de489c</t>
  </si>
  <si>
    <t>loop1_139</t>
  </si>
  <si>
    <t>turn_off_appliances energy_eff_bulbs</t>
  </si>
  <si>
    <t>3baa55e7-a85a-4945-8d47-580867dcff24</t>
  </si>
  <si>
    <t>loop1_140</t>
  </si>
  <si>
    <t>cimislia</t>
  </si>
  <si>
    <t>cimislia_cimislia</t>
  </si>
  <si>
    <t>993edd71-cc52-4c7c-a936-a79d61a8e397</t>
  </si>
  <si>
    <t>loop1_141</t>
  </si>
  <si>
    <t>plw children pwd chronic_illness</t>
  </si>
  <si>
    <t>lower_temp turn_off_heat reduce_hot_water</t>
  </si>
  <si>
    <t>food healthcare transport education personal_items</t>
  </si>
  <si>
    <t>More vouchers to buy electrical appliances.</t>
  </si>
  <si>
    <t>18bcdac7-1b0c-472f-98cd-aa3c43984c0d</t>
  </si>
  <si>
    <t>loop1_142</t>
  </si>
  <si>
    <t>clearer_criteria expand_criteria higher_compensation clearer_calculations</t>
  </si>
  <si>
    <t>lower_temp reduce_energy</t>
  </si>
  <si>
    <t>home_improvement payment_plans alternative_heating</t>
  </si>
  <si>
    <t>7dca3cab-6feb-4d9b-9268-27ca8aa55ab6</t>
  </si>
  <si>
    <t>loop1_143</t>
  </si>
  <si>
    <t>higher_compensation clearer_criteria</t>
  </si>
  <si>
    <t>causeni</t>
  </si>
  <si>
    <t>causeni_causeni</t>
  </si>
  <si>
    <t>c6637a6a-aa4c-472a-a57f-1ef651e86482</t>
  </si>
  <si>
    <t>loop1_144</t>
  </si>
  <si>
    <t>child_born_md</t>
  </si>
  <si>
    <t>4be0616d-a207-4a56-afba-8ad8eee3415f</t>
  </si>
  <si>
    <t>loop1_145</t>
  </si>
  <si>
    <t>higher_compensation clearer_criteria more_guidance</t>
  </si>
  <si>
    <t>turn_off_appliances lower_temp</t>
  </si>
  <si>
    <t>ead328a1-a73c-4ea0-8abb-e4f30671f21d</t>
  </si>
  <si>
    <t>loop1_146</t>
  </si>
  <si>
    <t>leova_tigheci</t>
  </si>
  <si>
    <t>b3cd34e3-bc5c-4963-ba7e-4ea92649c1da</t>
  </si>
  <si>
    <t>loop1_147</t>
  </si>
  <si>
    <t>support_ngo support_family evrf</t>
  </si>
  <si>
    <t>reduce_energy energy_eff_bulbs turn_off_appliances</t>
  </si>
  <si>
    <t>fda79202-e768-41ae-8148-34278852447a</t>
  </si>
  <si>
    <t>loop1_148</t>
  </si>
  <si>
    <t>lower_temp turn_off_appliances reduce_energy</t>
  </si>
  <si>
    <t>floresti_ghindesti_com</t>
  </si>
  <si>
    <t>fa790174-5aae-4da5-89a9-c4fae875b639</t>
  </si>
  <si>
    <t>loop1_149</t>
  </si>
  <si>
    <t>salary savings support_family evrf</t>
  </si>
  <si>
    <t>blankets_clothes limited_light turn_off_appliances energy_eff_bulbs reduce_energy insulation</t>
  </si>
  <si>
    <t>floresti_floresti</t>
  </si>
  <si>
    <t>059fa55a-b4b6-435f-a7f8-b6e69238df0c</t>
  </si>
  <si>
    <t>loop1_150</t>
  </si>
  <si>
    <t>2025-01-23</t>
  </si>
  <si>
    <t>lower_temp turn_off_heat heat_some_rooms</t>
  </si>
  <si>
    <t>causeni_pervomaisc</t>
  </si>
  <si>
    <t>c90847e7-5c42-499c-ae2c-f88eac8d54a6</t>
  </si>
  <si>
    <t>loop1_151</t>
  </si>
  <si>
    <t>clearer_criteria clearer_calculations higher_compensation</t>
  </si>
  <si>
    <t>cheaper_energy limited_heaters limited_light insulation energy_eff_bulbs</t>
  </si>
  <si>
    <t>0a1b78bc-ad14-4fdb-8577-e8839441287a</t>
  </si>
  <si>
    <t>loop1_152</t>
  </si>
  <si>
    <t>home_visits higher_compensation clearer_calculations</t>
  </si>
  <si>
    <t>cheaper_energy limited_light turn_off_appliances energy_eff_bulbs reduce_energy insulation</t>
  </si>
  <si>
    <t>fd7c50a9-18fa-4e46-922d-b9543535d584</t>
  </si>
  <si>
    <t>loop1_153</t>
  </si>
  <si>
    <t>limited_light turn_off_appliances reduce_hot_water</t>
  </si>
  <si>
    <t>989de3c7-6c42-4e08-bf39-4490b8a42b13</t>
  </si>
  <si>
    <t>loop1_154</t>
  </si>
  <si>
    <t>expand_criteria</t>
  </si>
  <si>
    <t>limited_light turn_off_appliances reduce_energy</t>
  </si>
  <si>
    <t>26562d5e-815b-4491-a5e2-d7212496560e</t>
  </si>
  <si>
    <t>loop1_155</t>
  </si>
  <si>
    <t>limited_heaters limited_light reduce_hot_water</t>
  </si>
  <si>
    <t>0e337ae2-2053-4811-b8d3-06314bbdbf6f</t>
  </si>
  <si>
    <t>loop1_156</t>
  </si>
  <si>
    <t>clearer_criteria expand_criteria higher_compensation</t>
  </si>
  <si>
    <t>lower_temp turn_off_heat blankets_clothes reduce_energy</t>
  </si>
  <si>
    <t>1cb6db8f-4adc-451c-922b-ee93406ed5c8</t>
  </si>
  <si>
    <t>loop1_157</t>
  </si>
  <si>
    <t>support_ngo evrf salary</t>
  </si>
  <si>
    <t>stock_firewood savings cheaper_energy</t>
  </si>
  <si>
    <t>alternative_heating renewables</t>
  </si>
  <si>
    <t>causeni_opaci</t>
  </si>
  <si>
    <t>989e811e-a032-4905-957b-444e1ce6e381</t>
  </si>
  <si>
    <t>loop1_158</t>
  </si>
  <si>
    <t>Have fewer questions in the application so it is easier to complete</t>
  </si>
  <si>
    <t>ed857c45-9749-4123-acec-5d99a08acb1a</t>
  </si>
  <si>
    <t>loop1_159</t>
  </si>
  <si>
    <t>dfeed1be-76d1-41f4-9f21-254543497200</t>
  </si>
  <si>
    <t>loop1_160</t>
  </si>
  <si>
    <t>limited_heaters limited_light reduce_gas</t>
  </si>
  <si>
    <t>ocnita</t>
  </si>
  <si>
    <t>d9a36f47-130c-479e-8a36-15094e7a43ee</t>
  </si>
  <si>
    <t>loop1_161</t>
  </si>
  <si>
    <t>limited_light turn_off_appliances energy_eff_bulbs reduce_energy</t>
  </si>
  <si>
    <t>stable_income</t>
  </si>
  <si>
    <t>f458eddc-57b8-48be-a1b3-d7f6ae9fbe90</t>
  </si>
  <si>
    <t>loop1_162</t>
  </si>
  <si>
    <t>older_people pwd chronic_illness</t>
  </si>
  <si>
    <t>75d8e791-76a5-4627-9c50-56212b1b0da3</t>
  </si>
  <si>
    <t>loop1_163</t>
  </si>
  <si>
    <t>status_communication expand_criteria</t>
  </si>
  <si>
    <t>cold joint_pain</t>
  </si>
  <si>
    <t>076f04ec-fcfd-457d-8307-9ef9f6675aa6</t>
  </si>
  <si>
    <t>loop1_164</t>
  </si>
  <si>
    <t>limited_light reduce_hot_water</t>
  </si>
  <si>
    <t>96eccc6c-fa84-480a-b14c-a8b18d1723e4</t>
  </si>
  <si>
    <t>loop1_165</t>
  </si>
  <si>
    <t>energy_eff_bulbs turn_off_appliances reduce_energy</t>
  </si>
  <si>
    <t>de1dab5b-91f1-4886-bbe3-3031550e0e19</t>
  </si>
  <si>
    <t>loop1_166</t>
  </si>
  <si>
    <t>56ad99bb-79ee-49fa-a955-9d3b60f7fb75</t>
  </si>
  <si>
    <t>loop1_167</t>
  </si>
  <si>
    <t>more_guidance</t>
  </si>
  <si>
    <t>limited_heaters limited_light turn_off_appliances reduce_energy</t>
  </si>
  <si>
    <t>43c7d168-691c-441e-9ec3-9fb67db7131c</t>
  </si>
  <si>
    <t>loop1_168</t>
  </si>
  <si>
    <t>more_guidance home_visits</t>
  </si>
  <si>
    <t>family</t>
  </si>
  <si>
    <t>floresti_gura_camencii</t>
  </si>
  <si>
    <t>a4e10564-c43b-441a-a77a-ceec14b3a864</t>
  </si>
  <si>
    <t>loop1_170</t>
  </si>
  <si>
    <t>heat_some_rooms reduce_gas blankets_clothes</t>
  </si>
  <si>
    <t>c2df03e3-8cfd-482e-bac0-3fbb1ec379b4</t>
  </si>
  <si>
    <t>loop1_171</t>
  </si>
  <si>
    <t>clearer_criteria status_communication home_visits higher_compensation clearer_calculations</t>
  </si>
  <si>
    <t>turn_off_heat limited_heaters turn_off_appliances energy_eff_appliances energy_eff_bulbs insulation</t>
  </si>
  <si>
    <t>76be4af0-3028-4c23-a357-790100439503</t>
  </si>
  <si>
    <t>loop1_172</t>
  </si>
  <si>
    <t>causeni_ursoaia</t>
  </si>
  <si>
    <t>af495a39-a7f6-42e1-b374-24de3cdeb3f3</t>
  </si>
  <si>
    <t>loop1_173</t>
  </si>
  <si>
    <t>turn_off_appliances blankets_clothes</t>
  </si>
  <si>
    <t>a4a6cfce-ebdc-4b2c-9692-5d5b01612a8a</t>
  </si>
  <si>
    <t>loop1_174</t>
  </si>
  <si>
    <t>evrf support_ngo</t>
  </si>
  <si>
    <t>blankets_clothes turn_off_appliances reduce_gas</t>
  </si>
  <si>
    <t>e79fb36f-eac6-4006-81e0-20efa91d6041</t>
  </si>
  <si>
    <t>loop1_175</t>
  </si>
  <si>
    <t>heat_some_rooms cheaper_energy limited_light</t>
  </si>
  <si>
    <t>bills_firewood healthcare</t>
  </si>
  <si>
    <t>healthcare food clothing other</t>
  </si>
  <si>
    <t>0826a3fe-d652-44d8-8778-41411a18e901</t>
  </si>
  <si>
    <t>loop1_176</t>
  </si>
  <si>
    <t>turn_off_heat cheaper_energy limited_heaters limited_light turn_off_appliances energy_eff_bulbs reduce_energy insulation</t>
  </si>
  <si>
    <t>insulation stable_income stock_firewood</t>
  </si>
  <si>
    <t>f13b1278-c977-43bb-b35b-9b6cbbd0dd22</t>
  </si>
  <si>
    <t>loop1_177</t>
  </si>
  <si>
    <t>food housing</t>
  </si>
  <si>
    <t>floresti_gura_cainarului</t>
  </si>
  <si>
    <t>5e6d06a7-8989-4c03-a0ba-755e36c0391b</t>
  </si>
  <si>
    <t>loop1_178</t>
  </si>
  <si>
    <t>causeni_grigorievca</t>
  </si>
  <si>
    <t>ba5c014e-bd23-4cc4-94ef-0cd7caf2ebe1</t>
  </si>
  <si>
    <t>loop1_179</t>
  </si>
  <si>
    <t>part_house</t>
  </si>
  <si>
    <t>The social worker refused several times to help us apply</t>
  </si>
  <si>
    <t>more_guidance expand_criteria higher_compensation</t>
  </si>
  <si>
    <t>lower_temp turn_off_heat blankets_clothes energy_eff_bulbs reduce_energy</t>
  </si>
  <si>
    <t>joint_pain</t>
  </si>
  <si>
    <t>3aa8621c-dd66-448d-8cdc-f699f52eb450</t>
  </si>
  <si>
    <t>loop1_180</t>
  </si>
  <si>
    <t>turn_off_heat limited_light turn_off_appliances reduce_energy</t>
  </si>
  <si>
    <t>donduseni</t>
  </si>
  <si>
    <t>donduseni_donduseni_c</t>
  </si>
  <si>
    <t>17d21f63-935e-47a9-994b-cac188705dc3</t>
  </si>
  <si>
    <t>loop1_181</t>
  </si>
  <si>
    <t>perm_resident</t>
  </si>
  <si>
    <t>heat_some_rooms lower_temp turn_off_heat blankets_clothes cheaper_energy turn_off_appliances reduce_energy</t>
  </si>
  <si>
    <t>stock_firewood reduce_energy savings</t>
  </si>
  <si>
    <t>c25a2910-b45c-4b39-b82e-ad95b85c97fa</t>
  </si>
  <si>
    <t>loop1_182</t>
  </si>
  <si>
    <t>turn_off_heat turn_off_appliances reduce_gas</t>
  </si>
  <si>
    <t>home_improvement renewables education payment_plans</t>
  </si>
  <si>
    <t>28299039-dd82-4286-acbd-2ebb5b32b27a</t>
  </si>
  <si>
    <t>loop1_183</t>
  </si>
  <si>
    <t>bc6d2386-9237-4e14-a932-e8651d68ce99</t>
  </si>
  <si>
    <t>loop1_184</t>
  </si>
  <si>
    <t>e0acb51c-e4f7-4b97-b28b-7d7e8b625029</t>
  </si>
  <si>
    <t>loop1_185</t>
  </si>
  <si>
    <t>reduce_energy turn_off_appliances limited_light blankets_clothes energy_eff_bulbs</t>
  </si>
  <si>
    <t>8ad5b9ea-5666-45b9-9048-75d66ac36677</t>
  </si>
  <si>
    <t>loop1_186</t>
  </si>
  <si>
    <t>children older_people pwd chronic_illness single_adult</t>
  </si>
  <si>
    <t>blankets_clothes turn_off_appliances energy_eff_bulbs</t>
  </si>
  <si>
    <t>mild_discomfort</t>
  </si>
  <si>
    <t>insulation change_accommodation savings</t>
  </si>
  <si>
    <t>02668a22-c837-46ea-bc8a-30b540f199fd</t>
  </si>
  <si>
    <t>loop1_187</t>
  </si>
  <si>
    <t>e80f1ccf-514f-489c-bca3-56e811f847b4</t>
  </si>
  <si>
    <t>loop1_188</t>
  </si>
  <si>
    <t>1123e190-a94e-494f-b7ed-3be2f8c3b9dc</t>
  </si>
  <si>
    <t>loop1_189</t>
  </si>
  <si>
    <t>heat_some_rooms turn_off_heat cheaper_energy limited_light turn_off_appliances insulation</t>
  </si>
  <si>
    <t>insulation stable_income savings</t>
  </si>
  <si>
    <t>glodeni</t>
  </si>
  <si>
    <t>glodeni_sturzovca</t>
  </si>
  <si>
    <t>9b00da2d-b1b4-49ca-82c6-aed7397efebe</t>
  </si>
  <si>
    <t>loop1_190</t>
  </si>
  <si>
    <t>55485439-021a-4f3e-b805-d11577087439</t>
  </si>
  <si>
    <t>loop1_191</t>
  </si>
  <si>
    <t>a7431174-3487-407f-b594-d70eeca51f6b</t>
  </si>
  <si>
    <t>loop1_192</t>
  </si>
  <si>
    <t>cheaper_energy limited_light turn_off_appliances energy_eff_bulbs insulation</t>
  </si>
  <si>
    <t>0320dbd8-b032-4b94-979d-3a5fac70dfd8</t>
  </si>
  <si>
    <t>loop1_193</t>
  </si>
  <si>
    <t>expand_criteria higher_compensation target_rentals clearer_calculations</t>
  </si>
  <si>
    <t>lower_temp turn_off_heat limited_heaters limited_light turn_off_appliances energy_eff_bulbs reduce_energy insulation</t>
  </si>
  <si>
    <t>energy_eff_appliances savings reduce_energy</t>
  </si>
  <si>
    <t>payment_plans education home_improvement renewables alternative_heating</t>
  </si>
  <si>
    <t>glodeni_iabloana</t>
  </si>
  <si>
    <t>86d83904-987d-41f2-b8f9-4c828ea51635</t>
  </si>
  <si>
    <t>loop1_194</t>
  </si>
  <si>
    <t>lower_temp turn_off_heat blankets_clothes limited_heaters limited_light turn_off_appliances insulation energy_eff_bulbs</t>
  </si>
  <si>
    <t>food healthcare transport rent_housing personal_items leisure</t>
  </si>
  <si>
    <t>c39f18f2-e928-4e38-964b-430d0f8359b4</t>
  </si>
  <si>
    <t>loop1_195</t>
  </si>
  <si>
    <t>evrf salary support_family</t>
  </si>
  <si>
    <t>More financial support to cover expenses</t>
  </si>
  <si>
    <t>cc6923a4-20a9-41a2-9e25-8132920e2bf8</t>
  </si>
  <si>
    <t>loop1_196</t>
  </si>
  <si>
    <t>higher_compensation clearer_criteria clearer_calculations</t>
  </si>
  <si>
    <t>ef86b9d8-5837-4749-9795-f397f9c54a7a</t>
  </si>
  <si>
    <t>loop1_197</t>
  </si>
  <si>
    <t>ba7c6aa7-0c4d-4d23-9a1e-e87cdf04e1e1</t>
  </si>
  <si>
    <t>loop1_198</t>
  </si>
  <si>
    <t>lower_temp turn_off_heat blankets_clothes turn_off_appliances energy_eff_bulbs</t>
  </si>
  <si>
    <t>0cb860dc-bc84-4d94-a627-70b2d757d1e8</t>
  </si>
  <si>
    <t>loop1_199</t>
  </si>
  <si>
    <t>4dc5e265-40f3-4b63-b959-b62d4cdffe2b</t>
  </si>
  <si>
    <t>loop1_200</t>
  </si>
  <si>
    <t>79e71f93-614b-44b6-8807-4b11f6057bf1</t>
  </si>
  <si>
    <t>loop1_201</t>
  </si>
  <si>
    <t>more_guidance clearer_calculations</t>
  </si>
  <si>
    <t>56389f4f-85f7-4bcd-ab2f-19b58736ef53</t>
  </si>
  <si>
    <t>loop1_202</t>
  </si>
  <si>
    <t>pwd</t>
  </si>
  <si>
    <t>lower_temp turn_off_heat turn_off_appliances reduce_gas reduce_energy</t>
  </si>
  <si>
    <t>58ca5f7b-7585-476a-8922-88df2d07ebd4</t>
  </si>
  <si>
    <t>loop1_203</t>
  </si>
  <si>
    <t>heat_some_rooms limited_light energy_eff_bulbs</t>
  </si>
  <si>
    <t>98a5ddfc-8adf-492a-936b-23e780479575</t>
  </si>
  <si>
    <t>loop1_204</t>
  </si>
  <si>
    <t>c06798e5-80dd-4a8b-a670-2c9bfd5ce98b</t>
  </si>
  <si>
    <t>loop1_205</t>
  </si>
  <si>
    <t>children older_people single_adult chronic_illness</t>
  </si>
  <si>
    <t>d60918c4-1869-44bc-b9a9-5e5be22ec710</t>
  </si>
  <si>
    <t>loop1_206</t>
  </si>
  <si>
    <t>700e462b-772f-448d-8af1-c971188e5d95</t>
  </si>
  <si>
    <t>loop1_207</t>
  </si>
  <si>
    <t>clearer_criteria more_guidance status_communication higher_compensation</t>
  </si>
  <si>
    <t>lower_temp blankets_clothes limited_light turn_off_appliances energy_eff_bulbs</t>
  </si>
  <si>
    <t>f7b25044-d707-4879-a621-396f7fc97f55</t>
  </si>
  <si>
    <t>loop1_208</t>
  </si>
  <si>
    <t>53ab26be-30fe-4c27-9e6b-a6941bdca475</t>
  </si>
  <si>
    <t>loop1_209</t>
  </si>
  <si>
    <t>food leisure</t>
  </si>
  <si>
    <t>9f1f66ed-f70e-4312-8ba7-aaf05ebacbde</t>
  </si>
  <si>
    <t>loop1_210</t>
  </si>
  <si>
    <t>lower_temp turn_off_appliances</t>
  </si>
  <si>
    <t>d8fe8097-8a08-46e6-aed8-02d82f2910a1</t>
  </si>
  <si>
    <t>loop1_211</t>
  </si>
  <si>
    <t>b0b12dec-ea34-40e6-883a-cc27822713c1</t>
  </si>
  <si>
    <t>loop1_212</t>
  </si>
  <si>
    <t>9f9e45ee-0be5-4905-b6f4-4ecabed333af</t>
  </si>
  <si>
    <t>loop1_213</t>
  </si>
  <si>
    <t>lower_temp heat_some_rooms turn_off_heat limited_light energy_eff_bulbs reduce_energy</t>
  </si>
  <si>
    <t>a15655fb-8330-4951-8cb5-115a555a34d9</t>
  </si>
  <si>
    <t>loop1_214</t>
  </si>
  <si>
    <t>children plw single_adult</t>
  </si>
  <si>
    <t>844ee057-0eec-4dd7-9b72-7260639fd74d</t>
  </si>
  <si>
    <t>loop1_215</t>
  </si>
  <si>
    <t>heat_some_rooms turn_off_heat cheaper_energy turn_off_appliances reduce_energy</t>
  </si>
  <si>
    <t>savings stock_firewood cheaper_energy</t>
  </si>
  <si>
    <t>chisinau_ciorescu</t>
  </si>
  <si>
    <t>f27b7378-796e-4a84-abad-8ea7ad4a03c8</t>
  </si>
  <si>
    <t>loop1_216</t>
  </si>
  <si>
    <t>more_guidance expand_criteria home_visits clearer_calculations higher_compensation target_rentals</t>
  </si>
  <si>
    <t>energy_eff_appliances savings stable_income</t>
  </si>
  <si>
    <t>90d44c9b-ab6b-4852-aa9d-15803b8c1698</t>
  </si>
  <si>
    <t>loop1_217</t>
  </si>
  <si>
    <t>clearer_criteria more_guidance status_communication home_visits higher_compensation clearer_calculations</t>
  </si>
  <si>
    <t>7086d67f-a8d8-4af2-b54c-ea0fdd74a628</t>
  </si>
  <si>
    <t>loop1_218</t>
  </si>
  <si>
    <t>fully_online clearer_criteria</t>
  </si>
  <si>
    <t>heat_some_rooms cheaper_energy limited_light turn_off_appliances reduce_hot_water</t>
  </si>
  <si>
    <t>aneniinoi_mereni</t>
  </si>
  <si>
    <t>1ca39951-cb89-413e-9eb4-0d862cb8fbc2</t>
  </si>
  <si>
    <t>loop1_219</t>
  </si>
  <si>
    <t>chronic_illness older_people pwd</t>
  </si>
  <si>
    <t>lower_temp turn_off_heat limited_heaters limited_light reduce_gas energy_eff_bulbs</t>
  </si>
  <si>
    <t>c4d6e22b-479f-4e48-b09a-da5966b047fb</t>
  </si>
  <si>
    <t>loop1_220</t>
  </si>
  <si>
    <t>higher_compensation fully_online</t>
  </si>
  <si>
    <t>turn_off_appliances limited_light limited_heaters</t>
  </si>
  <si>
    <t>0a2c65ed-10b0-48bc-97c5-486a88cdbc1f</t>
  </si>
  <si>
    <t>loop1_221</t>
  </si>
  <si>
    <t>lower_temp turn_off_heat blankets_clothes turn_off_appliances reduce_energy</t>
  </si>
  <si>
    <t>50a669e9-1500-4663-a4a5-fe5baa50c8b3</t>
  </si>
  <si>
    <t>loop1_222</t>
  </si>
  <si>
    <t>rent_housing debt_repayment</t>
  </si>
  <si>
    <t>housing clothing</t>
  </si>
  <si>
    <t>f290e2c8-1314-4943-abc3-3a4212ab31e6</t>
  </si>
  <si>
    <t>loop1_223</t>
  </si>
  <si>
    <t>64f65b6e-578c-4da3-9438-8a9d88bfa29c</t>
  </si>
  <si>
    <t>loop1_224</t>
  </si>
  <si>
    <t>limited_heaters energy_eff_bulbs</t>
  </si>
  <si>
    <t>cacb61f5-c43b-48cf-81c8-65dbd57e4ca0</t>
  </si>
  <si>
    <t>loop1_225</t>
  </si>
  <si>
    <t>clearer_calculations</t>
  </si>
  <si>
    <t>chisinau_bacioi</t>
  </si>
  <si>
    <t>04d2ec11-0e96-47a1-af96-91aa65f625c1</t>
  </si>
  <si>
    <t>loop1_226</t>
  </si>
  <si>
    <t>clearer_criteria expand_criteria status_communication target_rentals higher_compensation clearer_calculations</t>
  </si>
  <si>
    <t>limited_light turn_off_appliances energy_eff_appliances energy_eff_bulbs</t>
  </si>
  <si>
    <t>916c8107-6e20-4354-9af7-148c4a7e2221</t>
  </si>
  <si>
    <t>loop1_227</t>
  </si>
  <si>
    <t>clearer_calculations higher_compensation</t>
  </si>
  <si>
    <t>lower_temp limited_heaters energy_eff_bulbs</t>
  </si>
  <si>
    <t>energy_eff_appliances stable_income savings reduce_energy</t>
  </si>
  <si>
    <t>31c1a496-7233-4151-8217-cdd18f0b8917</t>
  </si>
  <si>
    <t>loop1_228</t>
  </si>
  <si>
    <t>884a28ce-d6c6-49d9-9f44-11fae29601bd</t>
  </si>
  <si>
    <t>loop1_229</t>
  </si>
  <si>
    <t>expand_criteria clearer_criteria status_communication higher_compensation clearer_calculations</t>
  </si>
  <si>
    <t>limited_heaters limited_light turn_off_appliances energy_eff_appliances energy_eff_bulbs</t>
  </si>
  <si>
    <t>insulation stable_income savings reduce_energy</t>
  </si>
  <si>
    <t>461f2f41-1229-4025-920c-809331de7498</t>
  </si>
  <si>
    <t>loop1_230</t>
  </si>
  <si>
    <t>plw children older_people pwd chronic_illness</t>
  </si>
  <si>
    <t>No changes needed</t>
  </si>
  <si>
    <t>limited_light turn_off_appliances blankets_clothes</t>
  </si>
  <si>
    <t>4cbd5dde-7d65-4604-9be4-5bb45ac2074f</t>
  </si>
  <si>
    <t>loop1_231</t>
  </si>
  <si>
    <t>8b0c8b68-0dac-49c1-ae05-24accb0ddd4c</t>
  </si>
  <si>
    <t>loop1_232</t>
  </si>
  <si>
    <t>blankets_clothes turn_off_appliances reduce_energy</t>
  </si>
  <si>
    <t>7338eb27-d623-40fb-a304-dfe9ed64c88e</t>
  </si>
  <si>
    <t>loop1_233</t>
  </si>
  <si>
    <t>limited_light reduce_hot_water turn_off_appliances energy_eff_appliances reduce_gas</t>
  </si>
  <si>
    <t>b36b75ff-6a47-44f3-a820-be0c9bb83d5a</t>
  </si>
  <si>
    <t>loop1_234</t>
  </si>
  <si>
    <t>fully_online higher_compensation</t>
  </si>
  <si>
    <t>limited_light turn_off_appliances limited_heaters</t>
  </si>
  <si>
    <t>2d4800fd-6007-409f-a48f-46fdb175c9c4</t>
  </si>
  <si>
    <t>loop1_235</t>
  </si>
  <si>
    <t>savings salary evrf</t>
  </si>
  <si>
    <t>lower_temp turn_off_heat turn_off_appliances</t>
  </si>
  <si>
    <t>fe8b1e0f-71b9-4397-b28a-2faefe421921</t>
  </si>
  <si>
    <t>loop1_236</t>
  </si>
  <si>
    <t>reduce_hot_water</t>
  </si>
  <si>
    <t>105dd3ab-b2a4-48d5-88b7-14a2dd33d2f2</t>
  </si>
  <si>
    <t>loop1_237</t>
  </si>
  <si>
    <t>reduce_energy energy_eff_bulbs turn_off_appliances limited_heaters</t>
  </si>
  <si>
    <t>savings energy_eff_appliances</t>
  </si>
  <si>
    <t>e1d13596-8c93-410b-9544-d2169c6994b1</t>
  </si>
  <si>
    <t>loop1_238</t>
  </si>
  <si>
    <t>10c088c2-b55b-4388-97b0-6a0d30df848c</t>
  </si>
  <si>
    <t>loop1_239</t>
  </si>
  <si>
    <t>insulation energy_eff_bulbs limited_light limited_heaters</t>
  </si>
  <si>
    <t>alternative_heating payment_plans education home_improvement renewables</t>
  </si>
  <si>
    <t>cac898c9-0abd-455c-a3d3-c9d5d0e464a7</t>
  </si>
  <si>
    <t>loop1_240</t>
  </si>
  <si>
    <t>limited_light turn_off_appliances reduce_gas reduce_energy</t>
  </si>
  <si>
    <t>food rent_housing personal_items</t>
  </si>
  <si>
    <t>food housing clothing</t>
  </si>
  <si>
    <t>savings stable_income</t>
  </si>
  <si>
    <t>ba88bb56-1825-45e5-8ab6-fb76007ad45e</t>
  </si>
  <si>
    <t>loop1_241</t>
  </si>
  <si>
    <t>a7aa8d8e-95e0-4116-b487-f76cf77c6678</t>
  </si>
  <si>
    <t>loop1_242</t>
  </si>
  <si>
    <t>5e404cd8-0079-4265-86db-f3bd054a18f1</t>
  </si>
  <si>
    <t>loop1_243</t>
  </si>
  <si>
    <t>lower_temp heat_some_rooms blankets_clothes cheaper_energy limited_heaters limited_light turn_off_appliances energy_eff_bulbs insulation</t>
  </si>
  <si>
    <t>d21e699e-797c-47ad-bcf9-b0bcdedd9580</t>
  </si>
  <si>
    <t>loop1_244</t>
  </si>
  <si>
    <t>888ae1f5-af8c-476e-a612-4079428239b4</t>
  </si>
  <si>
    <t>loop1_245</t>
  </si>
  <si>
    <t>86e81a95-3778-44c3-a1ad-955e04384136</t>
  </si>
  <si>
    <t>loop1_246</t>
  </si>
  <si>
    <t>lower_temp turn_off_heat heat_some_rooms blankets_clothes cheaper_energy turn_off_appliances energy_eff_bulbs insulation</t>
  </si>
  <si>
    <t>healthcare food personal_items</t>
  </si>
  <si>
    <t>joint_pain cold</t>
  </si>
  <si>
    <t>02aec01c-8dca-4592-b528-cbe90fbc36f1</t>
  </si>
  <si>
    <t>loop1_247</t>
  </si>
  <si>
    <t>clearer_criteria status_communication target_rentals higher_compensation clearer_calculations</t>
  </si>
  <si>
    <t>change_accommodation savings</t>
  </si>
  <si>
    <t>96117c95-bef4-4f1e-824f-6b26e96060ca</t>
  </si>
  <si>
    <t>loop1_248</t>
  </si>
  <si>
    <t>chisinau_gratiesti</t>
  </si>
  <si>
    <t>a63f2511-ee9b-49d5-afab-759b0b96ef50</t>
  </si>
  <si>
    <t>loop1_249</t>
  </si>
  <si>
    <t>children older_people chronic_illness single_adult</t>
  </si>
  <si>
    <t>blankets_clothes limited_light turn_off_appliances energy_eff_bulbs insulation reduce_energy</t>
  </si>
  <si>
    <t>39faebce-3c8c-432c-b2e1-26271e4f06bb</t>
  </si>
  <si>
    <t>loop1_250</t>
  </si>
  <si>
    <t>leisure personal_items</t>
  </si>
  <si>
    <t>87301543-4054-4e2b-a453-29cab0a67f14</t>
  </si>
  <si>
    <t>loop1_251</t>
  </si>
  <si>
    <t>stove</t>
  </si>
  <si>
    <t>8f3287b8-1785-44ed-ba99-4d7035aa1be0</t>
  </si>
  <si>
    <t>loop1_252</t>
  </si>
  <si>
    <t>leisure</t>
  </si>
  <si>
    <t>a75c7bec-cb77-4727-b824-a1788e33fd8e</t>
  </si>
  <si>
    <t>loop1_253</t>
  </si>
  <si>
    <t>1ad70dbf-90b2-4092-b53a-aecf6a8ebe31</t>
  </si>
  <si>
    <t>loop1_254</t>
  </si>
  <si>
    <t>heat_some_rooms lower_temp turn_off_appliances reduce_energy</t>
  </si>
  <si>
    <t>4112a292-ef58-4867-9d6d-df9efbaa4552</t>
  </si>
  <si>
    <t>loop1_255</t>
  </si>
  <si>
    <t>rent_housing</t>
  </si>
  <si>
    <t>7880223b-e3a5-46d4-b23e-a11472630758</t>
  </si>
  <si>
    <t>loop1_256</t>
  </si>
  <si>
    <t>lower_temp heat_some_rooms turn_off_heat limited_light reduce_hot_water reduce_energy</t>
  </si>
  <si>
    <t>food rent_housing transport education</t>
  </si>
  <si>
    <t>housing food</t>
  </si>
  <si>
    <t>cde7682c-fa11-48cf-80fc-ccba180e41fc</t>
  </si>
  <si>
    <t>loop1_257</t>
  </si>
  <si>
    <t>energy_eff_bulbs energy_eff_appliances reduce_energy insulation</t>
  </si>
  <si>
    <t>food transport personal_items</t>
  </si>
  <si>
    <t>bills_firewood saved</t>
  </si>
  <si>
    <t>257e66d5-0cee-4e85-a2f4-2bf92359ea58</t>
  </si>
  <si>
    <t>loop1_258</t>
  </si>
  <si>
    <t>healthcare personal_items</t>
  </si>
  <si>
    <t>healthcare food hygiene clothing</t>
  </si>
  <si>
    <t>f22225c8-13cc-4691-b19e-1df4587d1aa0</t>
  </si>
  <si>
    <t>loop1_259</t>
  </si>
  <si>
    <t>cabaf6fa-a001-4b55-9f30-8427fcd2c82a</t>
  </si>
  <si>
    <t>loop1_260</t>
  </si>
  <si>
    <t>lower_temp limited_light turn_off_appliances energy_eff_bulbs</t>
  </si>
  <si>
    <t>b14ba9e5-1340-4ebb-a28f-a3f822651d9d</t>
  </si>
  <si>
    <t>loop1_261</t>
  </si>
  <si>
    <t>heat_some_rooms turn_off_heat blankets_clothes cheaper_energy limited_light turn_off_appliances energy_eff_bulbs insulation</t>
  </si>
  <si>
    <t>af6799e7-26db-4187-bd2f-c230ebf617f4</t>
  </si>
  <si>
    <t>loop1_262</t>
  </si>
  <si>
    <t>70217381-b5e5-463c-96ec-aaf572940330</t>
  </si>
  <si>
    <t>loop1_263</t>
  </si>
  <si>
    <t>support_ngo salary evrf</t>
  </si>
  <si>
    <t>1caa3cbd-4673-4395-8791-c79be5a0ed40</t>
  </si>
  <si>
    <t>loop1_264</t>
  </si>
  <si>
    <t>landlord_applied</t>
  </si>
  <si>
    <t>target_rentals</t>
  </si>
  <si>
    <t>energy_eff_bulbs energy_eff_appliances turn_off_appliances limited_light limited_heaters</t>
  </si>
  <si>
    <t>406a9e69-bc2e-4e2e-8c42-626fa88eb714</t>
  </si>
  <si>
    <t>loop1_265</t>
  </si>
  <si>
    <t>blankets_clothes limited_heaters limited_light turn_off_appliances energy_eff_bulbs reduce_energy insulation</t>
  </si>
  <si>
    <t>healthcare clothing technology</t>
  </si>
  <si>
    <t>664a2ca2-ea58-4afc-a484-3614e07d2d97</t>
  </si>
  <si>
    <t>loop1_266</t>
  </si>
  <si>
    <t>temp_resident</t>
  </si>
  <si>
    <t>87c3a89e-4a50-4b49-a83d-d5ffa70e1bf9</t>
  </si>
  <si>
    <t>loop1_267</t>
  </si>
  <si>
    <t>children older_people chronic_illness pwd</t>
  </si>
  <si>
    <t>blankets_clothes turn_off_appliances reduce_energy energy_eff_bulbs</t>
  </si>
  <si>
    <t>e00f41ba-652f-483e-b113-947e0e379e7f</t>
  </si>
  <si>
    <t>loop1_268</t>
  </si>
  <si>
    <t>utilities food</t>
  </si>
  <si>
    <t>b4e9adee-1287-4b10-928e-5ee7393d94f8</t>
  </si>
  <si>
    <t>loop1_269</t>
  </si>
  <si>
    <t>cb72b573-08d8-4a8e-ae54-4642602606ad</t>
  </si>
  <si>
    <t>loop1_270</t>
  </si>
  <si>
    <t>children plw</t>
  </si>
  <si>
    <t>9a2c6455-3f37-4e91-b5ac-a01ce0ca20d3</t>
  </si>
  <si>
    <t>loop1_271</t>
  </si>
  <si>
    <t>reduce_energy turn_off_appliances</t>
  </si>
  <si>
    <t>264094ea-5c03-4b7e-9dee-ae92669faff9</t>
  </si>
  <si>
    <t>loop1_272</t>
  </si>
  <si>
    <t>f6421d42-2073-459a-82f1-0749814baf0e</t>
  </si>
  <si>
    <t>loop1_273</t>
  </si>
  <si>
    <t>d2b38492-f5fc-4392-9da3-c7f57e2da692</t>
  </si>
  <si>
    <t>loop1_274</t>
  </si>
  <si>
    <t>heat_some_rooms turn_off_heat reduce_gas reduce_energy</t>
  </si>
  <si>
    <t>food hygiene</t>
  </si>
  <si>
    <t>home_improvement payment_plans renewables</t>
  </si>
  <si>
    <t>2425dab1-d7cb-48c0-a15e-4f6392f07607</t>
  </si>
  <si>
    <t>loop1_275</t>
  </si>
  <si>
    <t>energy_eff_bulbs reduce_energy</t>
  </si>
  <si>
    <t>82e4ca8f-cd17-430f-b017-342276797cd1</t>
  </si>
  <si>
    <t>loop1_276</t>
  </si>
  <si>
    <t>02700482-24c7-45e9-a6b1-7b009750762a</t>
  </si>
  <si>
    <t>loop1_277</t>
  </si>
  <si>
    <t>22d0a9bb-3ebb-4dd5-b767-cc9374ff9e81</t>
  </si>
  <si>
    <t>loop1_278</t>
  </si>
  <si>
    <t>reduce_energy energy_eff_appliances</t>
  </si>
  <si>
    <t>2f13db7e-53db-482c-9c92-0b24f391aa1e</t>
  </si>
  <si>
    <t>loop1_279</t>
  </si>
  <si>
    <t>lower_temp turn_off_heat reduce_energy</t>
  </si>
  <si>
    <t>872d3dca-86d2-4205-9488-9139b3541f53</t>
  </si>
  <si>
    <t>loop1_280</t>
  </si>
  <si>
    <t>clearer_criteria expand_criteria status_communication higher_compensation clearer_calculations</t>
  </si>
  <si>
    <t>limited_heaters turn_off_appliances limited_light energy_eff_bulbs</t>
  </si>
  <si>
    <t>8a74af5f-0e00-4b16-823e-a2c7b6dfac93</t>
  </si>
  <si>
    <t>loop1_281</t>
  </si>
  <si>
    <t>blankets_clothes turn_off_appliances</t>
  </si>
  <si>
    <t>dd2d1b3b-4c1c-4284-9376-790fff65bb79</t>
  </si>
  <si>
    <t>loop1_282</t>
  </si>
  <si>
    <t>leisure rent_housing</t>
  </si>
  <si>
    <t>88faceae-20e0-429e-a228-c205e638b23a</t>
  </si>
  <si>
    <t>loop1_283</t>
  </si>
  <si>
    <t>7d391dd1-f598-42ef-9d39-7468a1e19206</t>
  </si>
  <si>
    <t>loop1_284</t>
  </si>
  <si>
    <t>clearer_criteria more_guidance status_communication home_visits higher_compensation</t>
  </si>
  <si>
    <t>healthcare food leisure personal_items</t>
  </si>
  <si>
    <t>9933834a-f533-4b4c-9274-5d780677988f</t>
  </si>
  <si>
    <t>loop1_285</t>
  </si>
  <si>
    <t>status_communication clearer_criteria home_visits higher_compensation clearer_calculations</t>
  </si>
  <si>
    <t>salary savings evrf support_family</t>
  </si>
  <si>
    <t>limited_heaters limited_light energy_eff_bulbs</t>
  </si>
  <si>
    <t>transport personal_items leisure</t>
  </si>
  <si>
    <t>97534b8e-76ef-4349-855e-7cd794ce4c80</t>
  </si>
  <si>
    <t>loop1_286</t>
  </si>
  <si>
    <t>f31d227a-8ad5-4eb9-9f42-bdf7e2b6f86b</t>
  </si>
  <si>
    <t>loop1_287</t>
  </si>
  <si>
    <t>a858fcf0-5175-4b61-8468-c73774703952</t>
  </si>
  <si>
    <t>loop1_288</t>
  </si>
  <si>
    <t>716b8245-dbf4-47b6-a587-c8bc2e37fe0f</t>
  </si>
  <si>
    <t>loop1_289</t>
  </si>
  <si>
    <t>be2615cd-0ea3-41f8-b8d5-6ad48fba2038</t>
  </si>
  <si>
    <t>loop1_290</t>
  </si>
  <si>
    <t>energy_eff_appliances energy_eff_bulbs turn_off_appliances limited_light</t>
  </si>
  <si>
    <t>1be3b72c-2076-4376-8500-6847b505a208</t>
  </si>
  <si>
    <t>loop1_291</t>
  </si>
  <si>
    <t>energy_eff_bulbs energy_eff_appliances reduce_energy</t>
  </si>
  <si>
    <t>854d8514-b415-4b35-aa20-aa85fe80fbae</t>
  </si>
  <si>
    <t>loop1_292</t>
  </si>
  <si>
    <t>cheaper_energy limited_heaters limited_light reduce_gas energy_eff_appliances</t>
  </si>
  <si>
    <t>42d1bb72-f5a7-4c1c-836e-f3d87b48fe4c</t>
  </si>
  <si>
    <t>loop1_293</t>
  </si>
  <si>
    <t>53af1596-982d-4dbe-bc74-f6829f6ee6d7</t>
  </si>
  <si>
    <t>loop1_294</t>
  </si>
  <si>
    <t>a5282946-5c75-4c45-81a1-99d7ea1d871a</t>
  </si>
  <si>
    <t>loop1_295</t>
  </si>
  <si>
    <t>lower_temp turn_off_heat turn_off_appliances energy_eff_appliances</t>
  </si>
  <si>
    <t>9c976083-fa37-4a38-a0ab-e013ded6742f</t>
  </si>
  <si>
    <t>loop1_296</t>
  </si>
  <si>
    <t>food healthcare rent_housing personal_items debt_repayment</t>
  </si>
  <si>
    <t>fd0ae2b8-51c8-47f0-a36f-1e080aa82827</t>
  </si>
  <si>
    <t>loop1_297</t>
  </si>
  <si>
    <t>status_communication expand_criteria higher_compensation</t>
  </si>
  <si>
    <t>5fd42ed8-f109-43b9-844c-eddd1cb0db38</t>
  </si>
  <si>
    <t>loop1_298</t>
  </si>
  <si>
    <t>c9811a38-b059-4f4d-8c09-1de1fc9321cc</t>
  </si>
  <si>
    <t>loop1_299</t>
  </si>
  <si>
    <t>reduce_gas limited_heaters</t>
  </si>
  <si>
    <t>9b1a3573-9190-4c88-be22-20904104bcc0</t>
  </si>
  <si>
    <t>loop1_300</t>
  </si>
  <si>
    <t>older_people pwd chronic_illness single_adult</t>
  </si>
  <si>
    <t>resp_gender</t>
  </si>
  <si>
    <t>legal_status</t>
  </si>
  <si>
    <t>legal_status_other</t>
  </si>
  <si>
    <t>time_in_mda</t>
  </si>
  <si>
    <t>refugee_hh</t>
  </si>
  <si>
    <t>vuln_groups</t>
  </si>
  <si>
    <t>vuln_groups/plw</t>
  </si>
  <si>
    <t>vuln_groups/children</t>
  </si>
  <si>
    <t>vuln_groups/older_people</t>
  </si>
  <si>
    <t>vuln_groups/pwd</t>
  </si>
  <si>
    <t>vuln_groups/chronic_illness</t>
  </si>
  <si>
    <t>vuln_groups/single_adult</t>
  </si>
  <si>
    <t>vuln_groups/none</t>
  </si>
  <si>
    <t>vuln_groups/no_answer</t>
  </si>
  <si>
    <t>nr_children</t>
  </si>
  <si>
    <t>nr_older_ppl</t>
  </si>
  <si>
    <t>wgss_seeing</t>
  </si>
  <si>
    <t>wgss_hearing</t>
  </si>
  <si>
    <t>wgss_walking</t>
  </si>
  <si>
    <t>wgss_remembering</t>
  </si>
  <si>
    <t>wgss_selfcare</t>
  </si>
  <si>
    <t>wgss_communicating</t>
  </si>
  <si>
    <t>nr_ppl_disability_certificate</t>
  </si>
  <si>
    <t>aver_monthly_expense</t>
  </si>
  <si>
    <t>accommodation_type</t>
  </si>
  <si>
    <t>accommodation_type_other</t>
  </si>
  <si>
    <t>nonbnf_aware_of_evrf</t>
  </si>
  <si>
    <t>aware_of_evrf_how</t>
  </si>
  <si>
    <t>aware_of_evrf_how_other</t>
  </si>
  <si>
    <t>nonbnf_applied_evrf</t>
  </si>
  <si>
    <t>applied_evrf_how</t>
  </si>
  <si>
    <t>applied_evrf_how_other</t>
  </si>
  <si>
    <t>application_satisfaction</t>
  </si>
  <si>
    <t>application_dissatisfaction</t>
  </si>
  <si>
    <t>application_dissatisfaction/lack_support</t>
  </si>
  <si>
    <t>application_dissatisfaction/unclear_criteria</t>
  </si>
  <si>
    <t>application_dissatisfaction/complex_process</t>
  </si>
  <si>
    <t>application_dissatisfaction/long_application</t>
  </si>
  <si>
    <t>application_dissatisfaction/confusing_platform</t>
  </si>
  <si>
    <t>application_dissatisfaction/too_much_info</t>
  </si>
  <si>
    <t>application_dissatisfaction/need_social_worker</t>
  </si>
  <si>
    <t>application_dissatisfaction/stressful</t>
  </si>
  <si>
    <t>application_dissatisfaction/unfair</t>
  </si>
  <si>
    <t>application_dissatisfaction/other</t>
  </si>
  <si>
    <t>application_dissatisfaction/idk</t>
  </si>
  <si>
    <t>application_dissatisfaction/no_answer</t>
  </si>
  <si>
    <t>application_dissatisfaction_other</t>
  </si>
  <si>
    <t>sw_support_satisfaction</t>
  </si>
  <si>
    <t>sw_support_dissatisfaction</t>
  </si>
  <si>
    <t>sw_support_dissatisfaction/unavailable</t>
  </si>
  <si>
    <t>sw_support_dissatisfaction/no_clear_info</t>
  </si>
  <si>
    <t>sw_support_dissatisfaction/refused_to_help</t>
  </si>
  <si>
    <t>sw_support_dissatisfaction/unprofessional</t>
  </si>
  <si>
    <t>sw_support_dissatisfaction/no_doc_assistance</t>
  </si>
  <si>
    <t>sw_support_dissatisfaction/no_evrf_knowledge</t>
  </si>
  <si>
    <t>sw_support_dissatisfaction/different_language</t>
  </si>
  <si>
    <t>sw_support_dissatisfaction/delays</t>
  </si>
  <si>
    <t>sw_support_dissatisfaction/errors</t>
  </si>
  <si>
    <t>sw_support_dissatisfaction/no_empathy</t>
  </si>
  <si>
    <t>sw_support_dissatisfaction/discriminated</t>
  </si>
  <si>
    <t>sw_support_dissatisfaction/not_enough_time</t>
  </si>
  <si>
    <t>sw_support_dissatisfaction/other</t>
  </si>
  <si>
    <t>sw_support_dissatisfaction/idk</t>
  </si>
  <si>
    <t>sw_support_dissatisfaction/no_answer</t>
  </si>
  <si>
    <t>sw_support_dissatisfaction_other</t>
  </si>
  <si>
    <t>nonbnf_reason_no_evrf</t>
  </si>
  <si>
    <t>nonbnf_reason_no_evrf/not_eligible</t>
  </si>
  <si>
    <t>nonbnf_reason_no_evrf/wrong_calculation</t>
  </si>
  <si>
    <t>nonbnf_reason_no_evrf/landlord_receives</t>
  </si>
  <si>
    <t>nonbnf_reason_no_evrf/application_mistake</t>
  </si>
  <si>
    <t>nonbnf_reason_no_evrf/wrong_info</t>
  </si>
  <si>
    <t>nonbnf_reason_no_evrf/rejected_no_reason</t>
  </si>
  <si>
    <t>nonbnf_reason_no_evrf/tech_issues</t>
  </si>
  <si>
    <t>nonbnf_reason_no_evrf/other</t>
  </si>
  <si>
    <t>nonbnf_reason_no_evrf/idk</t>
  </si>
  <si>
    <t>nonbnf_reason_no_evrf/no_answer</t>
  </si>
  <si>
    <t>nonbnf_reason_no_evrf_other</t>
  </si>
  <si>
    <t>nonbnf_not_applied_evrf</t>
  </si>
  <si>
    <t>nonbnf_not_applied_evrf/not_needed</t>
  </si>
  <si>
    <t>nonbnf_not_applied_evrf/not_aware</t>
  </si>
  <si>
    <t>nonbnf_not_applied_evrf/not_understanding</t>
  </si>
  <si>
    <t>nonbnf_not_applied_evrf/not_eligible</t>
  </si>
  <si>
    <t>nonbnf_not_applied_evrf/difficult_process</t>
  </si>
  <si>
    <t>nonbnf_not_applied_evrf/lack_documents</t>
  </si>
  <si>
    <t>nonbnf_not_applied_evrf/no_support</t>
  </si>
  <si>
    <t>nonbnf_not_applied_evrf/language_barrier</t>
  </si>
  <si>
    <t>nonbnf_not_applied_evrf/lack_trust</t>
  </si>
  <si>
    <t>nonbnf_not_applied_evrf/low_benefit</t>
  </si>
  <si>
    <t>nonbnf_not_applied_evrf/not_eligible_sw</t>
  </si>
  <si>
    <t>nonbnf_not_applied_evrf/others_need_more</t>
  </si>
  <si>
    <t>nonbnf_not_applied_evrf/other</t>
  </si>
  <si>
    <t>nonbnf_not_applied_evrf/idk</t>
  </si>
  <si>
    <t>nonbnf_not_applied_evrf/no_answer</t>
  </si>
  <si>
    <t>nonbnf_not_applied_evrf_other</t>
  </si>
  <si>
    <t>evrf_changes</t>
  </si>
  <si>
    <t>evrf_changes/clearer_criteria</t>
  </si>
  <si>
    <t>evrf_changes/more_languages</t>
  </si>
  <si>
    <t>evrf_changes/fully_online</t>
  </si>
  <si>
    <t>evrf_changes/more_guidance</t>
  </si>
  <si>
    <t>evrf_changes/status_communication</t>
  </si>
  <si>
    <t>evrf_changes/expand_criteria</t>
  </si>
  <si>
    <t>evrf_changes/home_visits</t>
  </si>
  <si>
    <t>evrf_changes/target_rentals</t>
  </si>
  <si>
    <t>evrf_changes/higher_compensation</t>
  </si>
  <si>
    <t>evrf_changes/clearer_calculations</t>
  </si>
  <si>
    <t>evrf_changes/other</t>
  </si>
  <si>
    <t>evrf_changes/idk</t>
  </si>
  <si>
    <t>evrf_changes/no_answer</t>
  </si>
  <si>
    <t>evrf_changes_other</t>
  </si>
  <si>
    <t>heat_system_primary</t>
  </si>
  <si>
    <t>heat_system_primary_other</t>
  </si>
  <si>
    <t>heat_system_secondary</t>
  </si>
  <si>
    <t>heat_system_secondary/none</t>
  </si>
  <si>
    <t>heat_system_secondary/autonomous_gas</t>
  </si>
  <si>
    <t>heat_system_secondary/autonomous_electric</t>
  </si>
  <si>
    <t>heat_system_secondary/solid_fuel</t>
  </si>
  <si>
    <t>heat_system_secondary/heater_ac</t>
  </si>
  <si>
    <t>heat_system_secondary/other</t>
  </si>
  <si>
    <t>heat_system_secondary/no_answer</t>
  </si>
  <si>
    <t>heat_system_secondary_other</t>
  </si>
  <si>
    <t>cover_bills_nov</t>
  </si>
  <si>
    <t>gas_usage</t>
  </si>
  <si>
    <t>cost_gas_nov</t>
  </si>
  <si>
    <t>cost_heat_nov</t>
  </si>
  <si>
    <t>cost_energy_nov</t>
  </si>
  <si>
    <t>cover_bills_dec</t>
  </si>
  <si>
    <t>cost_gas_dec</t>
  </si>
  <si>
    <t>cost_heat_dec</t>
  </si>
  <si>
    <t>cost_energy_dec</t>
  </si>
  <si>
    <t>resources_for_bills</t>
  </si>
  <si>
    <t>resources_for_bills/salary</t>
  </si>
  <si>
    <t>resources_for_bills/savings</t>
  </si>
  <si>
    <t>resources_for_bills/loans</t>
  </si>
  <si>
    <t>resources_for_bills/support_family</t>
  </si>
  <si>
    <t>resources_for_bills/support_ngo</t>
  </si>
  <si>
    <t>resources_for_bills/other</t>
  </si>
  <si>
    <t>resources_for_bills/idk</t>
  </si>
  <si>
    <t>resources_for_bills/no_answer</t>
  </si>
  <si>
    <t>resources_for_bills_other</t>
  </si>
  <si>
    <t>evrf_23_24</t>
  </si>
  <si>
    <t>reduce_electricity</t>
  </si>
  <si>
    <t>reduce_gas</t>
  </si>
  <si>
    <t>reduce_heat</t>
  </si>
  <si>
    <t>reduce_measures</t>
  </si>
  <si>
    <t>reduce_measures/lower_temp</t>
  </si>
  <si>
    <t>reduce_measures/heat_some_rooms</t>
  </si>
  <si>
    <t>reduce_measures/turn_off_heat</t>
  </si>
  <si>
    <t>reduce_measures/blankets_clothes</t>
  </si>
  <si>
    <t>reduce_measures/cheaper_energy</t>
  </si>
  <si>
    <t>reduce_measures/limited_heaters</t>
  </si>
  <si>
    <t>reduce_measures/limited_light</t>
  </si>
  <si>
    <t>reduce_measures/turn_off_appliances</t>
  </si>
  <si>
    <t>reduce_measures/reduce_hot_water</t>
  </si>
  <si>
    <t>reduce_measures/reduce_gas</t>
  </si>
  <si>
    <t>reduce_measures/energy_eff_appliances</t>
  </si>
  <si>
    <t>reduce_measures/energy_eff_bulbs</t>
  </si>
  <si>
    <t>reduce_measures/reduce_energy</t>
  </si>
  <si>
    <t>reduce_measures/insulation</t>
  </si>
  <si>
    <t>reduce_measures/other</t>
  </si>
  <si>
    <t>reduce_measures/idk</t>
  </si>
  <si>
    <t>reduce_measures/no_answer</t>
  </si>
  <si>
    <t>reduce_measures_other</t>
  </si>
  <si>
    <t>reduce_expenses</t>
  </si>
  <si>
    <t>reduce_expenses_list</t>
  </si>
  <si>
    <t>reduce_expenses_list/food</t>
  </si>
  <si>
    <t>reduce_expenses_list/healthcare</t>
  </si>
  <si>
    <t>reduce_expenses_list/rent_housing</t>
  </si>
  <si>
    <t>reduce_expenses_list/transport</t>
  </si>
  <si>
    <t>reduce_expenses_list/education</t>
  </si>
  <si>
    <t>reduce_expenses_list/personal_items</t>
  </si>
  <si>
    <t>reduce_expenses_list/care_services</t>
  </si>
  <si>
    <t>reduce_expenses_list/debt_repayment</t>
  </si>
  <si>
    <t>reduce_expenses_list/leisure</t>
  </si>
  <si>
    <t>reduce_expenses_list/other</t>
  </si>
  <si>
    <t>reduce_expenses_list/idk</t>
  </si>
  <si>
    <t>reduce_expenses_list/no_answer</t>
  </si>
  <si>
    <t>reduce_expenses_list_other</t>
  </si>
  <si>
    <t>temp_nov</t>
  </si>
  <si>
    <t>temp_dec</t>
  </si>
  <si>
    <t>affected_health</t>
  </si>
  <si>
    <t>affected_health_how</t>
  </si>
  <si>
    <t>affected_health_how/cold</t>
  </si>
  <si>
    <t>affected_health_how/joint_pain</t>
  </si>
  <si>
    <t>affected_health_how/sleep_comfort</t>
  </si>
  <si>
    <t>affected_health_how/mild_discomfort</t>
  </si>
  <si>
    <t>affected_health_how/other</t>
  </si>
  <si>
    <t>affected_health_how/no_answer</t>
  </si>
  <si>
    <t>affected_health_how_other</t>
  </si>
  <si>
    <t>meet_needs</t>
  </si>
  <si>
    <t>cannot_meet_needs</t>
  </si>
  <si>
    <t>cannot_meet_needs/healthcare</t>
  </si>
  <si>
    <t>cannot_meet_needs/food</t>
  </si>
  <si>
    <t>cannot_meet_needs/housing</t>
  </si>
  <si>
    <t>cannot_meet_needs/utilities</t>
  </si>
  <si>
    <t>cannot_meet_needs/clothing</t>
  </si>
  <si>
    <t>cannot_meet_needs/hygiene</t>
  </si>
  <si>
    <t>cannot_meet_needs/transport</t>
  </si>
  <si>
    <t>cannot_meet_needs/technology</t>
  </si>
  <si>
    <t>cannot_meet_needs/other</t>
  </si>
  <si>
    <t>cannot_meet_needs/idk</t>
  </si>
  <si>
    <t>cannot_meet_needs/no_answer</t>
  </si>
  <si>
    <t>cannot_meet_needs_other</t>
  </si>
  <si>
    <t>strategies_high_costs</t>
  </si>
  <si>
    <t>strategies_list</t>
  </si>
  <si>
    <t>strategies_list/insulation</t>
  </si>
  <si>
    <t>strategies_list/energy_eff_appliances</t>
  </si>
  <si>
    <t>strategies_list/change_accommodation</t>
  </si>
  <si>
    <t>strategies_list/stable_income</t>
  </si>
  <si>
    <t>strategies_list/savings</t>
  </si>
  <si>
    <t>strategies_list/autonomous_heat</t>
  </si>
  <si>
    <t>strategies_list/stock_firewood</t>
  </si>
  <si>
    <t>strategies_list/renewables</t>
  </si>
  <si>
    <t>strategies_list/reduce_energy</t>
  </si>
  <si>
    <t>strategies_list/cheaper_energy</t>
  </si>
  <si>
    <t>strategies_list/other</t>
  </si>
  <si>
    <t>strategies_list/idk</t>
  </si>
  <si>
    <t>strategies_list/no_answer</t>
  </si>
  <si>
    <t>strategies_list_other</t>
  </si>
  <si>
    <t>add_assistance</t>
  </si>
  <si>
    <t>add_assistance/home_improvement</t>
  </si>
  <si>
    <t>add_assistance/renewables</t>
  </si>
  <si>
    <t>add_assistance/education</t>
  </si>
  <si>
    <t>add_assistance/payment_plans</t>
  </si>
  <si>
    <t>add_assistance/alternative_heating</t>
  </si>
  <si>
    <t>add_assistance/other</t>
  </si>
  <si>
    <t>add_assistance/idk</t>
  </si>
  <si>
    <t>add_assistance/no_answer</t>
  </si>
  <si>
    <t>add_assistance_other</t>
  </si>
  <si>
    <t>hh_type</t>
  </si>
  <si>
    <t>hh_paid_for_gas_nov</t>
  </si>
  <si>
    <t>hh_paid_for_heat_nov</t>
  </si>
  <si>
    <t>hh_paid_for_gas_dec</t>
  </si>
  <si>
    <t>hh_paid_for_heat_dec</t>
  </si>
  <si>
    <t>f1f8f8bc-1495-418f-bef2-845945eab469</t>
  </si>
  <si>
    <t>loop2_1</t>
  </si>
  <si>
    <t>not_eligible lack_trust</t>
  </si>
  <si>
    <t>clearer_criteria more_guidance expand_criteria clearer_calculations</t>
  </si>
  <si>
    <t>bfbde740-a63e-4cdc-9493-6f7c87d5b7aa</t>
  </si>
  <si>
    <t>loop2_2</t>
  </si>
  <si>
    <t>not_eligible</t>
  </si>
  <si>
    <t>772301c4-ef97-467e-9d82-47555abe0ef2</t>
  </si>
  <si>
    <t>loop2_3</t>
  </si>
  <si>
    <t>Remove the requirement of having lived at least 8 months in the last 12 months in Moldova</t>
  </si>
  <si>
    <t>salary support_ngo</t>
  </si>
  <si>
    <t>heat_some_rooms turn_off_heat</t>
  </si>
  <si>
    <t>cf4c4d5a-35ef-4b5b-b1ee-2f2aa4be06b2</t>
  </si>
  <si>
    <t>loop2_4</t>
  </si>
  <si>
    <t>education</t>
  </si>
  <si>
    <t>0bbe255d-3011-4237-bfd2-a76ee55f88f1</t>
  </si>
  <si>
    <t>loop2_5</t>
  </si>
  <si>
    <t>not_understanding lack_trust other</t>
  </si>
  <si>
    <t>We thought we were too late to register</t>
  </si>
  <si>
    <t>lower_temp energy_eff_bulbs</t>
  </si>
  <si>
    <t>1bffee2e-d4d1-49db-bece-6a3112993214</t>
  </si>
  <si>
    <t>loop2_6</t>
  </si>
  <si>
    <t>clearer_criteria status_communication</t>
  </si>
  <si>
    <t>turn_off_heat limited_heaters energy_eff_bulbs reduce_energy</t>
  </si>
  <si>
    <t>healthcare housing other</t>
  </si>
  <si>
    <t>Access to extracurricular educational activities for their child</t>
  </si>
  <si>
    <t>insulation renewables</t>
  </si>
  <si>
    <t>46945c5d-8529-41e7-a308-f46d57793be1</t>
  </si>
  <si>
    <t>loop2_7</t>
  </si>
  <si>
    <t>single_adult pwd</t>
  </si>
  <si>
    <t>rejected_no_reason other</t>
  </si>
  <si>
    <t>Mother who lives in the same house is already receiving compensation on their behalf, but they are separate households as they do not share heating costs and have separate budgets.</t>
  </si>
  <si>
    <t>clearer_criteria more_guidance clearer_calculations</t>
  </si>
  <si>
    <t>savings salary</t>
  </si>
  <si>
    <t>lower_temp heat_some_rooms cheaper_energy limited_light turn_off_appliances</t>
  </si>
  <si>
    <t>66285edf-2d7e-46a5-b206-a6cf65ff0d03</t>
  </si>
  <si>
    <t>loop2_8</t>
  </si>
  <si>
    <t>lower_temp heat_some_rooms energy_eff_bulbs</t>
  </si>
  <si>
    <t>housing other</t>
  </si>
  <si>
    <t>cheaper_energy</t>
  </si>
  <si>
    <t>c8877376-ec48-476a-a1ef-6f8c07cf7800</t>
  </si>
  <si>
    <t>loop2_9</t>
  </si>
  <si>
    <t>more_guidance status_communication</t>
  </si>
  <si>
    <t>7fe62a40-a185-47e8-8b47-4dbb3bc37138</t>
  </si>
  <si>
    <t>loop2_10</t>
  </si>
  <si>
    <t>not_understanding</t>
  </si>
  <si>
    <t>more_guidance status_communication expand_criteria home_visits</t>
  </si>
  <si>
    <t>c44555e7-ad52-491f-94fa-0c514f86ac3f</t>
  </si>
  <si>
    <t>loop2_11</t>
  </si>
  <si>
    <t>more_guidance status_communication higher_compensation</t>
  </si>
  <si>
    <t>savings support_ngo</t>
  </si>
  <si>
    <t>heat_some_rooms turn_off_heat reduce_energy</t>
  </si>
  <si>
    <t>stock_firewood</t>
  </si>
  <si>
    <t>ocnita_calarasovca</t>
  </si>
  <si>
    <t>bc01223e-9050-4a06-adc5-c21aee76f4bf</t>
  </si>
  <si>
    <t>loop2_12</t>
  </si>
  <si>
    <t>6dedbd7e-0971-4841-a765-22602f1f4095</t>
  </si>
  <si>
    <t>loop2_13</t>
  </si>
  <si>
    <t>savings support_family support_ngo</t>
  </si>
  <si>
    <t>aneniinoi_floreni</t>
  </si>
  <si>
    <t>bf1d66c4-79bd-4d5b-81c8-79d681e30e47</t>
  </si>
  <si>
    <t>loop2_14</t>
  </si>
  <si>
    <t>complex_process confusing_platform too_much_info</t>
  </si>
  <si>
    <t>clearer_criteria status_communication expand_criteria</t>
  </si>
  <si>
    <t>salary support_family</t>
  </si>
  <si>
    <t>lower_temp limited_heaters limited_light energy_eff_appliances</t>
  </si>
  <si>
    <t>b50562c2-19b6-4382-97fc-d7607538a094</t>
  </si>
  <si>
    <t>loop2_15</t>
  </si>
  <si>
    <t>blankets_clothes limited_heaters limited_light turn_off_appliances reduce_hot_water reduce_gas energy_eff_appliances reduce_energy</t>
  </si>
  <si>
    <t>aneniinoi_varnita</t>
  </si>
  <si>
    <t>2c3c7223-d38e-40a0-b850-0944dbca1099</t>
  </si>
  <si>
    <t>loop2_16</t>
  </si>
  <si>
    <t>957229a5-9f9c-405a-834d-58656a078eae</t>
  </si>
  <si>
    <t>loop2_17</t>
  </si>
  <si>
    <t>402bd81d-7682-491f-8081-1121362fc087</t>
  </si>
  <si>
    <t>loop2_18</t>
  </si>
  <si>
    <t>hincesti</t>
  </si>
  <si>
    <t>hincesti_hincesti</t>
  </si>
  <si>
    <t>da132be1-d840-46d2-99e4-fc18668b4a57</t>
  </si>
  <si>
    <t>loop2_19</t>
  </si>
  <si>
    <t>heat_some_rooms turn_off_heat limited_light turn_off_appliances energy_eff_bulbs insulation</t>
  </si>
  <si>
    <t>We were unable to apply online due to lack of stable internet access</t>
  </si>
  <si>
    <t>clearer_criteria more_guidance</t>
  </si>
  <si>
    <t>support_ngo</t>
  </si>
  <si>
    <t>turn_off_heat blankets_clothes limited_heaters limited_light turn_off_appliances reduce_hot_water reduce_gas reduce_energy</t>
  </si>
  <si>
    <t>def6c747-d480-47bd-91e3-edc862a6548f</t>
  </si>
  <si>
    <t>loop2_21</t>
  </si>
  <si>
    <t>support_family</t>
  </si>
  <si>
    <t>heat_some_rooms limited_heaters limited_light turn_off_appliances</t>
  </si>
  <si>
    <t>50c8a339-1391-4d71-8677-c72f82142117</t>
  </si>
  <si>
    <t>loop2_22</t>
  </si>
  <si>
    <t>f246161a-b828-4dce-974b-174edb2685a4</t>
  </si>
  <si>
    <t>loop2_23</t>
  </si>
  <si>
    <t>rejected_no_reason</t>
  </si>
  <si>
    <t>clearer_criteria expand_criteria clearer_calculations</t>
  </si>
  <si>
    <t>limited_light turn_off_appliances reduce_energy energy_eff_bulbs</t>
  </si>
  <si>
    <t>rent_housing personal_items debt_repayment</t>
  </si>
  <si>
    <t>insulation stable_income renewables</t>
  </si>
  <si>
    <t>utagagauzia_chirsova</t>
  </si>
  <si>
    <t>a4538ad0-b23b-4d89-89ec-fe43fc2a1bf3</t>
  </si>
  <si>
    <t>loop2_24</t>
  </si>
  <si>
    <t>clearer_criteria expand_criteria</t>
  </si>
  <si>
    <t>salary savings</t>
  </si>
  <si>
    <t>blankets_clothes cheaper_energy turn_off_appliances energy_eff_bulbs reduce_energy</t>
  </si>
  <si>
    <t>stock_firewood renewables</t>
  </si>
  <si>
    <t>home_improvement renewables payment_plans alternative_heating</t>
  </si>
  <si>
    <t>utagagauzia_besalma</t>
  </si>
  <si>
    <t>1cdf4dc0-d3db-4978-a52d-2cf08ff90318</t>
  </si>
  <si>
    <t>loop2_25</t>
  </si>
  <si>
    <t>blankets_clothes limited_heaters turn_off_appliances reduce_energy</t>
  </si>
  <si>
    <t>aneniinoi_merenii_noi</t>
  </si>
  <si>
    <t>7e7dbc1d-ebbe-4dc5-8310-6761b14525b2</t>
  </si>
  <si>
    <t>loop2_26</t>
  </si>
  <si>
    <t>02a42fa2-7d6f-43f1-97bd-c963da26ea96</t>
  </si>
  <si>
    <t>loop2_27</t>
  </si>
  <si>
    <t>loans support_family</t>
  </si>
  <si>
    <t>lower_temp heat_some_rooms turn_off_appliances reduce_gas energy_eff_bulbs</t>
  </si>
  <si>
    <t>d5f0c64d-e1ed-4c2c-a55a-0cf9cf1360a4</t>
  </si>
  <si>
    <t>loop2_28</t>
  </si>
  <si>
    <t>savings support_family</t>
  </si>
  <si>
    <t>247b98e1-2af8-4dc6-a5a9-9ff0374b8fe1</t>
  </si>
  <si>
    <t>loop2_29</t>
  </si>
  <si>
    <t>Through the enumerator</t>
  </si>
  <si>
    <t>not_understanding not_eligible</t>
  </si>
  <si>
    <t>limited_light limited_heaters turn_off_appliances reduce_energy</t>
  </si>
  <si>
    <t>food education</t>
  </si>
  <si>
    <t>ialoveni_puhoi</t>
  </si>
  <si>
    <t>320d407c-8bfe-430d-817f-e541594b5b4d</t>
  </si>
  <si>
    <t>loop2_30</t>
  </si>
  <si>
    <t>not_needed not_eligible</t>
  </si>
  <si>
    <t>61a57960-1424-48fe-a147-88b76ec512a8</t>
  </si>
  <si>
    <t>loop2_31</t>
  </si>
  <si>
    <t>limited_heaters limited_light turn_off_appliances reduce_hot_water reduce_energy</t>
  </si>
  <si>
    <t>food rent_housing education personal_items</t>
  </si>
  <si>
    <t>8ee2c212-f021-4221-bc49-3348ba5da1f4</t>
  </si>
  <si>
    <t>loop2_32</t>
  </si>
  <si>
    <t>a341e2b8-f6a5-4bdd-8225-e678f2200c96</t>
  </si>
  <si>
    <t>loop2_33</t>
  </si>
  <si>
    <t>The host was against participating in the programme</t>
  </si>
  <si>
    <t>521cb2ec-4b28-4a29-a53b-3e47bfdf0523</t>
  </si>
  <si>
    <t>loop2_34</t>
  </si>
  <si>
    <t>ef64238e-2995-4e27-9767-bbfa352da5b6</t>
  </si>
  <si>
    <t>loop2_35</t>
  </si>
  <si>
    <t>addc02b8-7ba2-49c3-8ba0-f1dc0da83a55</t>
  </si>
  <si>
    <t>loop2_36</t>
  </si>
  <si>
    <t>3ce301e3-8090-4dcd-9782-86b3791ba4c5</t>
  </si>
  <si>
    <t>loop2_37</t>
  </si>
  <si>
    <t>limited_heaters limited_light turn_off_appliances</t>
  </si>
  <si>
    <t>food personal_items rent_housing</t>
  </si>
  <si>
    <t>housing food clothing</t>
  </si>
  <si>
    <t>renewables home_improvement</t>
  </si>
  <si>
    <t>021f7dc8-9d43-4184-9973-5bfdb944b407</t>
  </si>
  <si>
    <t>loop2_38</t>
  </si>
  <si>
    <t>6653d267-ddd7-4322-b227-7d4f2ad31b66</t>
  </si>
  <si>
    <t>loop2_39</t>
  </si>
  <si>
    <t>lower_temp turn_off_heat blankets_clothes turn_off_appliances reduce_hot_water reduce_gas reduce_energy</t>
  </si>
  <si>
    <t>9ccf8e4c-9f00-4b06-8f62-fee91e3aa4cf</t>
  </si>
  <si>
    <t>loop2_40</t>
  </si>
  <si>
    <t>The landlord is against participating in the programme</t>
  </si>
  <si>
    <t>blankets_clothes limited_heaters limited_light reduce_hot_water reduce_energy</t>
  </si>
  <si>
    <t>31b29665-2709-4795-9ecb-961f5c853f4b</t>
  </si>
  <si>
    <t>loop2_41</t>
  </si>
  <si>
    <t>difficult_process</t>
  </si>
  <si>
    <t>clearer_criteria home_visits other</t>
  </si>
  <si>
    <t>It would be good if there were NGO offices in every sector of the city where you could physically go and help you register for compensation, because it is more difficult over the phone, especially older people do not know how to use the phone.</t>
  </si>
  <si>
    <t>reduce_hot_water reduce_gas reduce_energy</t>
  </si>
  <si>
    <t>1c4ca2e7-ccdc-4df9-bdff-9ba3b8bf20f9</t>
  </si>
  <si>
    <t>loop2_42</t>
  </si>
  <si>
    <t>f57b2de7-5969-4ecd-8dad-80935fb617e6</t>
  </si>
  <si>
    <t>loop2_43</t>
  </si>
  <si>
    <t>heat_some_rooms turn_off_heat blankets_clothes turn_off_appliances reduce_hot_water reduce_gas reduce_energy</t>
  </si>
  <si>
    <t>food personal_items debt_repayment</t>
  </si>
  <si>
    <t>56ade051-8283-43cb-a79e-7b65d50180db</t>
  </si>
  <si>
    <t>loop2_44</t>
  </si>
  <si>
    <t>c3bab9fa-9102-4090-8a20-9d6a12738aa7</t>
  </si>
  <si>
    <t>loop2_45</t>
  </si>
  <si>
    <t>lower_temp turn_off_heat blankets_clothes turn_off_appliances reduce_hot_water reduce_gas</t>
  </si>
  <si>
    <t>food technology</t>
  </si>
  <si>
    <t>4d854afb-ada9-45ad-9855-d79e8ef8f36e</t>
  </si>
  <si>
    <t>loop2_46</t>
  </si>
  <si>
    <t>lack_trust</t>
  </si>
  <si>
    <t>limited_heaters reduce_energy energy_eff_appliances energy_eff_bulbs</t>
  </si>
  <si>
    <t>savings reduce_energy energy_eff_appliances</t>
  </si>
  <si>
    <t>payment_plans home_improvement renewables education</t>
  </si>
  <si>
    <t>ed4bca39-9631-4b8d-b4b8-172f5d15480c</t>
  </si>
  <si>
    <t>loop2_47</t>
  </si>
  <si>
    <t>donduseni_pocrovca</t>
  </si>
  <si>
    <t>24e13c8b-cac5-4643-a7b2-cdcc8b1f3be9</t>
  </si>
  <si>
    <t>loop2_48</t>
  </si>
  <si>
    <t>clearer_criteria more_guidance status_communication</t>
  </si>
  <si>
    <t>4c04493e-3c0d-4671-b992-77925403c853</t>
  </si>
  <si>
    <t>loop2_49</t>
  </si>
  <si>
    <t>turn_off_heat turn_off_appliances reduce_energy</t>
  </si>
  <si>
    <t>insulation savings stable_income stock_firewood cheaper_energy</t>
  </si>
  <si>
    <t>chisinau_vatra</t>
  </si>
  <si>
    <t>2467129a-19cf-43b3-9a64-aaf4bd592a25</t>
  </si>
  <si>
    <t>loop2_50</t>
  </si>
  <si>
    <t>clearer_criteria expand_criteria target_rentals clearer_calculations</t>
  </si>
  <si>
    <t>69b06d73-0edc-4dd6-9005-e5880f2aaded</t>
  </si>
  <si>
    <t>loop2_51</t>
  </si>
  <si>
    <t>2a3b84d0-ccb4-48f2-9ec4-c0cecc32c296</t>
  </si>
  <si>
    <t>loop2_52</t>
  </si>
  <si>
    <t>7ca47843-720a-433a-83eb-c7ecd6c97c94</t>
  </si>
  <si>
    <t>loop2_53</t>
  </si>
  <si>
    <t>clearer_criteria more_guidance status_communication expand_criteria</t>
  </si>
  <si>
    <t>eef9178d-3b2c-420b-a974-bb6c57a6fdff</t>
  </si>
  <si>
    <t>loop2_54</t>
  </si>
  <si>
    <t>others_need_more</t>
  </si>
  <si>
    <t>19501b0e-c6bb-47af-a244-997111183140</t>
  </si>
  <si>
    <t>loop2_55</t>
  </si>
  <si>
    <t>They recently applied for the compensation and are waiting for the result.</t>
  </si>
  <si>
    <t>6dda1d60-0642-406a-beab-d7de22d7a1f2</t>
  </si>
  <si>
    <t>loop2_57</t>
  </si>
  <si>
    <t>not_understanding not_eligible lack_trust</t>
  </si>
  <si>
    <t>Irregular part-time work</t>
  </si>
  <si>
    <t>cc20f881-f282-4ed6-97d8-70a68e47039f</t>
  </si>
  <si>
    <t>loop2_58</t>
  </si>
  <si>
    <t>lower_temp turn_off_heat limited_light turn_off_appliances</t>
  </si>
  <si>
    <t>582279fe-317a-4bf5-a7f9-32eda98e36fb</t>
  </si>
  <si>
    <t>loop2_59</t>
  </si>
  <si>
    <t>b8598c55-c678-4b5c-94de-edae24d5fdbc</t>
  </si>
  <si>
    <t>loop2_60</t>
  </si>
  <si>
    <t>7c72d241-9998-4571-9770-b32520cbe11e</t>
  </si>
  <si>
    <t>loop2_61</t>
  </si>
  <si>
    <t>limited_heaters limited_light energy_eff_bulbs reduce_energy</t>
  </si>
  <si>
    <t>826ba281-fd6c-488b-ac4a-53cd7a7c54f0</t>
  </si>
  <si>
    <t>loop2_62</t>
  </si>
  <si>
    <t>salary savings loans</t>
  </si>
  <si>
    <t>blankets_clothes turn_off_appliances energy_eff_bulbs reduce_energy insulation</t>
  </si>
  <si>
    <t>insulation energy_eff_appliances stable_income savings autonomous_heat</t>
  </si>
  <si>
    <t>home_improvement renewables</t>
  </si>
  <si>
    <t>d91f1278-7062-4e79-90b6-94fac40ec483</t>
  </si>
  <si>
    <t>loop2_63</t>
  </si>
  <si>
    <t>salary support_ngo savings</t>
  </si>
  <si>
    <t>blankets_clothes turn_off_appliances turn_off_heat</t>
  </si>
  <si>
    <t>cdd3c5a7-0408-4b23-b843-39dacc873789</t>
  </si>
  <si>
    <t>loop2_64</t>
  </si>
  <si>
    <t>not_needed</t>
  </si>
  <si>
    <t>0df8289d-e396-4ab0-b9cb-88d3acae5bd9</t>
  </si>
  <si>
    <t>loop2_65</t>
  </si>
  <si>
    <t>lower_temp heat_some_rooms turn_off_heat limited_heaters turn_off_appliances reduce_hot_water reduce_energy</t>
  </si>
  <si>
    <t>acee9eb1-1906-46c0-9052-581df4af2dfc</t>
  </si>
  <si>
    <t>loop2_66</t>
  </si>
  <si>
    <t>d7416c03-980f-47a4-8ad7-d0d14b0075f3</t>
  </si>
  <si>
    <t>loop2_67</t>
  </si>
  <si>
    <t>lower_temp turn_off_heat turn_off_appliances reduce_hot_water</t>
  </si>
  <si>
    <t>353f0f05-21de-48fa-af78-4d9dde7bbf70</t>
  </si>
  <si>
    <t>loop2_68</t>
  </si>
  <si>
    <t>telenesti</t>
  </si>
  <si>
    <t>telenesti_telenesti</t>
  </si>
  <si>
    <t>5c868d75-2e98-462e-afd5-7d378d541c3f</t>
  </si>
  <si>
    <t>loop2_69</t>
  </si>
  <si>
    <t>The host already applied and is receiving the EVRF compensation even though they do not live there.</t>
  </si>
  <si>
    <t>61b83988-7a2f-4fb9-844d-a8a3cf3397a8</t>
  </si>
  <si>
    <t>loop2_70</t>
  </si>
  <si>
    <t>clearer_criteria status_communication expand_criteria higher_compensation clearer_calculations other</t>
  </si>
  <si>
    <t>The household's existing loans should be taken into account when determining if they are eligible for the EVRF compensation</t>
  </si>
  <si>
    <t>lower_temp limited_heaters limited_light turn_off_appliances energy_eff_bulbs reduce_energy</t>
  </si>
  <si>
    <t>transport personal_items debt_repayment leisure</t>
  </si>
  <si>
    <t>228e28ab-e425-4f88-a5f4-62f1a7f763f6</t>
  </si>
  <si>
    <t>loop2_72</t>
  </si>
  <si>
    <t>salary support_family support_ngo</t>
  </si>
  <si>
    <t>lower_temp heat_some_rooms turn_off_appliances reduce_energy</t>
  </si>
  <si>
    <t>258caf42-8820-4e3d-bffe-06978f70e86b</t>
  </si>
  <si>
    <t>loop2_73</t>
  </si>
  <si>
    <t>afa1956b-317d-4001-9b9a-2c1016fbe6f4</t>
  </si>
  <si>
    <t>loop2_74</t>
  </si>
  <si>
    <t>The apartment owner submitted an application and it was not accepted, now they said they will submit it themselves in their own name</t>
  </si>
  <si>
    <t>2e636693-1c3a-441f-be9f-ba88b8ca5f92</t>
  </si>
  <si>
    <t>loop2_75</t>
  </si>
  <si>
    <t>support_ngo savings</t>
  </si>
  <si>
    <t>lower_temp turn_off_heat blankets_clothes limited_heaters turn_off_appliances reduce_energy</t>
  </si>
  <si>
    <t>2f51dc99-645d-4782-a048-85acd49f1de9</t>
  </si>
  <si>
    <t>loop2_76</t>
  </si>
  <si>
    <t>difficult_process not_understanding</t>
  </si>
  <si>
    <t>clearer_criteria more_guidance home_visits</t>
  </si>
  <si>
    <t>6673dd26-2ebf-48b7-8509-f0518f6cca80</t>
  </si>
  <si>
    <t>loop2_77</t>
  </si>
  <si>
    <t>not_aware not_understanding</t>
  </si>
  <si>
    <t>clearer_criteria fully_online clearer_calculations</t>
  </si>
  <si>
    <t>bb3d9f63-7ed8-46ab-858e-c811cd8fe40c</t>
  </si>
  <si>
    <t>loop2_78</t>
  </si>
  <si>
    <t>not_eligible wrong_calculation application_mistake wrong_info</t>
  </si>
  <si>
    <t>clearer_criteria more_guidance status_communication expand_criteria clearer_calculations</t>
  </si>
  <si>
    <t>heat_some_rooms limited_heaters energy_eff_bulbs</t>
  </si>
  <si>
    <t>floresti_domulgeni</t>
  </si>
  <si>
    <t>a9f69b1c-96b0-4dea-b8c5-3bf660f18fba</t>
  </si>
  <si>
    <t>loop2_79</t>
  </si>
  <si>
    <t>limited_heaters limited_light turn_off_appliances reduce_gas</t>
  </si>
  <si>
    <t>e8ade25b-5af7-4aa1-81ca-cbd5c64ac68b</t>
  </si>
  <si>
    <t>loop2_80</t>
  </si>
  <si>
    <t>13c7e438-a66c-45fa-aa24-52f3bb406528</t>
  </si>
  <si>
    <t>loop2_81</t>
  </si>
  <si>
    <t>They recently found out about the programme</t>
  </si>
  <si>
    <t>causeni_copanca</t>
  </si>
  <si>
    <t>760a480b-b948-42f1-a7a2-8a9694813207</t>
  </si>
  <si>
    <t>loop2_82</t>
  </si>
  <si>
    <t>limited_heaters turn_off_appliances reduce_hot_water</t>
  </si>
  <si>
    <t>ed841c90-b645-445b-b83f-5d227acfe497</t>
  </si>
  <si>
    <t>loop2_83</t>
  </si>
  <si>
    <t>heat_some_rooms lower_temp</t>
  </si>
  <si>
    <t>causeni_salcuta</t>
  </si>
  <si>
    <t>e6f830e2-9c17-4cb7-ae15-81abd00f2925</t>
  </si>
  <si>
    <t>loop2_84</t>
  </si>
  <si>
    <t>stable_income cheaper_energy</t>
  </si>
  <si>
    <t>31e2c73c-e778-4f19-98c3-e4a0328653fe</t>
  </si>
  <si>
    <t>loop2_85</t>
  </si>
  <si>
    <t>clearer_criteria status_communication expand_criteria higher_compensation clearer_calculations</t>
  </si>
  <si>
    <t>chisinau_vadul_lui_voda</t>
  </si>
  <si>
    <t>3345c443-aad0-4dce-801b-5f0a4b474a34</t>
  </si>
  <si>
    <t>loop2_86</t>
  </si>
  <si>
    <t>ocnita_valcinet</t>
  </si>
  <si>
    <t>0fd44b05-c96f-4ead-ad97-cc15abd7138d</t>
  </si>
  <si>
    <t>loop2_87</t>
  </si>
  <si>
    <t>8d12a343-b575-47e9-bf0e-741555ed2843</t>
  </si>
  <si>
    <t>loop2_88</t>
  </si>
  <si>
    <t>unclear_criteria unfair</t>
  </si>
  <si>
    <t>not_eligible wrong_calculation</t>
  </si>
  <si>
    <t>e5037b38-abb1-4089-9828-b8f226a000bd</t>
  </si>
  <si>
    <t>loop2_89</t>
  </si>
  <si>
    <t>4b03b887-59ee-468e-9b4e-c7f5e50c465e</t>
  </si>
  <si>
    <t>loop2_90</t>
  </si>
  <si>
    <t>expand_criteria clearer_calculations</t>
  </si>
  <si>
    <t>limited_light turn_off_appliances energy_eff_appliances reduce_energy</t>
  </si>
  <si>
    <t>home_improvement renewables education alternative_heating payment_plans</t>
  </si>
  <si>
    <t>baede65e-d4fb-40d1-9d82-d528f69df5e7</t>
  </si>
  <si>
    <t>loop2_91</t>
  </si>
  <si>
    <t>heat_some_rooms turn_off_heat turn_off_appliances</t>
  </si>
  <si>
    <t>a23f2f3e-0ac4-40fa-ab18-c2286a3509b9</t>
  </si>
  <si>
    <t>loop2_92</t>
  </si>
  <si>
    <t>82c2fbc4-77f4-4612-8326-1ffd1b34d02c</t>
  </si>
  <si>
    <t>loop2_93</t>
  </si>
  <si>
    <t>ialoveni_milestii_mici</t>
  </si>
  <si>
    <t>763eefa7-bede-4240-abc8-84fa41074a52</t>
  </si>
  <si>
    <t>loop2_94</t>
  </si>
  <si>
    <t>da122749-b5cc-40e1-b22d-4e0a00ac3c5e</t>
  </si>
  <si>
    <t>loop2_95</t>
  </si>
  <si>
    <t>9ee5e12e-e869-48d3-83ea-072d9bfd6292</t>
  </si>
  <si>
    <t>loop2_96</t>
  </si>
  <si>
    <t>turn_off_heat limited_heaters energy_eff_appliances energy_eff_bulbs</t>
  </si>
  <si>
    <t>09515c5b-ff41-4ade-a55b-1300358f9f9d</t>
  </si>
  <si>
    <t>loop2_97</t>
  </si>
  <si>
    <t>84fafd4f-29b9-40fb-806d-717b18c57a7a</t>
  </si>
  <si>
    <t>loop2_98</t>
  </si>
  <si>
    <t>children pwd single_adult</t>
  </si>
  <si>
    <t>b46bbcdc-9d83-45fd-ba75-cdcb65d32a5c</t>
  </si>
  <si>
    <t>loop2_99</t>
  </si>
  <si>
    <t>5b0a36dd-2c09-4929-a79f-95281447c523</t>
  </si>
  <si>
    <t>loop2_100</t>
  </si>
  <si>
    <t>limited_heaters turn_off_appliances reduce_energy</t>
  </si>
  <si>
    <t>69c6cfd1-30d8-4ade-9ae4-2bb305030540</t>
  </si>
  <si>
    <t>loop2_101</t>
  </si>
  <si>
    <t>We don't have a formal rental agreement and were worried we would be fined for this if we applied</t>
  </si>
  <si>
    <t>fully_online expand_criteria other</t>
  </si>
  <si>
    <t>The financial aid should be for all people, that is, financial aid without submitting any application. This financial aid should be offered to every resident regardless of their salary and age. There should not be any criteria for offering this financial aid, but everyone should be offered the same amount.</t>
  </si>
  <si>
    <t>2835bd73-1c7c-4bfa-b347-8f77ecb290f2</t>
  </si>
  <si>
    <t>loop2_102</t>
  </si>
  <si>
    <t>9ba6c8f6-4d21-4ebd-a5c7-50b0cb79319f</t>
  </si>
  <si>
    <t>loop2_103</t>
  </si>
  <si>
    <t>energy_eff_appliances insulation stock_firewood renewables</t>
  </si>
  <si>
    <t>7ccac8ed-16ff-4984-98d3-798ff9d517b1</t>
  </si>
  <si>
    <t>loop2_104</t>
  </si>
  <si>
    <t>73c292c9-b8a3-4206-b382-29cfb90b7aa5</t>
  </si>
  <si>
    <t>loop2_105</t>
  </si>
  <si>
    <t>4a95be0b-fb6c-4463-962f-50fa68e845ed</t>
  </si>
  <si>
    <t>loop2_106</t>
  </si>
  <si>
    <t>95ec642f-a7ac-489f-98c9-089c7e7acc0f</t>
  </si>
  <si>
    <t>loop2_107</t>
  </si>
  <si>
    <t>more_guidance expand_criteria</t>
  </si>
  <si>
    <t>reduce_hot_water energy_eff_appliances energy_eff_bulbs reduce_energy</t>
  </si>
  <si>
    <t>db71314a-0a89-46c8-a665-02260babc055</t>
  </si>
  <si>
    <t>loop2_108</t>
  </si>
  <si>
    <t>62947726-bcf4-4eea-a0cd-9aa236bfba62</t>
  </si>
  <si>
    <t>loop2_109</t>
  </si>
  <si>
    <t>salary savings support_family</t>
  </si>
  <si>
    <t>dcfb644b-1b65-4e94-9192-ad9e00f8c555</t>
  </si>
  <si>
    <t>loop2_110</t>
  </si>
  <si>
    <t>clearer_criteria fully_online expand_criteria clearer_calculations</t>
  </si>
  <si>
    <t>turn_off_appliances energy_eff_appliances reduce_energy</t>
  </si>
  <si>
    <t>05dcdc80-a084-49fd-bbc5-b4588ea98a97</t>
  </si>
  <si>
    <t>loop2_111</t>
  </si>
  <si>
    <t>f6e9849c-7442-4e63-a65b-ca110748aa94</t>
  </si>
  <si>
    <t>loop2_112</t>
  </si>
  <si>
    <t>feecb950-a80a-449a-b1e7-ec28158b1e3c</t>
  </si>
  <si>
    <t>loop2_113</t>
  </si>
  <si>
    <t>12020486-a28c-4ebe-b700-ed1869f4b1f7</t>
  </si>
  <si>
    <t>loop2_114</t>
  </si>
  <si>
    <t>lower_temp limited_heaters turn_off_appliances limited_light energy_eff_bulbs</t>
  </si>
  <si>
    <t>energy_eff_appliances renewables</t>
  </si>
  <si>
    <t>education renewables home_improvement payment_plans</t>
  </si>
  <si>
    <t>8c6d2014-aeb0-4477-b892-b910e9786452</t>
  </si>
  <si>
    <t>loop2_115</t>
  </si>
  <si>
    <t>debt_repayment</t>
  </si>
  <si>
    <t>7da63cc2-646a-4a4f-baa7-d8178a422fd4</t>
  </si>
  <si>
    <t>loop2_116</t>
  </si>
  <si>
    <t>not_needed others_need_more</t>
  </si>
  <si>
    <t>e40bdf48-0a80-47d0-a38f-6359cb58a1f9</t>
  </si>
  <si>
    <t>loop2_117</t>
  </si>
  <si>
    <t>change_accommodation reduce_energy</t>
  </si>
  <si>
    <t>58aaf80b-e931-4ff2-ac84-c4a8531af934</t>
  </si>
  <si>
    <t>loop2_118</t>
  </si>
  <si>
    <t>fully_online expand_criteria higher_compensation</t>
  </si>
  <si>
    <t>lower_temp turn_off_heat limited_heaters turn_off_appliances reduce_energy</t>
  </si>
  <si>
    <t>ba3b0dcc-45dc-4b75-98ee-679de6e993b4</t>
  </si>
  <si>
    <t>loop2_119</t>
  </si>
  <si>
    <t>df9ec194-dd50-4126-9633-1bf7b4c34025</t>
  </si>
  <si>
    <t>loop2_120</t>
  </si>
  <si>
    <t>not_eligible not_needed</t>
  </si>
  <si>
    <t>630fa165-57dc-4ceb-b646-6a209a4812b2</t>
  </si>
  <si>
    <t>loop2_121</t>
  </si>
  <si>
    <t>stefanvoda_stefan_voda</t>
  </si>
  <si>
    <t>9d71b04c-211f-42ab-9bd0-890ee75f72b2</t>
  </si>
  <si>
    <t>loop2_122</t>
  </si>
  <si>
    <t>not_eligible others_need_more</t>
  </si>
  <si>
    <t>0f2651bb-9dd1-43a2-afcd-6253bd119b79</t>
  </si>
  <si>
    <t>loop2_123</t>
  </si>
  <si>
    <t>e81e586f-84bd-4990-89c9-66f6f2dedbe0</t>
  </si>
  <si>
    <t>loop2_124</t>
  </si>
  <si>
    <t>b4254050-d1af-4f4e-94ee-4a2d142d830e</t>
  </si>
  <si>
    <t>loop2_125</t>
  </si>
  <si>
    <t>target_rentals clearer_calculations</t>
  </si>
  <si>
    <t>Change from autonomous electric to a centralised heating system, as those with centralised heating pay less and it is quite warm.</t>
  </si>
  <si>
    <t>home_improvement renewables education payment_plans alternative_heating</t>
  </si>
  <si>
    <t>ca008fd8-e9bd-4867-b32a-29e7da6bc8c0</t>
  </si>
  <si>
    <t>loop2_126</t>
  </si>
  <si>
    <t>The owner of the apartment submitted the application</t>
  </si>
  <si>
    <t>0c29fd8d-dc44-43d8-93db-714098a58d88</t>
  </si>
  <si>
    <t>loop2_127</t>
  </si>
  <si>
    <t>fully_online clearer_criteria target_rentals</t>
  </si>
  <si>
    <t>education payment_plans alternative_heating</t>
  </si>
  <si>
    <t>344ca4b1-8567-4eaa-a6b3-1ce96f393e73</t>
  </si>
  <si>
    <t>loop2_128</t>
  </si>
  <si>
    <t>salary loans</t>
  </si>
  <si>
    <t>ce693797-cc28-4658-941f-1d5d52e399c9</t>
  </si>
  <si>
    <t>loop2_129</t>
  </si>
  <si>
    <t>971e31b1-4705-4d2c-81f4-77e8fda134f2</t>
  </si>
  <si>
    <t>loop2_130</t>
  </si>
  <si>
    <t>cac73fa5-96f2-4a4a-b838-7458a99881a5</t>
  </si>
  <si>
    <t>loop2_131</t>
  </si>
  <si>
    <t>lower_temp limited_heaters limited_light turn_off_appliances</t>
  </si>
  <si>
    <t>ec57c60d-1ef7-458b-b83b-f9c98f1c6774</t>
  </si>
  <si>
    <t>loop2_132</t>
  </si>
  <si>
    <t>0eee2522-4d05-48b7-8024-603a6f323247</t>
  </si>
  <si>
    <t>loop2_133</t>
  </si>
  <si>
    <t>The landlord is against participating in the programme because there is no formal rental agreement</t>
  </si>
  <si>
    <t>0317a0ec-2c46-495e-87c7-e314c60032c7</t>
  </si>
  <si>
    <t>loop2_134</t>
  </si>
  <si>
    <t>3e0c24c8-0833-4173-9869-764be23f748f</t>
  </si>
  <si>
    <t>loop2_135</t>
  </si>
  <si>
    <t>fc69cbf5-01c1-42f5-a013-2617d30a5e24</t>
  </si>
  <si>
    <t>loop2_136</t>
  </si>
  <si>
    <t>low_benefit</t>
  </si>
  <si>
    <t>more_guidance target_rentals</t>
  </si>
  <si>
    <t>savings renewables reduce_energy</t>
  </si>
  <si>
    <t>09b42008-7a1e-4144-9658-51207b285abd</t>
  </si>
  <si>
    <t>loop2_137</t>
  </si>
  <si>
    <t>lack_documents</t>
  </si>
  <si>
    <t>fully_online target_rentals</t>
  </si>
  <si>
    <t>renewables reduce_energy</t>
  </si>
  <si>
    <t>f723e65a-0721-443d-a334-0a24fe7782dd</t>
  </si>
  <si>
    <t>loop2_138</t>
  </si>
  <si>
    <t>a1a491c1-750a-45f8-a605-09559fff28ef</t>
  </si>
  <si>
    <t>loop2_139</t>
  </si>
  <si>
    <t>wrong_calculation not_eligible</t>
  </si>
  <si>
    <t>turn_off_heat lower_temp turn_off_appliances reduce_energy</t>
  </si>
  <si>
    <t>food rent_housing education</t>
  </si>
  <si>
    <t>573b3650-3e30-44c3-adc2-9a1f062a87d9</t>
  </si>
  <si>
    <t>loop2_140</t>
  </si>
  <si>
    <t>change_accommodation</t>
  </si>
  <si>
    <t>a3fde21d-a3e9-467c-96bf-14332b141af4</t>
  </si>
  <si>
    <t>loop2_141</t>
  </si>
  <si>
    <t>lower_temp turn_off_heat limited_light reduce_energy</t>
  </si>
  <si>
    <t>today</t>
  </si>
  <si>
    <t>enum_id</t>
  </si>
  <si>
    <t>contact_method</t>
  </si>
  <si>
    <t>resp_id</t>
  </si>
  <si>
    <t>calc_mess_platform</t>
  </si>
  <si>
    <t>calc_resp_lang</t>
  </si>
  <si>
    <t>locality_other</t>
  </si>
  <si>
    <t>accommodation_ownership_other</t>
  </si>
  <si>
    <t>_id</t>
  </si>
  <si>
    <t>index</t>
  </si>
  <si>
    <t>Reach09</t>
  </si>
  <si>
    <t>field</t>
  </si>
  <si>
    <t>32</t>
  </si>
  <si>
    <t>2507073</t>
  </si>
  <si>
    <t>Reach10</t>
  </si>
  <si>
    <t>44</t>
  </si>
  <si>
    <t>2507138</t>
  </si>
  <si>
    <t>Reach07</t>
  </si>
  <si>
    <t>42</t>
  </si>
  <si>
    <t>2508049</t>
  </si>
  <si>
    <t>4</t>
  </si>
  <si>
    <t>74</t>
  </si>
  <si>
    <t>2508062</t>
  </si>
  <si>
    <t>5</t>
  </si>
  <si>
    <t>Reach01</t>
  </si>
  <si>
    <t>phone</t>
  </si>
  <si>
    <t>2491613</t>
  </si>
  <si>
    <t>russian</t>
  </si>
  <si>
    <t>39</t>
  </si>
  <si>
    <t>2508063</t>
  </si>
  <si>
    <t>6</t>
  </si>
  <si>
    <t>Reach02</t>
  </si>
  <si>
    <t>2492165</t>
  </si>
  <si>
    <t>romanian russian</t>
  </si>
  <si>
    <t>25</t>
  </si>
  <si>
    <t>2508064</t>
  </si>
  <si>
    <t>7</t>
  </si>
  <si>
    <t>Reach05</t>
  </si>
  <si>
    <t>38</t>
  </si>
  <si>
    <t>2508066</t>
  </si>
  <si>
    <t>8</t>
  </si>
  <si>
    <t>2491682</t>
  </si>
  <si>
    <t>romanian</t>
  </si>
  <si>
    <t>45</t>
  </si>
  <si>
    <t>2508195</t>
  </si>
  <si>
    <t>10</t>
  </si>
  <si>
    <t>58</t>
  </si>
  <si>
    <t>2508207</t>
  </si>
  <si>
    <t>11</t>
  </si>
  <si>
    <t>52</t>
  </si>
  <si>
    <t>2508232</t>
  </si>
  <si>
    <t>12</t>
  </si>
  <si>
    <t>2491703</t>
  </si>
  <si>
    <t>viber</t>
  </si>
  <si>
    <t>46</t>
  </si>
  <si>
    <t>2508233</t>
  </si>
  <si>
    <t>13</t>
  </si>
  <si>
    <t>2508327</t>
  </si>
  <si>
    <t>14</t>
  </si>
  <si>
    <t>37</t>
  </si>
  <si>
    <t>2508343</t>
  </si>
  <si>
    <t>15</t>
  </si>
  <si>
    <t>65</t>
  </si>
  <si>
    <t>2508387</t>
  </si>
  <si>
    <t>16</t>
  </si>
  <si>
    <t>26</t>
  </si>
  <si>
    <t>2508466</t>
  </si>
  <si>
    <t>17</t>
  </si>
  <si>
    <t>49</t>
  </si>
  <si>
    <t>2508471</t>
  </si>
  <si>
    <t>18</t>
  </si>
  <si>
    <t>40</t>
  </si>
  <si>
    <t>2508540</t>
  </si>
  <si>
    <t>20</t>
  </si>
  <si>
    <t>2492009</t>
  </si>
  <si>
    <t>35</t>
  </si>
  <si>
    <t>2508541</t>
  </si>
  <si>
    <t>21</t>
  </si>
  <si>
    <t>2491624</t>
  </si>
  <si>
    <t>36</t>
  </si>
  <si>
    <t>2508563</t>
  </si>
  <si>
    <t>22</t>
  </si>
  <si>
    <t>2492440</t>
  </si>
  <si>
    <t>2508569</t>
  </si>
  <si>
    <t>23</t>
  </si>
  <si>
    <t>2508571</t>
  </si>
  <si>
    <t>24</t>
  </si>
  <si>
    <t>33</t>
  </si>
  <si>
    <t>2508592</t>
  </si>
  <si>
    <t>2508593</t>
  </si>
  <si>
    <t>2492050</t>
  </si>
  <si>
    <t>27</t>
  </si>
  <si>
    <t>2508594</t>
  </si>
  <si>
    <t>43</t>
  </si>
  <si>
    <t>2508598</t>
  </si>
  <si>
    <t>28</t>
  </si>
  <si>
    <t>2508599</t>
  </si>
  <si>
    <t>29</t>
  </si>
  <si>
    <t>2508601</t>
  </si>
  <si>
    <t>31</t>
  </si>
  <si>
    <t>48</t>
  </si>
  <si>
    <t>2508602</t>
  </si>
  <si>
    <t>2508729</t>
  </si>
  <si>
    <t>34</t>
  </si>
  <si>
    <t>60</t>
  </si>
  <si>
    <t>2508734</t>
  </si>
  <si>
    <t>67</t>
  </si>
  <si>
    <t>2508774</t>
  </si>
  <si>
    <t>2492071</t>
  </si>
  <si>
    <t>2508918</t>
  </si>
  <si>
    <t>2492453</t>
  </si>
  <si>
    <t>2508920</t>
  </si>
  <si>
    <t>2492083</t>
  </si>
  <si>
    <t>2509229</t>
  </si>
  <si>
    <t>2492094</t>
  </si>
  <si>
    <t>69</t>
  </si>
  <si>
    <t>2509293</t>
  </si>
  <si>
    <t>2509395</t>
  </si>
  <si>
    <t>41</t>
  </si>
  <si>
    <t>2492161</t>
  </si>
  <si>
    <t>2509418</t>
  </si>
  <si>
    <t>2509484</t>
  </si>
  <si>
    <t>2492178</t>
  </si>
  <si>
    <t>30</t>
  </si>
  <si>
    <t>2509485</t>
  </si>
  <si>
    <t>2492073</t>
  </si>
  <si>
    <t>2509551</t>
  </si>
  <si>
    <t>47</t>
  </si>
  <si>
    <t>2492234</t>
  </si>
  <si>
    <t>66</t>
  </si>
  <si>
    <t>2509563</t>
  </si>
  <si>
    <t>51</t>
  </si>
  <si>
    <t>2509596</t>
  </si>
  <si>
    <t>50</t>
  </si>
  <si>
    <t>2509597</t>
  </si>
  <si>
    <t>2492240</t>
  </si>
  <si>
    <t>2509598</t>
  </si>
  <si>
    <t>2492258</t>
  </si>
  <si>
    <t>2509814</t>
  </si>
  <si>
    <t>53</t>
  </si>
  <si>
    <t>2492277</t>
  </si>
  <si>
    <t>2509816</t>
  </si>
  <si>
    <t>55</t>
  </si>
  <si>
    <t>2509819</t>
  </si>
  <si>
    <t>56</t>
  </si>
  <si>
    <t>2509820</t>
  </si>
  <si>
    <t>57</t>
  </si>
  <si>
    <t>68</t>
  </si>
  <si>
    <t>2509849</t>
  </si>
  <si>
    <t>2509852</t>
  </si>
  <si>
    <t>59</t>
  </si>
  <si>
    <t>2492284</t>
  </si>
  <si>
    <t>telegram</t>
  </si>
  <si>
    <t>2509854</t>
  </si>
  <si>
    <t>2492286</t>
  </si>
  <si>
    <t>2509952</t>
  </si>
  <si>
    <t>62</t>
  </si>
  <si>
    <t>2492291</t>
  </si>
  <si>
    <t>2509953</t>
  </si>
  <si>
    <t>63</t>
  </si>
  <si>
    <t>2509958</t>
  </si>
  <si>
    <t>64</t>
  </si>
  <si>
    <t>2509959</t>
  </si>
  <si>
    <t>2509960</t>
  </si>
  <si>
    <t>2509961</t>
  </si>
  <si>
    <t>2509962</t>
  </si>
  <si>
    <t>2509963</t>
  </si>
  <si>
    <t>2492294</t>
  </si>
  <si>
    <t>2510009</t>
  </si>
  <si>
    <t>70</t>
  </si>
  <si>
    <t>2500045</t>
  </si>
  <si>
    <t>2510020</t>
  </si>
  <si>
    <t>71</t>
  </si>
  <si>
    <t>2492296</t>
  </si>
  <si>
    <t>2510023</t>
  </si>
  <si>
    <t>72</t>
  </si>
  <si>
    <t>2510025</t>
  </si>
  <si>
    <t>73</t>
  </si>
  <si>
    <t>2492309</t>
  </si>
  <si>
    <t>2510035</t>
  </si>
  <si>
    <t>2492313</t>
  </si>
  <si>
    <t>2510081</t>
  </si>
  <si>
    <t>75</t>
  </si>
  <si>
    <t>2492107</t>
  </si>
  <si>
    <t>76</t>
  </si>
  <si>
    <t>2492321</t>
  </si>
  <si>
    <t>2510488</t>
  </si>
  <si>
    <t>77</t>
  </si>
  <si>
    <t>2492503</t>
  </si>
  <si>
    <t>2510500</t>
  </si>
  <si>
    <t>78</t>
  </si>
  <si>
    <t>2492328</t>
  </si>
  <si>
    <t>2510503</t>
  </si>
  <si>
    <t>79</t>
  </si>
  <si>
    <t>2492357</t>
  </si>
  <si>
    <t>2510510</t>
  </si>
  <si>
    <t>81</t>
  </si>
  <si>
    <t>2506727</t>
  </si>
  <si>
    <t>2510513</t>
  </si>
  <si>
    <t>82</t>
  </si>
  <si>
    <t>2492332</t>
  </si>
  <si>
    <t>2510515</t>
  </si>
  <si>
    <t>83</t>
  </si>
  <si>
    <t>2510766</t>
  </si>
  <si>
    <t>85</t>
  </si>
  <si>
    <t>2510769</t>
  </si>
  <si>
    <t>88</t>
  </si>
  <si>
    <t>2510772</t>
  </si>
  <si>
    <t>91</t>
  </si>
  <si>
    <t>2492384</t>
  </si>
  <si>
    <t>2510783</t>
  </si>
  <si>
    <t>95</t>
  </si>
  <si>
    <t>2492416</t>
  </si>
  <si>
    <t>2510793</t>
  </si>
  <si>
    <t>96</t>
  </si>
  <si>
    <t>2492326</t>
  </si>
  <si>
    <t>2510810</t>
  </si>
  <si>
    <t>97</t>
  </si>
  <si>
    <t>2492415</t>
  </si>
  <si>
    <t>2510829</t>
  </si>
  <si>
    <t>98</t>
  </si>
  <si>
    <t>2500516</t>
  </si>
  <si>
    <t>2510878</t>
  </si>
  <si>
    <t>99</t>
  </si>
  <si>
    <t>2510890</t>
  </si>
  <si>
    <t>101</t>
  </si>
  <si>
    <t>2510891</t>
  </si>
  <si>
    <t>102</t>
  </si>
  <si>
    <t>2510892</t>
  </si>
  <si>
    <t>103</t>
  </si>
  <si>
    <t>2500385</t>
  </si>
  <si>
    <t>2510933</t>
  </si>
  <si>
    <t>104</t>
  </si>
  <si>
    <t>2492421</t>
  </si>
  <si>
    <t>2510934</t>
  </si>
  <si>
    <t>105</t>
  </si>
  <si>
    <t>2511287</t>
  </si>
  <si>
    <t>107</t>
  </si>
  <si>
    <t>2511289</t>
  </si>
  <si>
    <t>109</t>
  </si>
  <si>
    <t>2511291</t>
  </si>
  <si>
    <t>111</t>
  </si>
  <si>
    <t>2511779</t>
  </si>
  <si>
    <t>112</t>
  </si>
  <si>
    <t>2492310</t>
  </si>
  <si>
    <t>2511791</t>
  </si>
  <si>
    <t>114</t>
  </si>
  <si>
    <t>2492287</t>
  </si>
  <si>
    <t>2511792</t>
  </si>
  <si>
    <t>115</t>
  </si>
  <si>
    <t>2492424</t>
  </si>
  <si>
    <t>2511801</t>
  </si>
  <si>
    <t>116</t>
  </si>
  <si>
    <t>2492430</t>
  </si>
  <si>
    <t>2511851</t>
  </si>
  <si>
    <t>117</t>
  </si>
  <si>
    <t>2492432</t>
  </si>
  <si>
    <t>2511852</t>
  </si>
  <si>
    <t>118</t>
  </si>
  <si>
    <t>2492431</t>
  </si>
  <si>
    <t>2511855</t>
  </si>
  <si>
    <t>119</t>
  </si>
  <si>
    <t>2492473</t>
  </si>
  <si>
    <t>2511870</t>
  </si>
  <si>
    <t>120</t>
  </si>
  <si>
    <t>2492482</t>
  </si>
  <si>
    <t>2511960</t>
  </si>
  <si>
    <t>122</t>
  </si>
  <si>
    <t>2492485</t>
  </si>
  <si>
    <t>2511984</t>
  </si>
  <si>
    <t>123</t>
  </si>
  <si>
    <t>2492448</t>
  </si>
  <si>
    <t>2511988</t>
  </si>
  <si>
    <t>124</t>
  </si>
  <si>
    <t>2492476</t>
  </si>
  <si>
    <t>2512009</t>
  </si>
  <si>
    <t>125</t>
  </si>
  <si>
    <t>2492492</t>
  </si>
  <si>
    <t>2512010</t>
  </si>
  <si>
    <t>126</t>
  </si>
  <si>
    <t>2492487</t>
  </si>
  <si>
    <t>2512011</t>
  </si>
  <si>
    <t>127</t>
  </si>
  <si>
    <t>2492498</t>
  </si>
  <si>
    <t>2512013</t>
  </si>
  <si>
    <t>129</t>
  </si>
  <si>
    <t>2492501</t>
  </si>
  <si>
    <t>54</t>
  </si>
  <si>
    <t>2512024</t>
  </si>
  <si>
    <t>130</t>
  </si>
  <si>
    <t>2492509</t>
  </si>
  <si>
    <t>2512025</t>
  </si>
  <si>
    <t>131</t>
  </si>
  <si>
    <t>2492491</t>
  </si>
  <si>
    <t>2512026</t>
  </si>
  <si>
    <t>132</t>
  </si>
  <si>
    <t>2492578</t>
  </si>
  <si>
    <t>2512225</t>
  </si>
  <si>
    <t>134</t>
  </si>
  <si>
    <t>2492522</t>
  </si>
  <si>
    <t>2512301</t>
  </si>
  <si>
    <t>135</t>
  </si>
  <si>
    <t>2504548</t>
  </si>
  <si>
    <t>2512302</t>
  </si>
  <si>
    <t>136</t>
  </si>
  <si>
    <t>2512317</t>
  </si>
  <si>
    <t>137</t>
  </si>
  <si>
    <t>2512323</t>
  </si>
  <si>
    <t>139</t>
  </si>
  <si>
    <t>2512325</t>
  </si>
  <si>
    <t>140</t>
  </si>
  <si>
    <t>2512332</t>
  </si>
  <si>
    <t>142</t>
  </si>
  <si>
    <t>2492474</t>
  </si>
  <si>
    <t>2512423</t>
  </si>
  <si>
    <t>143</t>
  </si>
  <si>
    <t>2512706</t>
  </si>
  <si>
    <t>144</t>
  </si>
  <si>
    <t>2512708</t>
  </si>
  <si>
    <t>146</t>
  </si>
  <si>
    <t>2512709</t>
  </si>
  <si>
    <t>147</t>
  </si>
  <si>
    <t>2512711</t>
  </si>
  <si>
    <t>149</t>
  </si>
  <si>
    <t>2492561</t>
  </si>
  <si>
    <t>2513252</t>
  </si>
  <si>
    <t>150</t>
  </si>
  <si>
    <t>2492651</t>
  </si>
  <si>
    <t>2513276</t>
  </si>
  <si>
    <t>152</t>
  </si>
  <si>
    <t>2492719</t>
  </si>
  <si>
    <t>2513277</t>
  </si>
  <si>
    <t>153</t>
  </si>
  <si>
    <t>2492238</t>
  </si>
  <si>
    <t>2513278</t>
  </si>
  <si>
    <t>154</t>
  </si>
  <si>
    <t>2494656</t>
  </si>
  <si>
    <t>2513280</t>
  </si>
  <si>
    <t>155</t>
  </si>
  <si>
    <t>2492799</t>
  </si>
  <si>
    <t>2513284</t>
  </si>
  <si>
    <t>157</t>
  </si>
  <si>
    <t>2492820</t>
  </si>
  <si>
    <t>2513285</t>
  </si>
  <si>
    <t>158</t>
  </si>
  <si>
    <t>2492757</t>
  </si>
  <si>
    <t>2513456</t>
  </si>
  <si>
    <t>160</t>
  </si>
  <si>
    <t>2492868</t>
  </si>
  <si>
    <t>2513517</t>
  </si>
  <si>
    <t>161</t>
  </si>
  <si>
    <t>2492720</t>
  </si>
  <si>
    <t>2513526</t>
  </si>
  <si>
    <t>162</t>
  </si>
  <si>
    <t>2494202</t>
  </si>
  <si>
    <t>2513537</t>
  </si>
  <si>
    <t>163</t>
  </si>
  <si>
    <t>2492867</t>
  </si>
  <si>
    <t>2513538</t>
  </si>
  <si>
    <t>164</t>
  </si>
  <si>
    <t>2492929</t>
  </si>
  <si>
    <t>2513539</t>
  </si>
  <si>
    <t>165</t>
  </si>
  <si>
    <t>2493990</t>
  </si>
  <si>
    <t>whatsapp</t>
  </si>
  <si>
    <t>2513541</t>
  </si>
  <si>
    <t>166</t>
  </si>
  <si>
    <t>2493956</t>
  </si>
  <si>
    <t>2513542</t>
  </si>
  <si>
    <t>167</t>
  </si>
  <si>
    <t>2495791</t>
  </si>
  <si>
    <t>2513543</t>
  </si>
  <si>
    <t>168</t>
  </si>
  <si>
    <t>2495794</t>
  </si>
  <si>
    <t>2513544</t>
  </si>
  <si>
    <t>169</t>
  </si>
  <si>
    <t>2492081</t>
  </si>
  <si>
    <t>2514080</t>
  </si>
  <si>
    <t>170</t>
  </si>
  <si>
    <t>2492939</t>
  </si>
  <si>
    <t>2514120</t>
  </si>
  <si>
    <t>171</t>
  </si>
  <si>
    <t>2495798</t>
  </si>
  <si>
    <t>2514144</t>
  </si>
  <si>
    <t>172</t>
  </si>
  <si>
    <t>2514542</t>
  </si>
  <si>
    <t>173</t>
  </si>
  <si>
    <t>2514544</t>
  </si>
  <si>
    <t>175</t>
  </si>
  <si>
    <t>2514545</t>
  </si>
  <si>
    <t>176</t>
  </si>
  <si>
    <t>2514546</t>
  </si>
  <si>
    <t>177</t>
  </si>
  <si>
    <t>2516760</t>
  </si>
  <si>
    <t>179</t>
  </si>
  <si>
    <t>2516762</t>
  </si>
  <si>
    <t>181</t>
  </si>
  <si>
    <t>2516763</t>
  </si>
  <si>
    <t>182</t>
  </si>
  <si>
    <t>2516765</t>
  </si>
  <si>
    <t>184</t>
  </si>
  <si>
    <t>2025-01-27</t>
  </si>
  <si>
    <t>2495982</t>
  </si>
  <si>
    <t>2516768</t>
  </si>
  <si>
    <t>185</t>
  </si>
  <si>
    <t>2496277</t>
  </si>
  <si>
    <t>2516815</t>
  </si>
  <si>
    <t>186</t>
  </si>
  <si>
    <t>2498178</t>
  </si>
  <si>
    <t>2516854</t>
  </si>
  <si>
    <t>187</t>
  </si>
  <si>
    <t>2496580</t>
  </si>
  <si>
    <t>2516857</t>
  </si>
  <si>
    <t>188</t>
  </si>
  <si>
    <t>2516866</t>
  </si>
  <si>
    <t>189</t>
  </si>
  <si>
    <t>2516891</t>
  </si>
  <si>
    <t>190</t>
  </si>
  <si>
    <t>2516931</t>
  </si>
  <si>
    <t>191</t>
  </si>
  <si>
    <t>2516944</t>
  </si>
  <si>
    <t>192</t>
  </si>
  <si>
    <t>2499411</t>
  </si>
  <si>
    <t>2516970</t>
  </si>
  <si>
    <t>193</t>
  </si>
  <si>
    <t>2517029</t>
  </si>
  <si>
    <t>194</t>
  </si>
  <si>
    <t>2517030</t>
  </si>
  <si>
    <t>195</t>
  </si>
  <si>
    <t>2517031</t>
  </si>
  <si>
    <t>196</t>
  </si>
  <si>
    <t>2517032</t>
  </si>
  <si>
    <t>197</t>
  </si>
  <si>
    <t>2517081</t>
  </si>
  <si>
    <t>198</t>
  </si>
  <si>
    <t>2517084</t>
  </si>
  <si>
    <t>199</t>
  </si>
  <si>
    <t>2500462</t>
  </si>
  <si>
    <t>2517124</t>
  </si>
  <si>
    <t>201</t>
  </si>
  <si>
    <t>2517137</t>
  </si>
  <si>
    <t>202</t>
  </si>
  <si>
    <t>2517184</t>
  </si>
  <si>
    <t>203</t>
  </si>
  <si>
    <t>2517193</t>
  </si>
  <si>
    <t>204</t>
  </si>
  <si>
    <t>2500491</t>
  </si>
  <si>
    <t>61</t>
  </si>
  <si>
    <t>2517204</t>
  </si>
  <si>
    <t>205</t>
  </si>
  <si>
    <t>2500457</t>
  </si>
  <si>
    <t>2517267</t>
  </si>
  <si>
    <t>206</t>
  </si>
  <si>
    <t>2500538</t>
  </si>
  <si>
    <t>2517274</t>
  </si>
  <si>
    <t>207</t>
  </si>
  <si>
    <t>2500540</t>
  </si>
  <si>
    <t>2517369</t>
  </si>
  <si>
    <t>208</t>
  </si>
  <si>
    <t>2500592</t>
  </si>
  <si>
    <t>2517415</t>
  </si>
  <si>
    <t>209</t>
  </si>
  <si>
    <t>2517483</t>
  </si>
  <si>
    <t>211</t>
  </si>
  <si>
    <t>2517485</t>
  </si>
  <si>
    <t>213</t>
  </si>
  <si>
    <t>2517488</t>
  </si>
  <si>
    <t>215</t>
  </si>
  <si>
    <t>2517490</t>
  </si>
  <si>
    <t>216</t>
  </si>
  <si>
    <t>2517491</t>
  </si>
  <si>
    <t>217</t>
  </si>
  <si>
    <t>2025-01-28</t>
  </si>
  <si>
    <t>2500639</t>
  </si>
  <si>
    <t>2517619</t>
  </si>
  <si>
    <t>219</t>
  </si>
  <si>
    <t>2500643</t>
  </si>
  <si>
    <t>2517634</t>
  </si>
  <si>
    <t>220</t>
  </si>
  <si>
    <t>2492732</t>
  </si>
  <si>
    <t>2517636</t>
  </si>
  <si>
    <t>221</t>
  </si>
  <si>
    <t>2517708</t>
  </si>
  <si>
    <t>222</t>
  </si>
  <si>
    <t>2500745</t>
  </si>
  <si>
    <t>2517779</t>
  </si>
  <si>
    <t>223</t>
  </si>
  <si>
    <t>2517784</t>
  </si>
  <si>
    <t>224</t>
  </si>
  <si>
    <t>2494249</t>
  </si>
  <si>
    <t>2517785</t>
  </si>
  <si>
    <t>225</t>
  </si>
  <si>
    <t>2493998</t>
  </si>
  <si>
    <t>2517794</t>
  </si>
  <si>
    <t>227</t>
  </si>
  <si>
    <t>2517802</t>
  </si>
  <si>
    <t>228</t>
  </si>
  <si>
    <t>2492871</t>
  </si>
  <si>
    <t>2517806</t>
  </si>
  <si>
    <t>229</t>
  </si>
  <si>
    <t>2500874</t>
  </si>
  <si>
    <t>2517808</t>
  </si>
  <si>
    <t>230</t>
  </si>
  <si>
    <t>2492714</t>
  </si>
  <si>
    <t>2517834</t>
  </si>
  <si>
    <t>231</t>
  </si>
  <si>
    <t>2500754</t>
  </si>
  <si>
    <t>2517835</t>
  </si>
  <si>
    <t>232</t>
  </si>
  <si>
    <t>2518047</t>
  </si>
  <si>
    <t>234</t>
  </si>
  <si>
    <t>19</t>
  </si>
  <si>
    <t>2518049</t>
  </si>
  <si>
    <t>236</t>
  </si>
  <si>
    <t>2518050</t>
  </si>
  <si>
    <t>237</t>
  </si>
  <si>
    <t>2518052</t>
  </si>
  <si>
    <t>239</t>
  </si>
  <si>
    <t>2500785</t>
  </si>
  <si>
    <t>2518095</t>
  </si>
  <si>
    <t>241</t>
  </si>
  <si>
    <t>2518381</t>
  </si>
  <si>
    <t>242</t>
  </si>
  <si>
    <t>Capreşti</t>
  </si>
  <si>
    <t>2518382</t>
  </si>
  <si>
    <t>243</t>
  </si>
  <si>
    <t>Căpreṣti</t>
  </si>
  <si>
    <t>2518383</t>
  </si>
  <si>
    <t>244</t>
  </si>
  <si>
    <t>2518384</t>
  </si>
  <si>
    <t>245</t>
  </si>
  <si>
    <t>2025-01-29</t>
  </si>
  <si>
    <t>2518442</t>
  </si>
  <si>
    <t>246</t>
  </si>
  <si>
    <t>2492579</t>
  </si>
  <si>
    <t>2518454</t>
  </si>
  <si>
    <t>247</t>
  </si>
  <si>
    <t>2500677</t>
  </si>
  <si>
    <t>2518457</t>
  </si>
  <si>
    <t>248</t>
  </si>
  <si>
    <t>2518464</t>
  </si>
  <si>
    <t>249</t>
  </si>
  <si>
    <t>2518468</t>
  </si>
  <si>
    <t>250</t>
  </si>
  <si>
    <t>2492698</t>
  </si>
  <si>
    <t>2518469</t>
  </si>
  <si>
    <t>251</t>
  </si>
  <si>
    <t>2518480</t>
  </si>
  <si>
    <t>252</t>
  </si>
  <si>
    <t>2518482</t>
  </si>
  <si>
    <t>253</t>
  </si>
  <si>
    <t>2518485</t>
  </si>
  <si>
    <t>254</t>
  </si>
  <si>
    <t>2492702</t>
  </si>
  <si>
    <t>2518494</t>
  </si>
  <si>
    <t>255</t>
  </si>
  <si>
    <t>2518495</t>
  </si>
  <si>
    <t>256</t>
  </si>
  <si>
    <t>2500939</t>
  </si>
  <si>
    <t>2518500</t>
  </si>
  <si>
    <t>257</t>
  </si>
  <si>
    <t>2518575</t>
  </si>
  <si>
    <t>260</t>
  </si>
  <si>
    <t>2502761</t>
  </si>
  <si>
    <t>2518576</t>
  </si>
  <si>
    <t>261</t>
  </si>
  <si>
    <t>2500878</t>
  </si>
  <si>
    <t>2518592</t>
  </si>
  <si>
    <t>262</t>
  </si>
  <si>
    <t>2518603</t>
  </si>
  <si>
    <t>263</t>
  </si>
  <si>
    <t>2518630</t>
  </si>
  <si>
    <t>265</t>
  </si>
  <si>
    <t>2518682</t>
  </si>
  <si>
    <t>266</t>
  </si>
  <si>
    <t>2500879</t>
  </si>
  <si>
    <t>2518687</t>
  </si>
  <si>
    <t>267</t>
  </si>
  <si>
    <t>2492608</t>
  </si>
  <si>
    <t>2518688</t>
  </si>
  <si>
    <t>268</t>
  </si>
  <si>
    <t>2518701</t>
  </si>
  <si>
    <t>269</t>
  </si>
  <si>
    <t>2518704</t>
  </si>
  <si>
    <t>270</t>
  </si>
  <si>
    <t>2492576</t>
  </si>
  <si>
    <t>2518762</t>
  </si>
  <si>
    <t>273</t>
  </si>
  <si>
    <t>2000004</t>
  </si>
  <si>
    <t>2518778</t>
  </si>
  <si>
    <t>274</t>
  </si>
  <si>
    <t>2500886</t>
  </si>
  <si>
    <t>2518876</t>
  </si>
  <si>
    <t>275</t>
  </si>
  <si>
    <t>2500679</t>
  </si>
  <si>
    <t>2518964</t>
  </si>
  <si>
    <t>277</t>
  </si>
  <si>
    <t>2500934</t>
  </si>
  <si>
    <t>2518980</t>
  </si>
  <si>
    <t>278</t>
  </si>
  <si>
    <t>2506807</t>
  </si>
  <si>
    <t>2519010</t>
  </si>
  <si>
    <t>279</t>
  </si>
  <si>
    <t>2519055</t>
  </si>
  <si>
    <t>280</t>
  </si>
  <si>
    <t>2519058</t>
  </si>
  <si>
    <t>281</t>
  </si>
  <si>
    <t>2519060</t>
  </si>
  <si>
    <t>282</t>
  </si>
  <si>
    <t>2519063</t>
  </si>
  <si>
    <t>283</t>
  </si>
  <si>
    <t>2501320</t>
  </si>
  <si>
    <t>2519091</t>
  </si>
  <si>
    <t>285</t>
  </si>
  <si>
    <t>2501703</t>
  </si>
  <si>
    <t>2519127</t>
  </si>
  <si>
    <t>286</t>
  </si>
  <si>
    <t>2025-01-30</t>
  </si>
  <si>
    <t>2502372</t>
  </si>
  <si>
    <t>Verejeni</t>
  </si>
  <si>
    <t>2519424</t>
  </si>
  <si>
    <t>287</t>
  </si>
  <si>
    <t>2502428</t>
  </si>
  <si>
    <t>2519427</t>
  </si>
  <si>
    <t>288</t>
  </si>
  <si>
    <t>2503774</t>
  </si>
  <si>
    <t>2519442</t>
  </si>
  <si>
    <t>289</t>
  </si>
  <si>
    <t>2505673</t>
  </si>
  <si>
    <t>2519447</t>
  </si>
  <si>
    <t>290</t>
  </si>
  <si>
    <t>2505726</t>
  </si>
  <si>
    <t>2519490</t>
  </si>
  <si>
    <t>292</t>
  </si>
  <si>
    <t>2505792</t>
  </si>
  <si>
    <t>2519495</t>
  </si>
  <si>
    <t>293</t>
  </si>
  <si>
    <t>2519514</t>
  </si>
  <si>
    <t>294</t>
  </si>
  <si>
    <t>2505884</t>
  </si>
  <si>
    <t>2519559</t>
  </si>
  <si>
    <t>295</t>
  </si>
  <si>
    <t>2505916</t>
  </si>
  <si>
    <t>2519561</t>
  </si>
  <si>
    <t>296</t>
  </si>
  <si>
    <t>2519579</t>
  </si>
  <si>
    <t>298</t>
  </si>
  <si>
    <t>2519581</t>
  </si>
  <si>
    <t>300</t>
  </si>
  <si>
    <t>2519625</t>
  </si>
  <si>
    <t>301</t>
  </si>
  <si>
    <t>2519628</t>
  </si>
  <si>
    <t>302</t>
  </si>
  <si>
    <t>Bogdanovca Veche</t>
  </si>
  <si>
    <t>2519633</t>
  </si>
  <si>
    <t>303</t>
  </si>
  <si>
    <t>2519638</t>
  </si>
  <si>
    <t>304</t>
  </si>
  <si>
    <t>Bogdanovca Noi</t>
  </si>
  <si>
    <t>2519651</t>
  </si>
  <si>
    <t>306</t>
  </si>
  <si>
    <t>2505804</t>
  </si>
  <si>
    <t>2519659</t>
  </si>
  <si>
    <t>307</t>
  </si>
  <si>
    <t>2519661</t>
  </si>
  <si>
    <t>308</t>
  </si>
  <si>
    <t>2506618</t>
  </si>
  <si>
    <t>2519662</t>
  </si>
  <si>
    <t>309</t>
  </si>
  <si>
    <t>2519670</t>
  </si>
  <si>
    <t>310</t>
  </si>
  <si>
    <t>2519671</t>
  </si>
  <si>
    <t>311</t>
  </si>
  <si>
    <t>2506639</t>
  </si>
  <si>
    <t>2519673</t>
  </si>
  <si>
    <t>312</t>
  </si>
  <si>
    <t>2519721</t>
  </si>
  <si>
    <t>313</t>
  </si>
  <si>
    <t>2506641</t>
  </si>
  <si>
    <t>2519724</t>
  </si>
  <si>
    <t>314</t>
  </si>
  <si>
    <t>2506706</t>
  </si>
  <si>
    <t>2519739</t>
  </si>
  <si>
    <t>315</t>
  </si>
  <si>
    <t>2506903</t>
  </si>
  <si>
    <t>2519788</t>
  </si>
  <si>
    <t>316</t>
  </si>
  <si>
    <t>2519839</t>
  </si>
  <si>
    <t>317</t>
  </si>
  <si>
    <t>2519840</t>
  </si>
  <si>
    <t>318</t>
  </si>
  <si>
    <t>2519841</t>
  </si>
  <si>
    <t>319</t>
  </si>
  <si>
    <t>2505793</t>
  </si>
  <si>
    <t>2519949</t>
  </si>
  <si>
    <t>320</t>
  </si>
  <si>
    <t>2506924</t>
  </si>
  <si>
    <t>2519976</t>
  </si>
  <si>
    <t>321</t>
  </si>
  <si>
    <t>2025-01-31</t>
  </si>
  <si>
    <t>2506955</t>
  </si>
  <si>
    <t>2520325</t>
  </si>
  <si>
    <t>322</t>
  </si>
  <si>
    <t>2502298</t>
  </si>
  <si>
    <t>2520336</t>
  </si>
  <si>
    <t>323</t>
  </si>
  <si>
    <t>2506643</t>
  </si>
  <si>
    <t>2520339</t>
  </si>
  <si>
    <t>324</t>
  </si>
  <si>
    <t>2520340</t>
  </si>
  <si>
    <t>325</t>
  </si>
  <si>
    <t>2506960</t>
  </si>
  <si>
    <t>2520341</t>
  </si>
  <si>
    <t>326</t>
  </si>
  <si>
    <t>2520345</t>
  </si>
  <si>
    <t>327</t>
  </si>
  <si>
    <t>2520347</t>
  </si>
  <si>
    <t>328</t>
  </si>
  <si>
    <t>2000001</t>
  </si>
  <si>
    <t>2520348</t>
  </si>
  <si>
    <t>329</t>
  </si>
  <si>
    <t>2507971</t>
  </si>
  <si>
    <t>2520353</t>
  </si>
  <si>
    <t>330</t>
  </si>
  <si>
    <t>2520354</t>
  </si>
  <si>
    <t>331</t>
  </si>
  <si>
    <t>2520374</t>
  </si>
  <si>
    <t>332</t>
  </si>
  <si>
    <t>2520382</t>
  </si>
  <si>
    <t>333</t>
  </si>
  <si>
    <t>2520383</t>
  </si>
  <si>
    <t>334</t>
  </si>
  <si>
    <t>2520394</t>
  </si>
  <si>
    <t>335</t>
  </si>
  <si>
    <t>2520401</t>
  </si>
  <si>
    <t>336</t>
  </si>
  <si>
    <t>2520406</t>
  </si>
  <si>
    <t>337</t>
  </si>
  <si>
    <t>2520420</t>
  </si>
  <si>
    <t>338</t>
  </si>
  <si>
    <t>2506480</t>
  </si>
  <si>
    <t>2520428</t>
  </si>
  <si>
    <t>339</t>
  </si>
  <si>
    <t>2520429</t>
  </si>
  <si>
    <t>340</t>
  </si>
  <si>
    <t>2520430</t>
  </si>
  <si>
    <t>341</t>
  </si>
  <si>
    <t>2506231</t>
  </si>
  <si>
    <t>2520431</t>
  </si>
  <si>
    <t>342</t>
  </si>
  <si>
    <t>2000005</t>
  </si>
  <si>
    <t>2520439</t>
  </si>
  <si>
    <t>343</t>
  </si>
  <si>
    <t>2503701</t>
  </si>
  <si>
    <t>2520445</t>
  </si>
  <si>
    <t>344</t>
  </si>
  <si>
    <t>2501784</t>
  </si>
  <si>
    <t>2520455</t>
  </si>
  <si>
    <t>345</t>
  </si>
  <si>
    <t>2503326</t>
  </si>
  <si>
    <t>2520495</t>
  </si>
  <si>
    <t>346</t>
  </si>
  <si>
    <t>2505675</t>
  </si>
  <si>
    <t>2520581</t>
  </si>
  <si>
    <t>347</t>
  </si>
  <si>
    <t>2506506</t>
  </si>
  <si>
    <t>2520598</t>
  </si>
  <si>
    <t>348</t>
  </si>
  <si>
    <t>2520606</t>
  </si>
  <si>
    <t>349</t>
  </si>
  <si>
    <t>2520607</t>
  </si>
  <si>
    <t>350</t>
  </si>
  <si>
    <t>2520608</t>
  </si>
  <si>
    <t>351</t>
  </si>
  <si>
    <t>2520609</t>
  </si>
  <si>
    <t>352</t>
  </si>
  <si>
    <t>2025-02-03</t>
  </si>
  <si>
    <t>2521655</t>
  </si>
  <si>
    <t>353</t>
  </si>
  <si>
    <t>2521671</t>
  </si>
  <si>
    <t>354</t>
  </si>
  <si>
    <t>2521698</t>
  </si>
  <si>
    <t>355</t>
  </si>
  <si>
    <t>2521699</t>
  </si>
  <si>
    <t>356</t>
  </si>
  <si>
    <t>2492873</t>
  </si>
  <si>
    <t>2521709</t>
  </si>
  <si>
    <t>357</t>
  </si>
  <si>
    <t>2504657</t>
  </si>
  <si>
    <t>2521764</t>
  </si>
  <si>
    <t>358</t>
  </si>
  <si>
    <t>2521778</t>
  </si>
  <si>
    <t>359</t>
  </si>
  <si>
    <t>2521779</t>
  </si>
  <si>
    <t>360</t>
  </si>
  <si>
    <t>2521780</t>
  </si>
  <si>
    <t>361</t>
  </si>
  <si>
    <t>2505621</t>
  </si>
  <si>
    <t>2521787</t>
  </si>
  <si>
    <t>362</t>
  </si>
  <si>
    <t>2521791</t>
  </si>
  <si>
    <t>363</t>
  </si>
  <si>
    <t>2505739</t>
  </si>
  <si>
    <t>Mihailovca</t>
  </si>
  <si>
    <t>2521794</t>
  </si>
  <si>
    <t>364</t>
  </si>
  <si>
    <t>2513102</t>
  </si>
  <si>
    <t>2521798</t>
  </si>
  <si>
    <t>365</t>
  </si>
  <si>
    <t>2521827</t>
  </si>
  <si>
    <t>366</t>
  </si>
  <si>
    <t>2521828</t>
  </si>
  <si>
    <t>367</t>
  </si>
  <si>
    <t>2521958</t>
  </si>
  <si>
    <t>368</t>
  </si>
  <si>
    <t>2521959</t>
  </si>
  <si>
    <t>369</t>
  </si>
  <si>
    <t>2521960</t>
  </si>
  <si>
    <t>370</t>
  </si>
  <si>
    <t>2521961</t>
  </si>
  <si>
    <t>371</t>
  </si>
  <si>
    <t>2521962</t>
  </si>
  <si>
    <t>372</t>
  </si>
  <si>
    <t>2521979</t>
  </si>
  <si>
    <t>373</t>
  </si>
  <si>
    <t>2521980</t>
  </si>
  <si>
    <t>374</t>
  </si>
  <si>
    <t>2521981</t>
  </si>
  <si>
    <t>375</t>
  </si>
  <si>
    <t>2521982</t>
  </si>
  <si>
    <t>376</t>
  </si>
  <si>
    <t>2521983</t>
  </si>
  <si>
    <t>377</t>
  </si>
  <si>
    <t>2522001</t>
  </si>
  <si>
    <t>378</t>
  </si>
  <si>
    <t>2522002</t>
  </si>
  <si>
    <t>379</t>
  </si>
  <si>
    <t>2522004</t>
  </si>
  <si>
    <t>381</t>
  </si>
  <si>
    <t>2522005</t>
  </si>
  <si>
    <t>382</t>
  </si>
  <si>
    <t>2522006</t>
  </si>
  <si>
    <t>383</t>
  </si>
  <si>
    <t>2025-02-04</t>
  </si>
  <si>
    <t>2522148</t>
  </si>
  <si>
    <t>384</t>
  </si>
  <si>
    <t>2522149</t>
  </si>
  <si>
    <t>385</t>
  </si>
  <si>
    <t>2522155</t>
  </si>
  <si>
    <t>386</t>
  </si>
  <si>
    <t>2522158</t>
  </si>
  <si>
    <t>387</t>
  </si>
  <si>
    <t>2522171</t>
  </si>
  <si>
    <t>388</t>
  </si>
  <si>
    <t>2522172</t>
  </si>
  <si>
    <t>389</t>
  </si>
  <si>
    <t>2522183</t>
  </si>
  <si>
    <t>390</t>
  </si>
  <si>
    <t>2522200</t>
  </si>
  <si>
    <t>391</t>
  </si>
  <si>
    <t>2522207</t>
  </si>
  <si>
    <t>392</t>
  </si>
  <si>
    <t>2522228</t>
  </si>
  <si>
    <t>393</t>
  </si>
  <si>
    <t>2522296</t>
  </si>
  <si>
    <t>394</t>
  </si>
  <si>
    <t>2522297</t>
  </si>
  <si>
    <t>395</t>
  </si>
  <si>
    <t>2522298</t>
  </si>
  <si>
    <t>396</t>
  </si>
  <si>
    <t>2522299</t>
  </si>
  <si>
    <t>397</t>
  </si>
  <si>
    <t>2522300</t>
  </si>
  <si>
    <t>398</t>
  </si>
  <si>
    <t>2522308</t>
  </si>
  <si>
    <t>399</t>
  </si>
  <si>
    <t>2522316</t>
  </si>
  <si>
    <t>400</t>
  </si>
  <si>
    <t>2522398</t>
  </si>
  <si>
    <t>401</t>
  </si>
  <si>
    <t>2522399</t>
  </si>
  <si>
    <t>402</t>
  </si>
  <si>
    <t>2522400</t>
  </si>
  <si>
    <t>403</t>
  </si>
  <si>
    <t>2522401</t>
  </si>
  <si>
    <t>404</t>
  </si>
  <si>
    <t>2522419</t>
  </si>
  <si>
    <t>405</t>
  </si>
  <si>
    <t>2522420</t>
  </si>
  <si>
    <t>406</t>
  </si>
  <si>
    <t>2522421</t>
  </si>
  <si>
    <t>407</t>
  </si>
  <si>
    <t>2522422</t>
  </si>
  <si>
    <t>408</t>
  </si>
  <si>
    <t>2522424</t>
  </si>
  <si>
    <t>410</t>
  </si>
  <si>
    <t>2522426</t>
  </si>
  <si>
    <t>412</t>
  </si>
  <si>
    <t>2025-02-05</t>
  </si>
  <si>
    <t>2522524</t>
  </si>
  <si>
    <t>414</t>
  </si>
  <si>
    <t>2522562</t>
  </si>
  <si>
    <t>415</t>
  </si>
  <si>
    <t>2522571</t>
  </si>
  <si>
    <t>416</t>
  </si>
  <si>
    <t>2522574</t>
  </si>
  <si>
    <t>417</t>
  </si>
  <si>
    <t>2522587</t>
  </si>
  <si>
    <t>418</t>
  </si>
  <si>
    <t>2522645</t>
  </si>
  <si>
    <t>419</t>
  </si>
  <si>
    <t>2522653</t>
  </si>
  <si>
    <t>420</t>
  </si>
  <si>
    <t>2522660</t>
  </si>
  <si>
    <t>422</t>
  </si>
  <si>
    <t>2522664</t>
  </si>
  <si>
    <t>423</t>
  </si>
  <si>
    <t>2522689</t>
  </si>
  <si>
    <t>424</t>
  </si>
  <si>
    <t>2522694</t>
  </si>
  <si>
    <t>425</t>
  </si>
  <si>
    <t>2522705</t>
  </si>
  <si>
    <t>426</t>
  </si>
  <si>
    <t>2522727</t>
  </si>
  <si>
    <t>427</t>
  </si>
  <si>
    <t>2522781</t>
  </si>
  <si>
    <t>428</t>
  </si>
  <si>
    <t>2522782</t>
  </si>
  <si>
    <t>429</t>
  </si>
  <si>
    <t>2522783</t>
  </si>
  <si>
    <t>430</t>
  </si>
  <si>
    <t>2522784</t>
  </si>
  <si>
    <t>431</t>
  </si>
  <si>
    <t>2522824</t>
  </si>
  <si>
    <t>432</t>
  </si>
  <si>
    <t>2522825</t>
  </si>
  <si>
    <t>433</t>
  </si>
  <si>
    <t>2522826</t>
  </si>
  <si>
    <t>434</t>
  </si>
  <si>
    <t>2522827</t>
  </si>
  <si>
    <t>435</t>
  </si>
  <si>
    <t>2522847</t>
  </si>
  <si>
    <t>436</t>
  </si>
  <si>
    <t>2522848</t>
  </si>
  <si>
    <t>437</t>
  </si>
  <si>
    <t>2522849</t>
  </si>
  <si>
    <t>438</t>
  </si>
  <si>
    <t>2522850</t>
  </si>
  <si>
    <t>439</t>
  </si>
  <si>
    <t>2025-02-06</t>
  </si>
  <si>
    <t>2522882</t>
  </si>
  <si>
    <t>440</t>
  </si>
  <si>
    <t>2522883</t>
  </si>
  <si>
    <t>441</t>
  </si>
  <si>
    <t>2522911</t>
  </si>
  <si>
    <t>442</t>
  </si>
  <si>
    <t>2522914</t>
  </si>
  <si>
    <t>443</t>
  </si>
  <si>
    <t>2522916</t>
  </si>
  <si>
    <t>444</t>
  </si>
  <si>
    <t>2522918</t>
  </si>
  <si>
    <t>445</t>
  </si>
  <si>
    <t>2522927</t>
  </si>
  <si>
    <t>446</t>
  </si>
  <si>
    <t>2522928</t>
  </si>
  <si>
    <t>447</t>
  </si>
  <si>
    <t>2522995</t>
  </si>
  <si>
    <t>448</t>
  </si>
  <si>
    <t>2523035</t>
  </si>
  <si>
    <t>449</t>
  </si>
  <si>
    <t>2523036</t>
  </si>
  <si>
    <t>450</t>
  </si>
  <si>
    <t>2523041</t>
  </si>
  <si>
    <t>451</t>
  </si>
  <si>
    <t>2523071</t>
  </si>
  <si>
    <t>452</t>
  </si>
  <si>
    <t>2523092</t>
  </si>
  <si>
    <t>453</t>
  </si>
  <si>
    <t>2523098</t>
  </si>
  <si>
    <t>454</t>
  </si>
  <si>
    <t>2523099</t>
  </si>
  <si>
    <t>455</t>
  </si>
  <si>
    <t>2523100</t>
  </si>
  <si>
    <t>456</t>
  </si>
  <si>
    <t>2523101</t>
  </si>
  <si>
    <t>457</t>
  </si>
  <si>
    <t>2523102</t>
  </si>
  <si>
    <t>458</t>
  </si>
  <si>
    <t>2523124</t>
  </si>
  <si>
    <t>459</t>
  </si>
  <si>
    <t>2523125</t>
  </si>
  <si>
    <t>460</t>
  </si>
  <si>
    <t>2523127</t>
  </si>
  <si>
    <t>462</t>
  </si>
  <si>
    <t>2523128</t>
  </si>
  <si>
    <t>463</t>
  </si>
  <si>
    <t>2523129</t>
  </si>
  <si>
    <t>464</t>
  </si>
  <si>
    <t>2523137</t>
  </si>
  <si>
    <t>465</t>
  </si>
  <si>
    <t>2523138</t>
  </si>
  <si>
    <t>466</t>
  </si>
  <si>
    <t>2523139</t>
  </si>
  <si>
    <t>467</t>
  </si>
  <si>
    <t>2523140</t>
  </si>
  <si>
    <t>468</t>
  </si>
  <si>
    <t>2523141</t>
  </si>
  <si>
    <t>469</t>
  </si>
  <si>
    <t>2025-02-07</t>
  </si>
  <si>
    <t>2523332</t>
  </si>
  <si>
    <t>470</t>
  </si>
  <si>
    <t>2523347</t>
  </si>
  <si>
    <t>471</t>
  </si>
  <si>
    <t>2523360</t>
  </si>
  <si>
    <t>472</t>
  </si>
  <si>
    <t>2523370</t>
  </si>
  <si>
    <t>473</t>
  </si>
  <si>
    <t>2523374</t>
  </si>
  <si>
    <t>474</t>
  </si>
  <si>
    <t>2523375</t>
  </si>
  <si>
    <t>475</t>
  </si>
  <si>
    <t>2523380</t>
  </si>
  <si>
    <t>476</t>
  </si>
  <si>
    <t>2523487</t>
  </si>
  <si>
    <t>477</t>
  </si>
  <si>
    <t>2523496</t>
  </si>
  <si>
    <t>478</t>
  </si>
  <si>
    <t>2523497</t>
  </si>
  <si>
    <t>479</t>
  </si>
  <si>
    <t>2523499</t>
  </si>
  <si>
    <t>480</t>
  </si>
  <si>
    <t>2523510</t>
  </si>
  <si>
    <t>481</t>
  </si>
  <si>
    <t>2523511</t>
  </si>
  <si>
    <t>482</t>
  </si>
  <si>
    <t>2523513</t>
  </si>
  <si>
    <t>483</t>
  </si>
  <si>
    <t>2523700</t>
  </si>
  <si>
    <t>484</t>
  </si>
  <si>
    <t>2523701</t>
  </si>
  <si>
    <t>485</t>
  </si>
  <si>
    <t>2523703</t>
  </si>
  <si>
    <t>486</t>
  </si>
  <si>
    <t>2523704</t>
  </si>
  <si>
    <t>487</t>
  </si>
  <si>
    <t>2523705</t>
  </si>
  <si>
    <t>488</t>
  </si>
  <si>
    <t>2523722</t>
  </si>
  <si>
    <t>489</t>
  </si>
  <si>
    <t>2523723</t>
  </si>
  <si>
    <t>490</t>
  </si>
  <si>
    <t>2523724</t>
  </si>
  <si>
    <t>491</t>
  </si>
  <si>
    <t>2523725</t>
  </si>
  <si>
    <t>492</t>
  </si>
  <si>
    <t>2523726</t>
  </si>
  <si>
    <t>493</t>
  </si>
  <si>
    <t>2523772</t>
  </si>
  <si>
    <t>494</t>
  </si>
  <si>
    <t>2523773</t>
  </si>
  <si>
    <t>495</t>
  </si>
  <si>
    <t>2523774</t>
  </si>
  <si>
    <t>496</t>
  </si>
  <si>
    <t>2523775</t>
  </si>
  <si>
    <t>497</t>
  </si>
  <si>
    <t>2523776</t>
  </si>
  <si>
    <t>498</t>
  </si>
  <si>
    <t>2523790</t>
  </si>
  <si>
    <t>499</t>
  </si>
  <si>
    <t>2523791</t>
  </si>
  <si>
    <t>500</t>
  </si>
  <si>
    <t>2523804</t>
  </si>
  <si>
    <t>501</t>
  </si>
  <si>
    <t>Since 2019, Moldova has faced a worsening energy crisis, driven by escalating natural gas prices and reliance on imports, mainly from Russia and Ukraine. The crisis intensified in 2021 with the global post-pandemic energy market disruptions, further exacerbated by the escalation of hostilities in Ukraine in 2022. These factors drove gas prices to historic highs and fuelled inflation, which peaked at 34.6% in late 2022.  Moldova's heavy dependence on energy imports has left the country highly vulnerable to external shocks, pushing many households into energy poverty, with some spending over 10% of their income on heating and electricity. 
In response, in 2022 the government established the Energy Vulnerability Reduction Fund (EVRF), under Law 241/2022, supported by the European Union and the United Nations Development Programme (UNDP).  The fund aims to alleviate energy poverty through subsidies and energy efficiency measures. Initially providing mainly direct utility bill subsidies, the EVRF transitioned fully to cash-based assistance for the 2024-2025 winter season to enhance accessibility and autonomy for beneficiaries. This includes refugees with legal status and proof of having resided in Moldova for at least eight months in the past 12 months.
Despite impact assessments of the programme during previous seasons having been conducted, the EVRF has not yet been fully evaluated in terms of its inclusivity or long-term impact. In its 2022-2023 and 2023-2024 assessments of the EVRF, UNDP recommended a more integrated approach and improved data governance for the EVRF to ensure its ongoing effectiveness and broader coverage. However, further evaluation of the programme’s impact, especially on refugees, the effectiveness of subsidies in meeting their specific needs, and barriers to accessing compensation, is necessary. Furthermore, perspectives of beneficiaries remain underexplored.
This research aimed to provide actionable insights to key actors, including the Ministry of Labour and Social Protection (MLSP) and stakeholders involved in Moldova’s refugee response, to optimise the design and implementation of the EVRF and complementary winterisation programmes. By investigating barriers to access, examining the differential impacts of the EVRF on host and refugee populations, and comparing coping strategies employed by beneficiaries and non-beneficiaries during this winter, the research sought to improve the understanding of how the compensation influences resource allocation, energy consumption behaviours, and social cohesion.</t>
  </si>
  <si>
    <t>Table of Content</t>
  </si>
  <si>
    <t>num_samples</t>
  </si>
  <si>
    <t>Hosted by another family (relatives or not) - paying all or some of the utilities</t>
  </si>
  <si>
    <t>Own</t>
  </si>
  <si>
    <t>Own and live together with tenants</t>
  </si>
  <si>
    <t>Rent and live separate from the owner/landlord</t>
  </si>
  <si>
    <t>Rent and live together with the owner/landlord</t>
  </si>
  <si>
    <t>7.1%</t>
  </si>
  <si>
    <t>81.8%</t>
  </si>
  <si>
    <t>1.0%</t>
  </si>
  <si>
    <t>9.6%</t>
  </si>
  <si>
    <t>0.5%</t>
  </si>
  <si>
    <t>18.2%</t>
  </si>
  <si>
    <t>0.0%</t>
  </si>
  <si>
    <t>73.7%</t>
  </si>
  <si>
    <t>10.8%</t>
  </si>
  <si>
    <t>56.9%</t>
  </si>
  <si>
    <t>0.7%</t>
  </si>
  <si>
    <t>31.0%</t>
  </si>
  <si>
    <t>91.0%</t>
  </si>
  <si>
    <t>0.6%</t>
  </si>
  <si>
    <t>8.5%</t>
  </si>
  <si>
    <t>26.7%</t>
  </si>
  <si>
    <t>6.7%</t>
  </si>
  <si>
    <t>0.8%</t>
  </si>
  <si>
    <t>64.2%</t>
  </si>
  <si>
    <t>1.7%</t>
  </si>
  <si>
    <t>12.9%</t>
  </si>
  <si>
    <t>72.9%</t>
  </si>
  <si>
    <t>1.2%</t>
  </si>
  <si>
    <t>10.6%</t>
  </si>
  <si>
    <t>2.4%</t>
  </si>
  <si>
    <t>9.9%</t>
  </si>
  <si>
    <t>50.5%</t>
  </si>
  <si>
    <t>39.2%</t>
  </si>
  <si>
    <t>mean</t>
  </si>
  <si>
    <t>median</t>
  </si>
  <si>
    <t>min</t>
  </si>
  <si>
    <t>max</t>
  </si>
  <si>
    <t>total</t>
  </si>
  <si>
    <t>Autonomous (individual) system - electricity based</t>
  </si>
  <si>
    <t>Autonomous (individual) system - gas based</t>
  </si>
  <si>
    <t>Central heating system</t>
  </si>
  <si>
    <t>Solid fuel stove or fireplace</t>
  </si>
  <si>
    <t>Space heaters/ACs</t>
  </si>
  <si>
    <t>11%-25%</t>
  </si>
  <si>
    <t>26%-50%</t>
  </si>
  <si>
    <t>24.5%</t>
  </si>
  <si>
    <t>44.8%</t>
  </si>
  <si>
    <t>30.7%</t>
  </si>
  <si>
    <t>23.2%</t>
  </si>
  <si>
    <t>38.9%</t>
  </si>
  <si>
    <t>37.9%</t>
  </si>
  <si>
    <t>24.0%</t>
  </si>
  <si>
    <t>42.9%</t>
  </si>
  <si>
    <t>33.1%</t>
  </si>
  <si>
    <t>35.7%</t>
  </si>
  <si>
    <t>28.6%</t>
  </si>
  <si>
    <t>24.2%</t>
  </si>
  <si>
    <t>45.5%</t>
  </si>
  <si>
    <t>30.3%</t>
  </si>
  <si>
    <t>100.0%</t>
  </si>
  <si>
    <t>20.9%</t>
  </si>
  <si>
    <t>39.6%</t>
  </si>
  <si>
    <t>60.0%</t>
  </si>
  <si>
    <t>40.0%</t>
  </si>
  <si>
    <t>14.9%</t>
  </si>
  <si>
    <t>27.2%</t>
  </si>
  <si>
    <t>57.9%</t>
  </si>
  <si>
    <t>25.0%</t>
  </si>
  <si>
    <t>60.2%</t>
  </si>
  <si>
    <t>14.8%</t>
  </si>
  <si>
    <t>33.3%</t>
  </si>
  <si>
    <t>47.4%</t>
  </si>
  <si>
    <t>19.2%</t>
  </si>
  <si>
    <t>50.0%</t>
  </si>
  <si>
    <t>66.7%</t>
  </si>
  <si>
    <t>13.8%</t>
  </si>
  <si>
    <t>29.2%</t>
  </si>
  <si>
    <t>20.0%</t>
  </si>
  <si>
    <t>64.6%</t>
  </si>
  <si>
    <t>15.4%</t>
  </si>
  <si>
    <t>24.7%</t>
  </si>
  <si>
    <t>44.9%</t>
  </si>
  <si>
    <t>34.4%</t>
  </si>
  <si>
    <t>53.1%</t>
  </si>
  <si>
    <t>12.5%</t>
  </si>
  <si>
    <t>22.5%</t>
  </si>
  <si>
    <t>37.5%</t>
  </si>
  <si>
    <t>27.8%</t>
  </si>
  <si>
    <t>20.6%</t>
  </si>
  <si>
    <t>49.2%</t>
  </si>
  <si>
    <t>30.2%</t>
  </si>
  <si>
    <t>24.8%</t>
  </si>
  <si>
    <t>41.0%</t>
  </si>
  <si>
    <t>34.2%</t>
  </si>
  <si>
    <t>30.0%</t>
  </si>
  <si>
    <t>31.6%</t>
  </si>
  <si>
    <t>36.8%</t>
  </si>
  <si>
    <t>36.4%</t>
  </si>
  <si>
    <t>31.8%</t>
  </si>
  <si>
    <t>13.5%</t>
  </si>
  <si>
    <t>37.8%</t>
  </si>
  <si>
    <t>48.6%</t>
  </si>
  <si>
    <t>38.1%</t>
  </si>
  <si>
    <t>14.7%</t>
  </si>
  <si>
    <t>54.4%</t>
  </si>
  <si>
    <t>30.9%</t>
  </si>
  <si>
    <t>29.3%</t>
  </si>
  <si>
    <t>48.8%</t>
  </si>
  <si>
    <t>22.0%</t>
  </si>
  <si>
    <t>26.3%</t>
  </si>
  <si>
    <t>40.8%</t>
  </si>
  <si>
    <t>32.9%</t>
  </si>
  <si>
    <t>25.4%</t>
  </si>
  <si>
    <t>42.7%</t>
  </si>
  <si>
    <t>31.9%</t>
  </si>
  <si>
    <t>43.6%</t>
  </si>
  <si>
    <t>23.7%</t>
  </si>
  <si>
    <t>43.3%</t>
  </si>
  <si>
    <t>33.0%</t>
  </si>
  <si>
    <t>29.4%</t>
  </si>
  <si>
    <t>35.3%</t>
  </si>
  <si>
    <t>18.6%</t>
  </si>
  <si>
    <t>45.8%</t>
  </si>
  <si>
    <t>35.6%</t>
  </si>
  <si>
    <t>26.9%</t>
  </si>
  <si>
    <t>31.3%</t>
  </si>
  <si>
    <t>56.2%</t>
  </si>
  <si>
    <t>14.3%</t>
  </si>
  <si>
    <t>39.5%</t>
  </si>
  <si>
    <t>21.1%</t>
  </si>
  <si>
    <t>27.7%</t>
  </si>
  <si>
    <t>26.5%</t>
  </si>
  <si>
    <t>18.4%</t>
  </si>
  <si>
    <t>52.6%</t>
  </si>
  <si>
    <t>28.9%</t>
  </si>
  <si>
    <t>17.8%</t>
  </si>
  <si>
    <t>39.8%</t>
  </si>
  <si>
    <t>42.4%</t>
  </si>
  <si>
    <t>32.4%</t>
  </si>
  <si>
    <t>38.2%</t>
  </si>
  <si>
    <t>32.5%</t>
  </si>
  <si>
    <t>35.8%</t>
  </si>
  <si>
    <t>54.1%</t>
  </si>
  <si>
    <t>32.1%</t>
  </si>
  <si>
    <t>12.1%</t>
  </si>
  <si>
    <t>57.6%</t>
  </si>
  <si>
    <t>16.9%</t>
  </si>
  <si>
    <t>59.4%</t>
  </si>
  <si>
    <t>15.6%</t>
  </si>
  <si>
    <t>53.9%</t>
  </si>
  <si>
    <t>31.7%</t>
  </si>
  <si>
    <t>14.4%</t>
  </si>
  <si>
    <t>64.1%</t>
  </si>
  <si>
    <t>18.5%</t>
  </si>
  <si>
    <t>17.4%</t>
  </si>
  <si>
    <t>68.1%</t>
  </si>
  <si>
    <t>24.4%</t>
  </si>
  <si>
    <t>7.6%</t>
  </si>
  <si>
    <t>27.0%</t>
  </si>
  <si>
    <t>19.1%</t>
  </si>
  <si>
    <t>46.3%</t>
  </si>
  <si>
    <t>23.8%</t>
  </si>
  <si>
    <t>71.6%</t>
  </si>
  <si>
    <t>22.4%</t>
  </si>
  <si>
    <t>6.0%</t>
  </si>
  <si>
    <t>48.5%</t>
  </si>
  <si>
    <t>25.8%</t>
  </si>
  <si>
    <t>61.3%</t>
  </si>
  <si>
    <t>29.0%</t>
  </si>
  <si>
    <t>9.7%</t>
  </si>
  <si>
    <t>46.2%</t>
  </si>
  <si>
    <t>23.1%</t>
  </si>
  <si>
    <t>30.8%</t>
  </si>
  <si>
    <t>34.1%</t>
  </si>
  <si>
    <t>19.5%</t>
  </si>
  <si>
    <t>44.4%</t>
  </si>
  <si>
    <t>5.6%</t>
  </si>
  <si>
    <t>53.7%</t>
  </si>
  <si>
    <t>16.4%</t>
  </si>
  <si>
    <t>29.9%</t>
  </si>
  <si>
    <t>25.2%</t>
  </si>
  <si>
    <t>15.1%</t>
  </si>
  <si>
    <t>67.7%</t>
  </si>
  <si>
    <t>22.6%</t>
  </si>
  <si>
    <t>69.6%</t>
  </si>
  <si>
    <t>28.3%</t>
  </si>
  <si>
    <t>2.2%</t>
  </si>
  <si>
    <t>61.5%</t>
  </si>
  <si>
    <t>20.5%</t>
  </si>
  <si>
    <t>17.9%</t>
  </si>
  <si>
    <t>47.6%</t>
  </si>
  <si>
    <t>55.1%</t>
  </si>
  <si>
    <t>15.9%</t>
  </si>
  <si>
    <t>52.3%</t>
  </si>
  <si>
    <t>13.6%</t>
  </si>
  <si>
    <t>56.6%</t>
  </si>
  <si>
    <t>14.5%</t>
  </si>
  <si>
    <t>59.6%</t>
  </si>
  <si>
    <t>25.9%</t>
  </si>
  <si>
    <t>45.0%</t>
  </si>
  <si>
    <t>52.5%</t>
  </si>
  <si>
    <t>16.7%</t>
  </si>
  <si>
    <t>62.0%</t>
  </si>
  <si>
    <t>25.3%</t>
  </si>
  <si>
    <t>12.7%</t>
  </si>
  <si>
    <t>10.5%</t>
  </si>
  <si>
    <t>42.1%</t>
  </si>
  <si>
    <t>62.5%</t>
  </si>
  <si>
    <t>60.5%</t>
  </si>
  <si>
    <t>21.4%</t>
  </si>
  <si>
    <t>65.1%</t>
  </si>
  <si>
    <t>21.7%</t>
  </si>
  <si>
    <t>13.3%</t>
  </si>
  <si>
    <t>51.6%</t>
  </si>
  <si>
    <t>30.6%</t>
  </si>
  <si>
    <t>17.7%</t>
  </si>
  <si>
    <t>54.3%</t>
  </si>
  <si>
    <t>25.7%</t>
  </si>
  <si>
    <t>56.8%</t>
  </si>
  <si>
    <t>17.3%</t>
  </si>
  <si>
    <t>70.6%</t>
  </si>
  <si>
    <t>17.6%</t>
  </si>
  <si>
    <t>11.8%</t>
  </si>
  <si>
    <t>50.6%</t>
  </si>
  <si>
    <t>23.5%</t>
  </si>
  <si>
    <t>Dissatisfied</t>
  </si>
  <si>
    <t>Neutral</t>
  </si>
  <si>
    <t>Satisfied</t>
  </si>
  <si>
    <t>Very dissatisfied</t>
  </si>
  <si>
    <t>Very satisfied</t>
  </si>
  <si>
    <t>16.2%</t>
  </si>
  <si>
    <t>3.0%</t>
  </si>
  <si>
    <t>5.1%</t>
  </si>
  <si>
    <t>13.1%</t>
  </si>
  <si>
    <t>32.0%</t>
  </si>
  <si>
    <t>43.1%</t>
  </si>
  <si>
    <t>8.8%</t>
  </si>
  <si>
    <t>11.5%</t>
  </si>
  <si>
    <t>33.6%</t>
  </si>
  <si>
    <t>44.3%</t>
  </si>
  <si>
    <t>1.6%</t>
  </si>
  <si>
    <t>9.0%</t>
  </si>
  <si>
    <t>11.4%</t>
  </si>
  <si>
    <t>29.1%</t>
  </si>
  <si>
    <t>46.8%</t>
  </si>
  <si>
    <t>5.3%</t>
  </si>
  <si>
    <t>16.1%</t>
  </si>
  <si>
    <t>35.5%</t>
  </si>
  <si>
    <t>15.0%</t>
  </si>
  <si>
    <t>35.0%</t>
  </si>
  <si>
    <t>2.5%</t>
  </si>
  <si>
    <t>10.0%</t>
  </si>
  <si>
    <t>14.2%</t>
  </si>
  <si>
    <t>52.8%</t>
  </si>
  <si>
    <t>2.8%</t>
  </si>
  <si>
    <t>7.5%</t>
  </si>
  <si>
    <t>3.3%</t>
  </si>
  <si>
    <t>56.7%</t>
  </si>
  <si>
    <t>17.1%</t>
  </si>
  <si>
    <t>5.7%</t>
  </si>
  <si>
    <t>47.1%</t>
  </si>
  <si>
    <t>4.7%</t>
  </si>
  <si>
    <t>16.0%</t>
  </si>
  <si>
    <t>38.7%</t>
  </si>
  <si>
    <t>1.3%</t>
  </si>
  <si>
    <t>4.0%</t>
  </si>
  <si>
    <t>42.0%</t>
  </si>
  <si>
    <t>&lt;NA&gt;</t>
  </si>
  <si>
    <t>13.0%</t>
  </si>
  <si>
    <t>34.8%</t>
  </si>
  <si>
    <t>40.6%</t>
  </si>
  <si>
    <t>7.2%</t>
  </si>
  <si>
    <t>4.3%</t>
  </si>
  <si>
    <t>12.2%</t>
  </si>
  <si>
    <t>36.6%</t>
  </si>
  <si>
    <t>6.5%</t>
  </si>
  <si>
    <t>13.7%</t>
  </si>
  <si>
    <t>45.3%</t>
  </si>
  <si>
    <t>2.1%</t>
  </si>
  <si>
    <t>26.2%</t>
  </si>
  <si>
    <t>9.5%</t>
  </si>
  <si>
    <t>11.1%</t>
  </si>
  <si>
    <t>10.4%</t>
  </si>
  <si>
    <t>28.4%</t>
  </si>
  <si>
    <t>49.3%</t>
  </si>
  <si>
    <t>1.5%</t>
  </si>
  <si>
    <t>10.9%</t>
  </si>
  <si>
    <t>30.4%</t>
  </si>
  <si>
    <t>45.7%</t>
  </si>
  <si>
    <t>8.7%</t>
  </si>
  <si>
    <t>25.6%</t>
  </si>
  <si>
    <t>10.3%</t>
  </si>
  <si>
    <t>23.9%</t>
  </si>
  <si>
    <t>59.2%</t>
  </si>
  <si>
    <t>6.8%</t>
  </si>
  <si>
    <t>38.6%</t>
  </si>
  <si>
    <t>4.5%</t>
  </si>
  <si>
    <t>3.9%</t>
  </si>
  <si>
    <t>11.7%</t>
  </si>
  <si>
    <t>45.1%</t>
  </si>
  <si>
    <t>3.1%</t>
  </si>
  <si>
    <t>8.2%</t>
  </si>
  <si>
    <t>2.9%</t>
  </si>
  <si>
    <t>9.3%</t>
  </si>
  <si>
    <t>5.9%</t>
  </si>
  <si>
    <t>64.3%</t>
  </si>
  <si>
    <t>15.5%</t>
  </si>
  <si>
    <t>41.7%</t>
  </si>
  <si>
    <t>11.9%</t>
  </si>
  <si>
    <t>28.2%</t>
  </si>
  <si>
    <t>7.7%</t>
  </si>
  <si>
    <t>12.8%</t>
  </si>
  <si>
    <t>12.0%</t>
  </si>
  <si>
    <t>29.6%</t>
  </si>
  <si>
    <t>8.0%</t>
  </si>
  <si>
    <t>34.3%</t>
  </si>
  <si>
    <t>38.5%</t>
  </si>
  <si>
    <t>39.1%</t>
  </si>
  <si>
    <t>3.2%</t>
  </si>
  <si>
    <t>7.9%</t>
  </si>
  <si>
    <t>13.2%</t>
  </si>
  <si>
    <t>8.9%</t>
  </si>
  <si>
    <t>37.6%</t>
  </si>
  <si>
    <t>29.7%</t>
  </si>
  <si>
    <t>43.4%</t>
  </si>
  <si>
    <t>3.8%</t>
  </si>
  <si>
    <t>Apartment</t>
  </si>
  <si>
    <t>Part of a house (the unit is located in a house with at least one other unit)</t>
  </si>
  <si>
    <t>Private house (the unit is a standalone home)</t>
  </si>
  <si>
    <t>49.0%</t>
  </si>
  <si>
    <t>68.7%</t>
  </si>
  <si>
    <t>27.3%</t>
  </si>
  <si>
    <t>55.6%</t>
  </si>
  <si>
    <t>42.8%</t>
  </si>
  <si>
    <t>94.1%</t>
  </si>
  <si>
    <t>75.5%</t>
  </si>
  <si>
    <t>22.2%</t>
  </si>
  <si>
    <t>Do not know</t>
  </si>
  <si>
    <t>Energy-saving education programs to help households reduce consumption</t>
  </si>
  <si>
    <t>Flexible payment plans or deferred payment options for energy bills</t>
  </si>
  <si>
    <t>Increased assistance with energy-efficient home improvements (eg, insulation, windows, heating systems)</t>
  </si>
  <si>
    <t>Other (please specify)</t>
  </si>
  <si>
    <t>Prefer not to answer</t>
  </si>
  <si>
    <t>Support for renewable energy solutions (eg, solar panels, wind energy systems)</t>
  </si>
  <si>
    <t>Support to access alternative heating sources (eg, firewood, pellets)</t>
  </si>
  <si>
    <t>29.8%</t>
  </si>
  <si>
    <t>6.1%</t>
  </si>
  <si>
    <t>6.6%</t>
  </si>
  <si>
    <t>38.4%</t>
  </si>
  <si>
    <t>2.0%</t>
  </si>
  <si>
    <t>32.7%</t>
  </si>
  <si>
    <t>5.4%</t>
  </si>
  <si>
    <t>23.6%</t>
  </si>
  <si>
    <t>47.8%</t>
  </si>
  <si>
    <t>4.8%</t>
  </si>
  <si>
    <t>1.4%</t>
  </si>
  <si>
    <t>4.2%</t>
  </si>
  <si>
    <t>40.9%</t>
  </si>
  <si>
    <t>2.3%</t>
  </si>
  <si>
    <t>19.7%</t>
  </si>
  <si>
    <t>37.0%</t>
  </si>
  <si>
    <t>5.8%</t>
  </si>
  <si>
    <t>3.5%</t>
  </si>
  <si>
    <t>5.0%</t>
  </si>
  <si>
    <t>17.5%</t>
  </si>
  <si>
    <t>27.5%</t>
  </si>
  <si>
    <t>42.5%</t>
  </si>
  <si>
    <t>41.8%</t>
  </si>
  <si>
    <t>50.7%</t>
  </si>
  <si>
    <t>21.5%</t>
  </si>
  <si>
    <t>20.4%</t>
  </si>
  <si>
    <t>22.7%</t>
  </si>
  <si>
    <t>63.6%</t>
  </si>
  <si>
    <t>34.6%</t>
  </si>
  <si>
    <t>27.1%</t>
  </si>
  <si>
    <t>51.8%</t>
  </si>
  <si>
    <t>36.3%</t>
  </si>
  <si>
    <t>12.3%</t>
  </si>
  <si>
    <t>Affected sleep quality or comfort</t>
  </si>
  <si>
    <t>Caused some discomfort (eg. feeling chilly but not sick)</t>
  </si>
  <si>
    <t>Increased instances of colds, flu, or respiratory issues</t>
  </si>
  <si>
    <t>Increased joint pain or soreness (eg. arthritis)</t>
  </si>
  <si>
    <t>65.4%</t>
  </si>
  <si>
    <t>57.1%</t>
  </si>
  <si>
    <t>60.7%</t>
  </si>
  <si>
    <t>39.3%</t>
  </si>
  <si>
    <t>72.7%</t>
  </si>
  <si>
    <t>70.0%</t>
  </si>
  <si>
    <t>83.3%</t>
  </si>
  <si>
    <t>81.0%</t>
  </si>
  <si>
    <t>19.0%</t>
  </si>
  <si>
    <t>43.5%</t>
  </si>
  <si>
    <t>56.5%</t>
  </si>
  <si>
    <t>78.6%</t>
  </si>
  <si>
    <t>59.3%</t>
  </si>
  <si>
    <t>40.7%</t>
  </si>
  <si>
    <t>58.3%</t>
  </si>
  <si>
    <t>54.5%</t>
  </si>
  <si>
    <t>75.0%</t>
  </si>
  <si>
    <t>63.5%</t>
  </si>
  <si>
    <t>36.5%</t>
  </si>
  <si>
    <t>63.2%</t>
  </si>
  <si>
    <t>Lack of support or guidance during the application</t>
  </si>
  <si>
    <t>The application is too complicated because we needed to apply through a social worker</t>
  </si>
  <si>
    <t>The application process is too complex</t>
  </si>
  <si>
    <t>The application took too long to complete</t>
  </si>
  <si>
    <t>The process was stressful or time-consuming</t>
  </si>
  <si>
    <t>The selection process was not fair or transparent</t>
  </si>
  <si>
    <t>The website or application platform is confusing</t>
  </si>
  <si>
    <t>Too much information needs to be filled in the application</t>
  </si>
  <si>
    <t>Unclear eligibility criteria</t>
  </si>
  <si>
    <t>70.7%</t>
  </si>
  <si>
    <t>39.4%</t>
  </si>
  <si>
    <t>0.3%</t>
  </si>
  <si>
    <t>67.0%</t>
  </si>
  <si>
    <t>27.9%</t>
  </si>
  <si>
    <t>62.4%</t>
  </si>
  <si>
    <t>Social worker</t>
  </si>
  <si>
    <t>67.4%</t>
  </si>
  <si>
    <t>71.4%</t>
  </si>
  <si>
    <t>71.8%</t>
  </si>
  <si>
    <t>43.2%</t>
  </si>
  <si>
    <t>67.1%</t>
  </si>
  <si>
    <t>0.4%</t>
  </si>
  <si>
    <t>67.3%</t>
  </si>
  <si>
    <t>27.6%</t>
  </si>
  <si>
    <t>65.0%</t>
  </si>
  <si>
    <t>64.7%</t>
  </si>
  <si>
    <t>74.0%</t>
  </si>
  <si>
    <t>18.3%</t>
  </si>
  <si>
    <t>1.1%</t>
  </si>
  <si>
    <t>58.7%</t>
  </si>
  <si>
    <t>40.2%</t>
  </si>
  <si>
    <t>69.0%</t>
  </si>
  <si>
    <t>62.7%</t>
  </si>
  <si>
    <t>89.5%</t>
  </si>
  <si>
    <t>74.1%</t>
  </si>
  <si>
    <t>35.4%</t>
  </si>
  <si>
    <t>66.3%</t>
  </si>
  <si>
    <t>80.0%</t>
  </si>
  <si>
    <t>76.5%</t>
  </si>
  <si>
    <t>76.2%</t>
  </si>
  <si>
    <t>77.3%</t>
  </si>
  <si>
    <t>88.2%</t>
  </si>
  <si>
    <t>31.1%</t>
  </si>
  <si>
    <t>55.0%</t>
  </si>
  <si>
    <t>65.7%</t>
  </si>
  <si>
    <t>55.3%</t>
  </si>
  <si>
    <t>24.1%</t>
  </si>
  <si>
    <t>1 HH member</t>
  </si>
  <si>
    <t>2-4 HH members</t>
  </si>
  <si>
    <t>5 or more HH members</t>
  </si>
  <si>
    <t>2 HH members</t>
  </si>
  <si>
    <t>3 or more HH members</t>
  </si>
  <si>
    <t>11.6%</t>
  </si>
  <si>
    <t>8.6%</t>
  </si>
  <si>
    <t>36.9%</t>
  </si>
  <si>
    <t>9.1%</t>
  </si>
  <si>
    <t>47.5%</t>
  </si>
  <si>
    <t>14.1%</t>
  </si>
  <si>
    <t>40.4%</t>
  </si>
  <si>
    <t>6.4%</t>
  </si>
  <si>
    <t>77.8%</t>
  </si>
  <si>
    <t>19.4%</t>
  </si>
  <si>
    <t>13.9%</t>
  </si>
  <si>
    <t>5.2%</t>
  </si>
  <si>
    <t>7.0%</t>
  </si>
  <si>
    <t>32.3%</t>
  </si>
  <si>
    <t>15.2%</t>
  </si>
  <si>
    <t>2.6%</t>
  </si>
  <si>
    <t>52.4%</t>
  </si>
  <si>
    <t>46.5%</t>
  </si>
  <si>
    <t>15.8%</t>
  </si>
  <si>
    <t>40.1%</t>
  </si>
  <si>
    <t>11.3%</t>
  </si>
  <si>
    <t>22.9%</t>
  </si>
  <si>
    <t>41.2%</t>
  </si>
  <si>
    <t>51.0%</t>
  </si>
  <si>
    <t>6.3%</t>
  </si>
  <si>
    <t>19.8%</t>
  </si>
  <si>
    <t>Community leaders / public authorities</t>
  </si>
  <si>
    <t>Family/friends/community members</t>
  </si>
  <si>
    <t>NGOs</t>
  </si>
  <si>
    <t>Online platforms (other than social media, including news platforms)</t>
  </si>
  <si>
    <t>Social media (Facebook, Instagram, Twitter, or Telegram, Viber, WhatsApp groups)</t>
  </si>
  <si>
    <t>TV</t>
  </si>
  <si>
    <t>35.9%</t>
  </si>
  <si>
    <t>17.2%</t>
  </si>
  <si>
    <t>8.1%</t>
  </si>
  <si>
    <t>69.7%</t>
  </si>
  <si>
    <t>4.4%</t>
  </si>
  <si>
    <t>49.5%</t>
  </si>
  <si>
    <t>6.9%</t>
  </si>
  <si>
    <t>3.4%</t>
  </si>
  <si>
    <t>57.7%</t>
  </si>
  <si>
    <t>49.4%</t>
  </si>
  <si>
    <t>54.7%</t>
  </si>
  <si>
    <t>Access to electricity, gas or heating</t>
  </si>
  <si>
    <t>Access to healthcare services and medication</t>
  </si>
  <si>
    <t>Access to hygiene products</t>
  </si>
  <si>
    <t>Access to necessary technology</t>
  </si>
  <si>
    <t>Access to public transportation</t>
  </si>
  <si>
    <t>Access to sufficient and nutritious food</t>
  </si>
  <si>
    <t>Adequate housing conditions</t>
  </si>
  <si>
    <t>Appropriate clothing for different weather conditions</t>
  </si>
  <si>
    <t>57.3%</t>
  </si>
  <si>
    <t>47.9%</t>
  </si>
  <si>
    <t>0.9%</t>
  </si>
  <si>
    <t>58.9%</t>
  </si>
  <si>
    <t>48.2%</t>
  </si>
  <si>
    <t>1.8%</t>
  </si>
  <si>
    <t>57.8%</t>
  </si>
  <si>
    <t>11.0%</t>
  </si>
  <si>
    <t>48.0%</t>
  </si>
  <si>
    <t>20.8%</t>
  </si>
  <si>
    <t>4.6%</t>
  </si>
  <si>
    <t>31.4%</t>
  </si>
  <si>
    <t>65.2%</t>
  </si>
  <si>
    <t>52.2%</t>
  </si>
  <si>
    <t>76.9%</t>
  </si>
  <si>
    <t>53.8%</t>
  </si>
  <si>
    <t>43.8%</t>
  </si>
  <si>
    <t>6.2%</t>
  </si>
  <si>
    <t>31.2%</t>
  </si>
  <si>
    <t>56.0%</t>
  </si>
  <si>
    <t>44.2%</t>
  </si>
  <si>
    <t>14.0%</t>
  </si>
  <si>
    <t>60.3%</t>
  </si>
  <si>
    <t>87.0%</t>
  </si>
  <si>
    <t>21.6%</t>
  </si>
  <si>
    <t>10.2%</t>
  </si>
  <si>
    <t>26.1%</t>
  </si>
  <si>
    <t>46.0%</t>
  </si>
  <si>
    <t>52.0%</t>
  </si>
  <si>
    <t>67.6%</t>
  </si>
  <si>
    <t>60.8%</t>
  </si>
  <si>
    <t>2.7%</t>
  </si>
  <si>
    <t>52.7%</t>
  </si>
  <si>
    <t>20.3%</t>
  </si>
  <si>
    <t>4.1%</t>
  </si>
  <si>
    <t>49.1%</t>
  </si>
  <si>
    <t>19.3%</t>
  </si>
  <si>
    <t>81.4%</t>
  </si>
  <si>
    <t>62.8%</t>
  </si>
  <si>
    <t>58.2%</t>
  </si>
  <si>
    <t>10.1%</t>
  </si>
  <si>
    <t>40.5%</t>
  </si>
  <si>
    <t>22.8%</t>
  </si>
  <si>
    <t>8.3%</t>
  </si>
  <si>
    <t>18.8%</t>
  </si>
  <si>
    <t>87.5%</t>
  </si>
  <si>
    <t>85.7%</t>
  </si>
  <si>
    <t>44.7%</t>
  </si>
  <si>
    <t>21.9%</t>
  </si>
  <si>
    <t>68.8%</t>
  </si>
  <si>
    <t>9.4%</t>
  </si>
  <si>
    <t>57.4%</t>
  </si>
  <si>
    <t>1.9%</t>
  </si>
  <si>
    <t>21.0%</t>
  </si>
  <si>
    <t>3.7%</t>
  </si>
  <si>
    <t>34.7%</t>
  </si>
  <si>
    <t>55.4%</t>
  </si>
  <si>
    <t>55.7%</t>
  </si>
  <si>
    <t>7.4%</t>
  </si>
  <si>
    <t>16.5%</t>
  </si>
  <si>
    <t>21.8%</t>
  </si>
  <si>
    <t>47.3%</t>
  </si>
  <si>
    <t>Yes, all of them</t>
  </si>
  <si>
    <t>Yes, some of them</t>
  </si>
  <si>
    <t>82.8%</t>
  </si>
  <si>
    <t>15.7%</t>
  </si>
  <si>
    <t>81.1%</t>
  </si>
  <si>
    <t>76.1%</t>
  </si>
  <si>
    <t>81.7%</t>
  </si>
  <si>
    <t>74.2%</t>
  </si>
  <si>
    <t>94.7%</t>
  </si>
  <si>
    <t>91.3%</t>
  </si>
  <si>
    <t>79.5%</t>
  </si>
  <si>
    <t>78.9%</t>
  </si>
  <si>
    <t>81.3%</t>
  </si>
  <si>
    <t>80.7%</t>
  </si>
  <si>
    <t>74.4%</t>
  </si>
  <si>
    <t>87.7%</t>
  </si>
  <si>
    <t>83.6%</t>
  </si>
  <si>
    <t>13.4%</t>
  </si>
  <si>
    <t>74.6%</t>
  </si>
  <si>
    <t>78.5%</t>
  </si>
  <si>
    <t>87.9%</t>
  </si>
  <si>
    <t>82.3%</t>
  </si>
  <si>
    <t>81.2%</t>
  </si>
  <si>
    <t>82.2%</t>
  </si>
  <si>
    <t>78.3%</t>
  </si>
  <si>
    <t>10.7%</t>
  </si>
  <si>
    <t>75.9%</t>
  </si>
  <si>
    <t>97.4%</t>
  </si>
  <si>
    <t>85.5%</t>
  </si>
  <si>
    <t>79.7%</t>
  </si>
  <si>
    <t>18.7%</t>
  </si>
  <si>
    <t>92.3%</t>
  </si>
  <si>
    <t>95.7%</t>
  </si>
  <si>
    <t>83.9%</t>
  </si>
  <si>
    <t>86.0%</t>
  </si>
  <si>
    <t>80.6%</t>
  </si>
  <si>
    <t>84.3%</t>
  </si>
  <si>
    <t>12.6%</t>
  </si>
  <si>
    <t>58.1%</t>
  </si>
  <si>
    <t>87.1%</t>
  </si>
  <si>
    <t>78.8%</t>
  </si>
  <si>
    <t>17.0%</t>
  </si>
  <si>
    <t>85.9%</t>
  </si>
  <si>
    <t>88.9%</t>
  </si>
  <si>
    <t>86.9%</t>
  </si>
  <si>
    <t>95.2%</t>
  </si>
  <si>
    <t>84.5%</t>
  </si>
  <si>
    <t>90.9%</t>
  </si>
  <si>
    <t>82.9%</t>
  </si>
  <si>
    <t>87.2%</t>
  </si>
  <si>
    <t>85.0%</t>
  </si>
  <si>
    <t>89.1%</t>
  </si>
  <si>
    <t>9.2%</t>
  </si>
  <si>
    <t>91.4%</t>
  </si>
  <si>
    <t>92.5%</t>
  </si>
  <si>
    <t>84.9%</t>
  </si>
  <si>
    <t>89.4%</t>
  </si>
  <si>
    <t>81.6%</t>
  </si>
  <si>
    <t>96.9%</t>
  </si>
  <si>
    <t>84.6%</t>
  </si>
  <si>
    <t>88.0%</t>
  </si>
  <si>
    <t>89.3%</t>
  </si>
  <si>
    <t>84.8%</t>
  </si>
  <si>
    <t>86.1%</t>
  </si>
  <si>
    <t>87.8%</t>
  </si>
  <si>
    <t>90.0%</t>
  </si>
  <si>
    <t>84.0%</t>
  </si>
  <si>
    <t>92.9%</t>
  </si>
  <si>
    <t>91.7%</t>
  </si>
  <si>
    <t>93.6%</t>
  </si>
  <si>
    <t>90.6%</t>
  </si>
  <si>
    <t>85.4%</t>
  </si>
  <si>
    <t>75.1%</t>
  </si>
  <si>
    <t>73.6%</t>
  </si>
  <si>
    <t>79.6%</t>
  </si>
  <si>
    <t>87.3%</t>
  </si>
  <si>
    <t>77.6%</t>
  </si>
  <si>
    <t>23.3%</t>
  </si>
  <si>
    <t>73.9%</t>
  </si>
  <si>
    <t>79.2%</t>
  </si>
  <si>
    <t>Allowing all applications to be submitted online without the need for a social worker</t>
  </si>
  <si>
    <t>Creating an easier process for those living in rental properties (eg, ensuring landlords do not receive the compensation instead of tenants)</t>
  </si>
  <si>
    <t>Improving communication about the status of the application</t>
  </si>
  <si>
    <t>Increasing the amount of compensation offered</t>
  </si>
  <si>
    <t>Making the program available to a broader range of households, including those with slightly higher income or other criteria</t>
  </si>
  <si>
    <t>Offering assistance in multiple languages</t>
  </si>
  <si>
    <t>Offering home visits or community outreach to assist with the application</t>
  </si>
  <si>
    <t>Providing more clear and detailed information about eligibility criteria</t>
  </si>
  <si>
    <t>Providing more clear and detailed information on how the calculations are done</t>
  </si>
  <si>
    <t>Providing more support or guidance during the application process</t>
  </si>
  <si>
    <t>76.8%</t>
  </si>
  <si>
    <t>28.8%</t>
  </si>
  <si>
    <t>20.2%</t>
  </si>
  <si>
    <t>60.6%</t>
  </si>
  <si>
    <t>Humanitarian Protection</t>
  </si>
  <si>
    <t>Moldovan citizenship</t>
  </si>
  <si>
    <t>Permanent residency</t>
  </si>
  <si>
    <t>Refugee status</t>
  </si>
  <si>
    <t>Temporary Protection</t>
  </si>
  <si>
    <t>Temporary residency</t>
  </si>
  <si>
    <t>22.3%</t>
  </si>
  <si>
    <t>73.5%</t>
  </si>
  <si>
    <t>11.2%</t>
  </si>
  <si>
    <t>16.3%</t>
  </si>
  <si>
    <t>7.8%</t>
  </si>
  <si>
    <t>4.9%</t>
  </si>
  <si>
    <t>67.9%</t>
  </si>
  <si>
    <t>70.8%</t>
  </si>
  <si>
    <t>77.4%</t>
  </si>
  <si>
    <t>48.4%</t>
  </si>
  <si>
    <t>84.2%</t>
  </si>
  <si>
    <t>65.5%</t>
  </si>
  <si>
    <t>20.7%</t>
  </si>
  <si>
    <t>73.1%</t>
  </si>
  <si>
    <t>3.6%</t>
  </si>
  <si>
    <t>72.3%</t>
  </si>
  <si>
    <t>70.4%</t>
  </si>
  <si>
    <t>72.0%</t>
  </si>
  <si>
    <t>67.5%</t>
  </si>
  <si>
    <t>22.1%</t>
  </si>
  <si>
    <t>65.6%</t>
  </si>
  <si>
    <t>78.1%</t>
  </si>
  <si>
    <t>12.4%</t>
  </si>
  <si>
    <t>59.8%</t>
  </si>
  <si>
    <t>19.6%</t>
  </si>
  <si>
    <t>71.7%</t>
  </si>
  <si>
    <t>83.5%</t>
  </si>
  <si>
    <t>90.3%</t>
  </si>
  <si>
    <t>86.8%</t>
  </si>
  <si>
    <t>83.0%</t>
  </si>
  <si>
    <t>86.7%</t>
  </si>
  <si>
    <t>94.3%</t>
  </si>
  <si>
    <t>85.3%</t>
  </si>
  <si>
    <t>90.5%</t>
  </si>
  <si>
    <t>88.6%</t>
  </si>
  <si>
    <t>82.6%</t>
  </si>
  <si>
    <t>71.0%</t>
  </si>
  <si>
    <t>92.1%</t>
  </si>
  <si>
    <t>82.1%</t>
  </si>
  <si>
    <t>42.6%</t>
  </si>
  <si>
    <t>48.1%</t>
  </si>
  <si>
    <t>45.2%</t>
  </si>
  <si>
    <t>38.8%</t>
  </si>
  <si>
    <t>50.9%</t>
  </si>
  <si>
    <t>46.7%</t>
  </si>
  <si>
    <t>53.3%</t>
  </si>
  <si>
    <t>27.4%</t>
  </si>
  <si>
    <t>45.6%</t>
  </si>
  <si>
    <t>28.0%</t>
  </si>
  <si>
    <t>41.9%</t>
  </si>
  <si>
    <t>67.2%</t>
  </si>
  <si>
    <t>34.5%</t>
  </si>
  <si>
    <t>51.3%</t>
  </si>
  <si>
    <t>37.1%</t>
  </si>
  <si>
    <t>14.6%</t>
  </si>
  <si>
    <t>32.8%</t>
  </si>
  <si>
    <t>21.2%</t>
  </si>
  <si>
    <t>56.3%</t>
  </si>
  <si>
    <t>43.7%</t>
  </si>
  <si>
    <t>81.5%</t>
  </si>
  <si>
    <t>68.4%</t>
  </si>
  <si>
    <t>26.4%</t>
  </si>
  <si>
    <t>36.0%</t>
  </si>
  <si>
    <t>15.3%</t>
  </si>
  <si>
    <t>18.0%</t>
  </si>
  <si>
    <t>21.3%</t>
  </si>
  <si>
    <t>34.0%</t>
  </si>
  <si>
    <t>36.7%</t>
  </si>
  <si>
    <t>74.3%</t>
  </si>
  <si>
    <t>76.3%</t>
  </si>
  <si>
    <t>74.7%</t>
  </si>
  <si>
    <t>75.8%</t>
  </si>
  <si>
    <t>76.4%</t>
  </si>
  <si>
    <t>60.1%</t>
  </si>
  <si>
    <t>39.9%</t>
  </si>
  <si>
    <t>62.6%</t>
  </si>
  <si>
    <t>37.4%</t>
  </si>
  <si>
    <t>60.9%</t>
  </si>
  <si>
    <t>59.9%</t>
  </si>
  <si>
    <t>75.3%</t>
  </si>
  <si>
    <t>8.4%</t>
  </si>
  <si>
    <t>98.1%</t>
  </si>
  <si>
    <t>89.9%</t>
  </si>
  <si>
    <t>86.5%</t>
  </si>
  <si>
    <t>89.6%</t>
  </si>
  <si>
    <t>61.6%</t>
  </si>
  <si>
    <t>All</t>
  </si>
  <si>
    <t>Half</t>
  </si>
  <si>
    <t>Less than half</t>
  </si>
  <si>
    <t>More than half (but not all)</t>
  </si>
  <si>
    <t>41.4%</t>
  </si>
  <si>
    <t>37.3%</t>
  </si>
  <si>
    <t>26.8%</t>
  </si>
  <si>
    <t>38.0%</t>
  </si>
  <si>
    <t>47.7%</t>
  </si>
  <si>
    <t>24.3%</t>
  </si>
  <si>
    <t>41.3%</t>
  </si>
  <si>
    <t>54.8%</t>
  </si>
  <si>
    <t>91.9%</t>
  </si>
  <si>
    <t>99.0%</t>
  </si>
  <si>
    <t>51.7%</t>
  </si>
  <si>
    <t>61.4%</t>
  </si>
  <si>
    <t>52.9%</t>
  </si>
  <si>
    <t>94.4%</t>
  </si>
  <si>
    <t>56.4%</t>
  </si>
  <si>
    <t>63.4%</t>
  </si>
  <si>
    <t>48.7%</t>
  </si>
  <si>
    <t>54.9%</t>
  </si>
  <si>
    <t>9.8%</t>
  </si>
  <si>
    <t>45.9%</t>
  </si>
  <si>
    <t>43.9%</t>
  </si>
  <si>
    <t>28.1%</t>
  </si>
  <si>
    <t>26.0%</t>
  </si>
  <si>
    <t>32.6%</t>
  </si>
  <si>
    <t>36.1%</t>
  </si>
  <si>
    <t>28.7%</t>
  </si>
  <si>
    <t>41.1%</t>
  </si>
  <si>
    <t>26.6%</t>
  </si>
  <si>
    <t>46.1%</t>
  </si>
  <si>
    <t>31.5%</t>
  </si>
  <si>
    <t>18.9%</t>
  </si>
  <si>
    <t>24.6%</t>
  </si>
  <si>
    <t>75.4%</t>
  </si>
  <si>
    <t>88.4%</t>
  </si>
  <si>
    <t>80.3%</t>
  </si>
  <si>
    <t>80.5%</t>
  </si>
  <si>
    <t>80.2%</t>
  </si>
  <si>
    <t>Childcare or eldercare services</t>
  </si>
  <si>
    <t>Clothing or personal care items</t>
  </si>
  <si>
    <t>Debt repayments or loan installments</t>
  </si>
  <si>
    <t>Education or school-related expenses</t>
  </si>
  <si>
    <t>Food</t>
  </si>
  <si>
    <t>Healthcare</t>
  </si>
  <si>
    <t>Leisure activities or entertainment</t>
  </si>
  <si>
    <t>Rent or housing-related expenses</t>
  </si>
  <si>
    <t>Transportation</t>
  </si>
  <si>
    <t>55.2%</t>
  </si>
  <si>
    <t>46.4%</t>
  </si>
  <si>
    <t>93.3%</t>
  </si>
  <si>
    <t>86.2%</t>
  </si>
  <si>
    <t>40.3%</t>
  </si>
  <si>
    <t>53.2%</t>
  </si>
  <si>
    <t>80.4%</t>
  </si>
  <si>
    <t>54.2%</t>
  </si>
  <si>
    <t>7.3%</t>
  </si>
  <si>
    <t>93.1%</t>
  </si>
  <si>
    <t>58.6%</t>
  </si>
  <si>
    <t>51.5%</t>
  </si>
  <si>
    <t>51.2%</t>
  </si>
  <si>
    <t>58.0%</t>
  </si>
  <si>
    <t>49.6%</t>
  </si>
  <si>
    <t>50.4%</t>
  </si>
  <si>
    <t>61.1%</t>
  </si>
  <si>
    <t>35.2%</t>
  </si>
  <si>
    <t>64.8%</t>
  </si>
  <si>
    <t>52.1%</t>
  </si>
  <si>
    <t>72.5%</t>
  </si>
  <si>
    <t>47.2%</t>
  </si>
  <si>
    <t>73.3%</t>
  </si>
  <si>
    <t>62.9%</t>
  </si>
  <si>
    <t>35.1%</t>
  </si>
  <si>
    <t>64.9%</t>
  </si>
  <si>
    <t>59.0%</t>
  </si>
  <si>
    <t>51.4%</t>
  </si>
  <si>
    <t>42.2%</t>
  </si>
  <si>
    <t>58.8%</t>
  </si>
  <si>
    <t>72.2%</t>
  </si>
  <si>
    <t>62.2%</t>
  </si>
  <si>
    <t>64.0%</t>
  </si>
  <si>
    <t>63.0%</t>
  </si>
  <si>
    <t>39.0%</t>
  </si>
  <si>
    <t>61.0%</t>
  </si>
  <si>
    <t>Heating only specific rooms</t>
  </si>
  <si>
    <t>Limit the use of electric heaters</t>
  </si>
  <si>
    <t>Limit the use of light fixtures</t>
  </si>
  <si>
    <t>Lowering the indoor temperature</t>
  </si>
  <si>
    <t>Reduce consumption of hot water</t>
  </si>
  <si>
    <t>Reduce usage of gas for cooking</t>
  </si>
  <si>
    <t>Reducing the use of high-energy appliances</t>
  </si>
  <si>
    <t>Sealing windows and doors to prevent heat loss</t>
  </si>
  <si>
    <t>Switch to energy saving appliances</t>
  </si>
  <si>
    <t>Switching to cheaper energy sources</t>
  </si>
  <si>
    <t>Turn off/disconnect appliances when not in use</t>
  </si>
  <si>
    <t>Turning off heating during certain times</t>
  </si>
  <si>
    <t>Using energy-efficient bulbs for lighting</t>
  </si>
  <si>
    <t>Using more blankets or wearing warmer clothing indoors</t>
  </si>
  <si>
    <t>30.5%</t>
  </si>
  <si>
    <t>65.9%</t>
  </si>
  <si>
    <t>58.5%</t>
  </si>
  <si>
    <t>53.6%</t>
  </si>
  <si>
    <t>25.5%</t>
  </si>
  <si>
    <t>69.4%</t>
  </si>
  <si>
    <t>48.3%</t>
  </si>
  <si>
    <t>23.0%</t>
  </si>
  <si>
    <t>62.1%</t>
  </si>
  <si>
    <t>32.2%</t>
  </si>
  <si>
    <t>66.0%</t>
  </si>
  <si>
    <t>93.8%</t>
  </si>
  <si>
    <t>68.6%</t>
  </si>
  <si>
    <t>29.5%</t>
  </si>
  <si>
    <t>23.4%</t>
  </si>
  <si>
    <t>64.5%</t>
  </si>
  <si>
    <t>24.9%</t>
  </si>
  <si>
    <t>b_refugee_overall_1</t>
  </si>
  <si>
    <t>EVRF energy compensation scheme</t>
  </si>
  <si>
    <t>Loans</t>
  </si>
  <si>
    <t>Regular income/fixed salary</t>
  </si>
  <si>
    <t>Savings</t>
  </si>
  <si>
    <t>Support from family/friends/acquaintances</t>
  </si>
  <si>
    <t>Support from UN agencies or NGOs</t>
  </si>
  <si>
    <t>95.5%</t>
  </si>
  <si>
    <t>99.7%</t>
  </si>
  <si>
    <t>83.7%</t>
  </si>
  <si>
    <t>95.8%</t>
  </si>
  <si>
    <t>97.7%</t>
  </si>
  <si>
    <t>99.6%</t>
  </si>
  <si>
    <t>82.7%</t>
  </si>
  <si>
    <t>96.4%</t>
  </si>
  <si>
    <t>98.9%</t>
  </si>
  <si>
    <t>63.7%</t>
  </si>
  <si>
    <t>44.0%</t>
  </si>
  <si>
    <t>99.5%</t>
  </si>
  <si>
    <t>82.4%</t>
  </si>
  <si>
    <t>61.9%</t>
  </si>
  <si>
    <t>50.2%</t>
  </si>
  <si>
    <t>37.7%</t>
  </si>
  <si>
    <t>Changing from a centralised to an autonomous heating system</t>
  </si>
  <si>
    <t>Improving home insulation</t>
  </si>
  <si>
    <t>Installing solar panels or other renewable energy sources</t>
  </si>
  <si>
    <t>Investing in energy-efficient appliances</t>
  </si>
  <si>
    <t>Moving to a smaller or more energy-efficient home</t>
  </si>
  <si>
    <t>Reducing overall energy consumption</t>
  </si>
  <si>
    <t>Saving money during the warm season</t>
  </si>
  <si>
    <t>Seeking more stable sources of income</t>
  </si>
  <si>
    <t>Shifting to cheaper energy sources</t>
  </si>
  <si>
    <t>Stocking up on firewood during the warm season, when it is cheaper</t>
  </si>
  <si>
    <t>95.0%</t>
  </si>
  <si>
    <t>83.8%</t>
  </si>
  <si>
    <t>73.0%</t>
  </si>
  <si>
    <t>59.5%</t>
  </si>
  <si>
    <t>Comfortable</t>
  </si>
  <si>
    <t>Somewhat cold</t>
  </si>
  <si>
    <t>Somewhat warm</t>
  </si>
  <si>
    <t>Very cold</t>
  </si>
  <si>
    <t>Very warm</t>
  </si>
  <si>
    <t>80.8%</t>
  </si>
  <si>
    <t>77.2%</t>
  </si>
  <si>
    <t>76.7%</t>
  </si>
  <si>
    <t>75.7%</t>
  </si>
  <si>
    <t>77.1%</t>
  </si>
  <si>
    <t>78.7%</t>
  </si>
  <si>
    <t>76.0%</t>
  </si>
  <si>
    <t>84.1%</t>
  </si>
  <si>
    <t>65.8%</t>
  </si>
  <si>
    <t>78.2%</t>
  </si>
  <si>
    <t>28.5%</t>
  </si>
  <si>
    <t>16.8%</t>
  </si>
  <si>
    <t>43.0%</t>
  </si>
  <si>
    <t>33.5%</t>
  </si>
  <si>
    <t>Children (&lt;18)</t>
  </si>
  <si>
    <t>Older people (60+)</t>
  </si>
  <si>
    <t>People with a chronic illness</t>
  </si>
  <si>
    <t>People with disability</t>
  </si>
  <si>
    <t>Pregnant / breastfeeding women</t>
  </si>
  <si>
    <t>Single adult/parent with dependants</t>
  </si>
  <si>
    <t>53.5%</t>
  </si>
  <si>
    <t>44.1%</t>
  </si>
  <si>
    <t>56.1%</t>
  </si>
  <si>
    <t>41.5%</t>
  </si>
  <si>
    <t>73.2%</t>
  </si>
  <si>
    <t>33.7%</t>
  </si>
  <si>
    <t>Difficulty getting in touch with a social worker</t>
  </si>
  <si>
    <t>Lack of required documentation</t>
  </si>
  <si>
    <t>Landlord already applied for the accommodation we live in</t>
  </si>
  <si>
    <t>Language barriers</t>
  </si>
  <si>
    <t>No direct access to the internet or digital tools</t>
  </si>
  <si>
    <t>Technical issues with the online application system</t>
  </si>
  <si>
    <t>94.9%</t>
  </si>
  <si>
    <t>97.6%</t>
  </si>
  <si>
    <t>97.5%</t>
  </si>
  <si>
    <t>97.0%</t>
  </si>
  <si>
    <t>97.3%</t>
  </si>
  <si>
    <t>98.2%</t>
  </si>
  <si>
    <t>96.7%</t>
  </si>
  <si>
    <t>98.8%</t>
  </si>
  <si>
    <t>97.2%</t>
  </si>
  <si>
    <t>About the same</t>
  </si>
  <si>
    <t>Do not know / Not sure</t>
  </si>
  <si>
    <t>Much less</t>
  </si>
  <si>
    <t>Much more</t>
  </si>
  <si>
    <t>Somewhat less</t>
  </si>
  <si>
    <t>Somewhat more</t>
  </si>
  <si>
    <t>42.3%</t>
  </si>
  <si>
    <t>Both (transfer to bank account and through the post office)</t>
  </si>
  <si>
    <t>Picked up at the Post Office</t>
  </si>
  <si>
    <t>Transfer to bank account/card</t>
  </si>
  <si>
    <t>69.3%</t>
  </si>
  <si>
    <t>Moderately</t>
  </si>
  <si>
    <t>Not at all</t>
  </si>
  <si>
    <t>Significantly</t>
  </si>
  <si>
    <t>Slightly</t>
  </si>
  <si>
    <t>57.5%</t>
  </si>
  <si>
    <t>50.3%</t>
  </si>
  <si>
    <t>66.2%</t>
  </si>
  <si>
    <t>51.1%</t>
  </si>
  <si>
    <t>98.5%</t>
  </si>
  <si>
    <t>96.2%</t>
  </si>
  <si>
    <t>99.3%</t>
  </si>
  <si>
    <t>The method of payment was inconvenient or difficult to access</t>
  </si>
  <si>
    <t>The payment process was not transparent or clearly communicated</t>
  </si>
  <si>
    <t>The payment was delayed beyond the expected timeframe</t>
  </si>
  <si>
    <t>The payment was made in a way that was not accessible to me/us (eg, needing to go to the postal office and having limited mobility)</t>
  </si>
  <si>
    <t>The payment was received after the utility bills for the respective month were due</t>
  </si>
  <si>
    <t>There were issues with the payment being sent to the wrong account or recipient</t>
  </si>
  <si>
    <t>We had to provide additional information or documentation after being approved, causing delays</t>
  </si>
  <si>
    <t>63.3%</t>
  </si>
  <si>
    <t>63.8%</t>
  </si>
  <si>
    <t>Direct distribution of firewood/solid fuel</t>
  </si>
  <si>
    <t>No preference</t>
  </si>
  <si>
    <t>Received as direct cash support</t>
  </si>
  <si>
    <t>Subtracted directly from the bill</t>
  </si>
  <si>
    <t>Community member</t>
  </si>
  <si>
    <t>Family member / relative</t>
  </si>
  <si>
    <t>Friend / colleague</t>
  </si>
  <si>
    <t>NGO representative</t>
  </si>
  <si>
    <t>69.5%</t>
  </si>
  <si>
    <t>69.8%</t>
  </si>
  <si>
    <t>72.4%</t>
  </si>
  <si>
    <t>82.0%</t>
  </si>
  <si>
    <t>68.9%</t>
  </si>
  <si>
    <t>Not applicable</t>
  </si>
  <si>
    <t>47.0%</t>
  </si>
  <si>
    <t>51.9%</t>
  </si>
  <si>
    <t>55.8%</t>
  </si>
  <si>
    <t>79.3%</t>
  </si>
  <si>
    <t>77.9%</t>
  </si>
  <si>
    <t>78.0%</t>
  </si>
  <si>
    <t>83.2%</t>
  </si>
  <si>
    <t>86.4%</t>
  </si>
  <si>
    <t>93.7%</t>
  </si>
  <si>
    <t>79.0%</t>
  </si>
  <si>
    <t>33.8%</t>
  </si>
  <si>
    <t>Gave or lent to other family members/friends</t>
  </si>
  <si>
    <t>Paid a debt</t>
  </si>
  <si>
    <t>Saved</t>
  </si>
  <si>
    <t>Spent on food</t>
  </si>
  <si>
    <t>Spent on healthcare</t>
  </si>
  <si>
    <t>Spent on household items</t>
  </si>
  <si>
    <t>Spent on rent</t>
  </si>
  <si>
    <t>Spent on transport</t>
  </si>
  <si>
    <t>Spent on utility bills/firewood</t>
  </si>
  <si>
    <t>98.0%</t>
  </si>
  <si>
    <t>96.8%</t>
  </si>
  <si>
    <t>99.2%</t>
  </si>
  <si>
    <t>99.1%</t>
  </si>
  <si>
    <t>Did not know it was possible to receive</t>
  </si>
  <si>
    <t>Did not request</t>
  </si>
  <si>
    <t>69.2%</t>
  </si>
  <si>
    <t>81.9%</t>
  </si>
  <si>
    <t>71.3%</t>
  </si>
  <si>
    <t>72.6%</t>
  </si>
  <si>
    <t>Cooking stove</t>
  </si>
  <si>
    <t>Fridge</t>
  </si>
  <si>
    <t>63.9%</t>
  </si>
  <si>
    <t>78.4%</t>
  </si>
  <si>
    <t>59.1%</t>
  </si>
  <si>
    <t>94.0%</t>
  </si>
  <si>
    <t>88.1%</t>
  </si>
  <si>
    <t>84.4%</t>
  </si>
  <si>
    <t>96.3%</t>
  </si>
  <si>
    <t>93.0%</t>
  </si>
  <si>
    <t>71.1%</t>
  </si>
  <si>
    <t>44.6%</t>
  </si>
  <si>
    <t>94.6%</t>
  </si>
  <si>
    <t>33.9%</t>
  </si>
  <si>
    <t>69.9%</t>
  </si>
  <si>
    <t>30.1%</t>
  </si>
  <si>
    <t>83.1%</t>
  </si>
  <si>
    <t>89.2%</t>
  </si>
  <si>
    <t>91.2%</t>
  </si>
  <si>
    <t>68.3%</t>
  </si>
  <si>
    <t>89.7%</t>
  </si>
  <si>
    <t>90.1%</t>
  </si>
  <si>
    <t>93.2%</t>
  </si>
  <si>
    <t>Other households need the support more than we do</t>
  </si>
  <si>
    <t>The application process seemed too complicated</t>
  </si>
  <si>
    <t>The program was not available in my language</t>
  </si>
  <si>
    <t>The social worker we asked for assistance said we are not eligible</t>
  </si>
  <si>
    <t>We believed we were not eligible</t>
  </si>
  <si>
    <t>We did not have access to the required documents</t>
  </si>
  <si>
    <t>We did not receive assistance or guidance to complete the application</t>
  </si>
  <si>
    <t>We did not trust that we would receive the support</t>
  </si>
  <si>
    <t>We did not understand how the program works</t>
  </si>
  <si>
    <t>We do not need the support</t>
  </si>
  <si>
    <t>We felt the benefit would not be worth the effort of applying</t>
  </si>
  <si>
    <t>We were not aware of the program</t>
  </si>
  <si>
    <t>34.9%</t>
  </si>
  <si>
    <t>41.6%</t>
  </si>
  <si>
    <t>Household's income and expenses haven't been correctly calculated by the system</t>
  </si>
  <si>
    <t>Household did not meet the eligibility criteria</t>
  </si>
  <si>
    <t>Our application was rejected, but no reason was provided</t>
  </si>
  <si>
    <t>Our landlord is receiving the compensation even though they do not live here, and my household pays for the utilities</t>
  </si>
  <si>
    <t>There were technical issues with the application process</t>
  </si>
  <si>
    <t>We made a mistake in the application</t>
  </si>
  <si>
    <t>We provided incomplete or incorrect information in the application</t>
  </si>
  <si>
    <t>5.5%</t>
  </si>
  <si>
    <t>38.3%</t>
  </si>
  <si>
    <t>61.7%</t>
  </si>
  <si>
    <t>61.8%</t>
  </si>
  <si>
    <t>68.5%</t>
  </si>
  <si>
    <t>refugee_overall_1</t>
  </si>
  <si>
    <t>69.1%</t>
  </si>
  <si>
    <t>18.1%</t>
  </si>
  <si>
    <t>36.2%</t>
  </si>
  <si>
    <t>One or more older people (60+) with children (no adults)</t>
  </si>
  <si>
    <t>b_perc_expenditure_spent_on_energy_dec</t>
  </si>
  <si>
    <t>Female</t>
  </si>
  <si>
    <t>Male</t>
  </si>
  <si>
    <t>19.9%</t>
  </si>
  <si>
    <t>b_perc_expenditure_spent_on_energy_nov</t>
  </si>
  <si>
    <t>b_aver_monthly_income_overall_D_32_by_b_hh_type</t>
  </si>
  <si>
    <t>b_aver_monthly_income_rural_urban_33</t>
  </si>
  <si>
    <t>79.8%</t>
  </si>
  <si>
    <t>b_hh_composition_overall_D_14_by_b_hh_type</t>
  </si>
  <si>
    <t>b_hh_composition_rural_urban_15</t>
  </si>
  <si>
    <t>b_hh_size_overall_9</t>
  </si>
  <si>
    <t>b_hh_size_overall_D_10_by_b_hh_type</t>
  </si>
  <si>
    <t>b_hh_size_range_overall_D_11_by_b_hh_type</t>
  </si>
  <si>
    <t>b_hh_type_mixed_overall_7</t>
  </si>
  <si>
    <t>b_hh_type_overall_6</t>
  </si>
  <si>
    <t>b_legal_status_overall_D_4_by_b_refugee</t>
  </si>
  <si>
    <t>46.9%</t>
  </si>
  <si>
    <t>45.4%</t>
  </si>
  <si>
    <t>b_perc_expenditure_spent_on_energy_nov_overall_D_85_by_b_hh_type</t>
  </si>
  <si>
    <t>b_perc_expenditure_spent_on_energy_nov_overall_D_87_by_b_hh_size_range</t>
  </si>
  <si>
    <t>b_perc_expenditure_spent_on_energy_nov_overall_D_88_by_b_hh_composition</t>
  </si>
  <si>
    <t>b_perc_expenditure_spent_on_energy_nov_rural_urban_86</t>
  </si>
  <si>
    <t>50.8%</t>
  </si>
  <si>
    <t>82.5%</t>
  </si>
  <si>
    <t>84.7%</t>
  </si>
  <si>
    <t>37.2%</t>
  </si>
  <si>
    <t>33.2%</t>
  </si>
  <si>
    <t>68.2%</t>
  </si>
  <si>
    <t>b_region_overall_D_5_by_b_hh_type</t>
  </si>
  <si>
    <t>b_resp_gender_overall_2</t>
  </si>
  <si>
    <t>77.5%</t>
  </si>
  <si>
    <t>70.9%</t>
  </si>
  <si>
    <t>b_vuln_groups_overall_D_12_by_b_hh_type</t>
  </si>
  <si>
    <t>b_vuln_groups_rural_urban_13</t>
  </si>
  <si>
    <t>93.9%</t>
  </si>
  <si>
    <t>48.9%</t>
  </si>
  <si>
    <t>resp_age_range_overall_D_3_by_b_hh_type</t>
  </si>
  <si>
    <t>rural_urban_overall_D_8_by_b_hh_type</t>
  </si>
  <si>
    <t>64.4%</t>
  </si>
  <si>
    <t>88.8%</t>
  </si>
  <si>
    <t>86.6%</t>
  </si>
  <si>
    <t>perc_expenditure_spent_on_energy_dec</t>
  </si>
  <si>
    <t>92.7%</t>
  </si>
  <si>
    <t>92.2%</t>
  </si>
  <si>
    <t>perc_expenditure_spent_on_energy_nov</t>
  </si>
  <si>
    <t>hh_with_pwd_certificate_overall_30</t>
  </si>
  <si>
    <t>hh_with_pwd_certificate_overall_D_31_by_hh_with_pwd</t>
  </si>
  <si>
    <t>hh_with_pwd_overall_D_27_by_hh_type</t>
  </si>
  <si>
    <t>hh_with_pwd_rural_urban_28</t>
  </si>
  <si>
    <t>91.1%</t>
  </si>
  <si>
    <t>legal_status_overall_D_4_by_refugee</t>
  </si>
  <si>
    <t>76.6%</t>
  </si>
  <si>
    <t>66.9%</t>
  </si>
  <si>
    <t>nr_ppl_disability_certificate_overall_D_29_by_hh_type</t>
  </si>
  <si>
    <t>nr_ppl_disability_support_cat_overall_D_32_by_hh_type</t>
  </si>
  <si>
    <t>perc_expenditure_spent_on_energy_nov_overall_D_97_by_accommodation_ownership</t>
  </si>
  <si>
    <t>perc_expenditure_spent_on_energy_nov_overall_D_98_by_aver_monthly_income_range</t>
  </si>
  <si>
    <t>62.3%</t>
  </si>
  <si>
    <t>54.6%</t>
  </si>
  <si>
    <t>80.1%</t>
  </si>
  <si>
    <t>resp_age_range_overall_D_3_by_hh_type</t>
  </si>
  <si>
    <t>resp_gender_overall_2</t>
  </si>
  <si>
    <t>72.1%</t>
  </si>
  <si>
    <t>92.6%</t>
  </si>
  <si>
    <t>time_in_mda_overall_D_5_by_hh_type</t>
  </si>
  <si>
    <t>time_in_mda_overall_D_6_by_legal_status</t>
  </si>
  <si>
    <t>time_in_mda_overall_D_7_by_refugee</t>
  </si>
  <si>
    <t>time_in_mda_overall_D_8_by_hh_composition</t>
  </si>
  <si>
    <t>time_in_mda_overall_D_9_by_hh_with_pwd</t>
  </si>
  <si>
    <t>61.2%</t>
  </si>
  <si>
    <t>96.6%</t>
  </si>
  <si>
    <t>accommodation_ownership_overall_D_25_by_b_hh_type</t>
  </si>
  <si>
    <t>Host community HH</t>
  </si>
  <si>
    <t>accommodation_ownership_overall_D_27_by_b_refugee</t>
  </si>
  <si>
    <t>accommodation_ownership_rural_urban_26</t>
  </si>
  <si>
    <t>amount_evrf_dec_overall_D_255_by_b_hh_type</t>
  </si>
  <si>
    <t>amount_evrf_dec_range_overall_D_257_by_b_hh_type</t>
  </si>
  <si>
    <t>Did not disclose compensation received</t>
  </si>
  <si>
    <t>amount_evrf_dec_range_overall_D_259_by_b_hh_size_range</t>
  </si>
  <si>
    <t>amount_evrf_dec_range_overall_D_260_by_b_hh_composition</t>
  </si>
  <si>
    <t>amount_evrf_dec_range_overall_D_261_by_b_hh_with_pwd</t>
  </si>
  <si>
    <t>amount_evrf_dec_range_overall_D_262_by_accommodation_ownership</t>
  </si>
  <si>
    <t>amount_evrf_dec_range_overall_D_263_by_b_aver_monthly_income_range</t>
  </si>
  <si>
    <t>3.000 - 5.000 MDL</t>
  </si>
  <si>
    <t>Less than 3.000 MDL</t>
  </si>
  <si>
    <t>amount_evrf_dec_range_overall_D_264_by_b_heat_system_primary</t>
  </si>
  <si>
    <t>55.5%</t>
  </si>
  <si>
    <t>amount_evrf_dec_range_overall_D_265_by_b_hh_heating_systems</t>
  </si>
  <si>
    <t>amount_evrf_dec_range_overall_D_266_by_b_perc_expenditure_spent_on_energy_dec</t>
  </si>
  <si>
    <t>Did not disclose HH expenditure</t>
  </si>
  <si>
    <t>amount_evrf_dec_range_overall_D_267_by_b_perc_income_spent_on_energy_dec</t>
  </si>
  <si>
    <t>amount_evrf_dec_range_rural_urban_258</t>
  </si>
  <si>
    <t>amount_evrf_dec_rural_urban_256</t>
  </si>
  <si>
    <t>amount_evrf_nov_overall_D_234_by_b_hh_type</t>
  </si>
  <si>
    <t>amount_evrf_nov_range_overall_D_236_by_b_hh_type</t>
  </si>
  <si>
    <t>57.2%</t>
  </si>
  <si>
    <t>amount_evrf_nov_range_overall_D_238_by_b_hh_size_range</t>
  </si>
  <si>
    <t>amount_evrf_nov_range_overall_D_239_by_b_hh_composition</t>
  </si>
  <si>
    <t>amount_evrf_nov_range_overall_D_240_by_b_hh_with_pwd</t>
  </si>
  <si>
    <t>amount_evrf_nov_range_overall_D_241_by_accommodation_ownership</t>
  </si>
  <si>
    <t>amount_evrf_nov_range_overall_D_242_by_b_aver_monthly_income_range</t>
  </si>
  <si>
    <t>amount_evrf_nov_range_overall_D_243_by_b_heat_system_primary</t>
  </si>
  <si>
    <t>amount_evrf_nov_range_overall_D_244_by_b_hh_heating_systems</t>
  </si>
  <si>
    <t>amount_evrf_nov_range_overall_D_245_by_b_perc_expenditure_spent_on_energy_nov</t>
  </si>
  <si>
    <t>amount_evrf_nov_range_overall_D_246_by_b_perc_income_spent_on_energy_nov</t>
  </si>
  <si>
    <t>amount_evrf_nov_range_rural_urban_237</t>
  </si>
  <si>
    <t>amount_evrf_nov_rural_urban_235</t>
  </si>
  <si>
    <t>amount_satisfaction_overall_D_588_by_b_hh_type</t>
  </si>
  <si>
    <t>amount_satisfaction_overall_D_590_by_b_hh_size_range</t>
  </si>
  <si>
    <t>amount_satisfaction_overall_D_591_by_b_hh_composition</t>
  </si>
  <si>
    <t>amount_satisfaction_overall_D_592_by_b_hh_with_pwd</t>
  </si>
  <si>
    <t>amount_satisfaction_overall_D_593_by_b_aver_monthly_income_range</t>
  </si>
  <si>
    <t>amount_satisfaction_overall_D_594_by_b_perc_expenditure_spent_on_energy_nov</t>
  </si>
  <si>
    <t>amount_satisfaction_overall_D_595_by_b_perc_expenditure_spent_on_energy_dec</t>
  </si>
  <si>
    <t>amount_satisfaction_overall_D_596_by_b_perc_income_spent_on_energy_nov</t>
  </si>
  <si>
    <t>amount_satisfaction_overall_D_597_by_b_perc_income_spent_on_energy_dec</t>
  </si>
  <si>
    <t>amount_satisfaction_overall_D_598_by_amount_evrf_nov_range</t>
  </si>
  <si>
    <t>amount_satisfaction_overall_D_599_by_amount_evrf_dec_range</t>
  </si>
  <si>
    <t>amount_satisfaction_rural_urban_589</t>
  </si>
  <si>
    <t>b_accommodation_type_overall_D_23_by_b_hh_type</t>
  </si>
  <si>
    <t>b_accommodation_type_rural_urban_24</t>
  </si>
  <si>
    <t>b_add_assistance_overall_D_600_by_b_hh_type</t>
  </si>
  <si>
    <t>b_add_assistance_overall_D_602_by_b_hh_composition</t>
  </si>
  <si>
    <t>b_add_assistance_overall_D_603_by_b_hh_with_pwd</t>
  </si>
  <si>
    <t>b_add_assistance_overall_D_604_by_b_hh_heating_systems</t>
  </si>
  <si>
    <t>b_add_assistance_rural_urban_601</t>
  </si>
  <si>
    <t>b_affected_health_how_overall_D_390_by_b_hh_type</t>
  </si>
  <si>
    <t>b_affected_health_how_overall_D_392_by_b_hh_composition</t>
  </si>
  <si>
    <t>b_affected_health_how_overall_D_393_by_b_hh_with_pwd</t>
  </si>
  <si>
    <t>b_affected_health_how_rural_urban_391</t>
  </si>
  <si>
    <t>b_affected_health_overall_D_378_by_b_hh_type</t>
  </si>
  <si>
    <t>b_affected_health_overall_D_380_by_b_hh_composition</t>
  </si>
  <si>
    <t>b_affected_health_overall_D_381_by_b_hh_with_pwd</t>
  </si>
  <si>
    <t>b_affected_health_overall_D_382_by_b_aver_monthly_income_range</t>
  </si>
  <si>
    <t>b_affected_health_overall_D_383_by_b_heat_system_primary</t>
  </si>
  <si>
    <t>b_affected_health_overall_D_384_by_b_perc_income_spent_on_energy_nov</t>
  </si>
  <si>
    <t>b_affected_health_overall_D_385_by_b_perc_income_spent_on_energy_dec</t>
  </si>
  <si>
    <t>b_affected_health_overall_D_386_by_b_perc_expenditure_spent_on_energy_nov</t>
  </si>
  <si>
    <t>b_affected_health_overall_D_387_by_b_perc_expenditure_spent_on_energy_dec</t>
  </si>
  <si>
    <t>b_affected_health_overall_D_388_by_amount_evrf_nov_range</t>
  </si>
  <si>
    <t>b_affected_health_overall_D_389_by_amount_evrf_dec_range</t>
  </si>
  <si>
    <t>b_affected_health_rural_urban_379</t>
  </si>
  <si>
    <t>b_application_dissatisfaction_overall_D_205_by_b_hh_type</t>
  </si>
  <si>
    <t>b_application_satisfaction_overall_D_198_by_b_hh_type</t>
  </si>
  <si>
    <t>b_application_satisfaction_overall_D_200_by_b_applied_evrf_how</t>
  </si>
  <si>
    <t>b_application_satisfaction_overall_D_201_by_b_hh_composition</t>
  </si>
  <si>
    <t>b_application_satisfaction_overall_D_202_by_b_hh_with_pwd</t>
  </si>
  <si>
    <t>b_application_satisfaction_overall_D_203_by_accommodation_ownership</t>
  </si>
  <si>
    <t>b_application_satisfaction_overall_D_204_by_b_aver_monthly_income_range</t>
  </si>
  <si>
    <t>b_application_satisfaction_rural_urban_199</t>
  </si>
  <si>
    <t>b_applied_evrf_how_overall_D_193_by_b_hh_type</t>
  </si>
  <si>
    <t>b_applied_evrf_how_overall_D_195_by_b_hh_composition</t>
  </si>
  <si>
    <t>b_applied_evrf_how_overall_D_196_by_b_hh_with_pwd</t>
  </si>
  <si>
    <t>b_applied_evrf_how_overall_D_197_by_b_heat_system_primary</t>
  </si>
  <si>
    <t>b_applied_evrf_how_rural_urban_194</t>
  </si>
  <si>
    <t>b_aver_monthly_expense_overall_D_40_by_b_hh_type</t>
  </si>
  <si>
    <t>b_aver_monthly_expense_overall_D_42_by_accommodation_ownership</t>
  </si>
  <si>
    <t>b_aver_monthly_expense_rural_urban_41</t>
  </si>
  <si>
    <t>b_aver_monthly_income_range_overall_D_34_by_b_hh_type</t>
  </si>
  <si>
    <t>b_aver_monthly_income_range_overall_D_36_by_b_hh_size_range</t>
  </si>
  <si>
    <t>b_aver_monthly_income_range_overall_D_37_by_b_hh_composition</t>
  </si>
  <si>
    <t>b_aver_monthly_income_range_overall_D_38_by_b_hh_with_pwd</t>
  </si>
  <si>
    <t>b_aver_monthly_income_range_overall_D_39_by_b_nr_ppl_earning_income_range</t>
  </si>
  <si>
    <t>b_aver_monthly_income_range_rural_urban_35</t>
  </si>
  <si>
    <t>b_aware_of_evrf_how_overall_D_189_by_b_hh_type</t>
  </si>
  <si>
    <t>b_aware_of_evrf_how_overall_D_191_by_resp_age_range</t>
  </si>
  <si>
    <t>b_aware_of_evrf_how_overall_D_192_by_b_hh_with_pwd</t>
  </si>
  <si>
    <t>b_aware_of_evrf_how_rural_urban_190</t>
  </si>
  <si>
    <t>b_cannot_meet_needs_overall_D_561_by_b_hh_type</t>
  </si>
  <si>
    <t>b_cannot_meet_needs_overall_D_563_by_b_hh_composition</t>
  </si>
  <si>
    <t>b_cannot_meet_needs_overall_D_564_by_b_hh_with_pwd</t>
  </si>
  <si>
    <t>b_cannot_meet_needs_overall_D_565_by_accommodation_ownership</t>
  </si>
  <si>
    <t>b_cannot_meet_needs_overall_D_566_by_b_aver_monthly_income_range</t>
  </si>
  <si>
    <t>b_cannot_meet_needs_overall_D_567_by_b_perc_expenditure_spent_on_energy_nov</t>
  </si>
  <si>
    <t>b_cannot_meet_needs_overall_D_568_by_b_perc_expenditure_spent_on_energy_dec</t>
  </si>
  <si>
    <t>b_cannot_meet_needs_overall_D_569_by_b_perc_income_spent_on_energy_nov</t>
  </si>
  <si>
    <t>b_cannot_meet_needs_overall_D_570_by_b_perc_income_spent_on_energy_dec</t>
  </si>
  <si>
    <t>b_cannot_meet_needs_overall_D_571_by_amount_evrf_nov_range</t>
  </si>
  <si>
    <t>b_cannot_meet_needs_overall_D_572_by_amount_evrf_dec_range</t>
  </si>
  <si>
    <t>b_cannot_meet_needs_rural_urban_562</t>
  </si>
  <si>
    <t>b_cost_energy_dec_overall_D_169_by_b_hh_type</t>
  </si>
  <si>
    <t>b_cost_energy_dec_overall_D_171_by_b_hh_size_range</t>
  </si>
  <si>
    <t>b_cost_energy_dec_overall_D_172_by_b_hh_composition</t>
  </si>
  <si>
    <t>b_cost_energy_dec_overall_D_173_by_b_hh_with_pwd</t>
  </si>
  <si>
    <t>b_cost_energy_dec_overall_D_174_by_b_aver_monthly_income_range</t>
  </si>
  <si>
    <t>b_cost_energy_dec_overall_D_175_by_b_heat_system_primary</t>
  </si>
  <si>
    <t>b_cost_energy_dec_overall_D_176_by_b_hh_heating_systems</t>
  </si>
  <si>
    <t>b_cost_energy_dec_rural_urban_170</t>
  </si>
  <si>
    <t>b_cost_energy_nov_overall_D_117_by_b_hh_type</t>
  </si>
  <si>
    <t>b_cost_energy_nov_overall_D_119_by_b_hh_size_range</t>
  </si>
  <si>
    <t>b_cost_energy_nov_overall_D_120_by_b_hh_composition</t>
  </si>
  <si>
    <t>b_cost_energy_nov_overall_D_121_by_b_hh_with_pwd</t>
  </si>
  <si>
    <t>b_cost_energy_nov_overall_D_122_by_b_aver_monthly_income_range</t>
  </si>
  <si>
    <t>b_cost_energy_nov_overall_D_123_by_b_heat_system_primary</t>
  </si>
  <si>
    <t>b_cost_energy_nov_overall_D_124_by_b_hh_heating_systems</t>
  </si>
  <si>
    <t>b_cost_energy_nov_rural_urban_118</t>
  </si>
  <si>
    <t>b_cost_gas_dec_overall_D_152_by_b_hh_type</t>
  </si>
  <si>
    <t>b_cost_gas_dec_overall_D_154_by_b_hh_size_range</t>
  </si>
  <si>
    <t>b_cost_gas_dec_overall_D_155_by_b_hh_composition</t>
  </si>
  <si>
    <t>b_cost_gas_dec_overall_D_156_by_b_hh_with_pwd</t>
  </si>
  <si>
    <t>b_cost_gas_dec_overall_D_157_by_b_aver_monthly_income_range</t>
  </si>
  <si>
    <t>b_cost_gas_dec_overall_D_158_by_b_heat_system_primary</t>
  </si>
  <si>
    <t>b_cost_gas_dec_overall_D_159_by_b_hh_heating_systems</t>
  </si>
  <si>
    <t>b_cost_gas_dec_rural_urban_153</t>
  </si>
  <si>
    <t>b_cost_gas_nov_overall_D_100_by_b_hh_type</t>
  </si>
  <si>
    <t>b_cost_gas_nov_overall_D_102_by_b_hh_size_range</t>
  </si>
  <si>
    <t>b_cost_gas_nov_overall_D_103_by_b_hh_composition</t>
  </si>
  <si>
    <t>b_cost_gas_nov_overall_D_104_by_b_hh_with_pwd</t>
  </si>
  <si>
    <t>b_cost_gas_nov_overall_D_105_by_b_aver_monthly_income_range</t>
  </si>
  <si>
    <t>b_cost_gas_nov_overall_D_106_by_b_heat_system_primary</t>
  </si>
  <si>
    <t>b_cost_gas_nov_overall_D_107_by_b_hh_heating_systems</t>
  </si>
  <si>
    <t>b_cost_gas_nov_rural_urban_101</t>
  </si>
  <si>
    <t>b_cost_heat_dec_overall_D_161_by_b_hh_type</t>
  </si>
  <si>
    <t>b_cost_heat_dec_overall_D_163_by_b_hh_size_range</t>
  </si>
  <si>
    <t>b_cost_heat_dec_overall_D_164_by_b_hh_composition</t>
  </si>
  <si>
    <t>b_cost_heat_dec_overall_D_165_by_b_hh_with_pwd</t>
  </si>
  <si>
    <t>b_cost_heat_dec_overall_D_166_by_b_aver_monthly_income_range</t>
  </si>
  <si>
    <t>b_cost_heat_dec_overall_D_167_by_b_heat_system_primary</t>
  </si>
  <si>
    <t>b_cost_heat_dec_overall_D_168_by_b_hh_heating_systems</t>
  </si>
  <si>
    <t>b_cost_heat_dec_rural_urban_162</t>
  </si>
  <si>
    <t>b_cost_heat_nov_overall_D_109_by_b_hh_type</t>
  </si>
  <si>
    <t>b_cost_heat_nov_overall_D_111_by_b_hh_size_range</t>
  </si>
  <si>
    <t>b_cost_heat_nov_overall_D_112_by_b_hh_composition</t>
  </si>
  <si>
    <t>b_cost_heat_nov_overall_D_113_by_b_hh_with_pwd</t>
  </si>
  <si>
    <t>b_cost_heat_nov_overall_D_114_by_b_aver_monthly_income_range</t>
  </si>
  <si>
    <t>b_cost_heat_nov_overall_D_115_by_b_heat_system_primary</t>
  </si>
  <si>
    <t>b_cost_heat_nov_overall_D_116_by_b_hh_heating_systems</t>
  </si>
  <si>
    <t>b_cost_heat_nov_rural_urban_110</t>
  </si>
  <si>
    <t>b_cover_bills_dec_overall_D_326_by_b_hh_type</t>
  </si>
  <si>
    <t>b_cover_bills_dec_overall_D_328_by_b_hh_size_range</t>
  </si>
  <si>
    <t>b_cover_bills_dec_overall_D_329_by_b_hh_composition</t>
  </si>
  <si>
    <t>b_cover_bills_dec_overall_D_330_by_b_hh_with_pwd</t>
  </si>
  <si>
    <t>b_cover_bills_dec_overall_D_331_by_accommodation_ownership</t>
  </si>
  <si>
    <t>b_cover_bills_dec_overall_D_332_by_b_aver_monthly_income_range</t>
  </si>
  <si>
    <t>b_cover_bills_dec_overall_D_333_by_b_heat_system_primary</t>
  </si>
  <si>
    <t>b_cover_bills_dec_overall_D_334_by_b_hh_heating_systems</t>
  </si>
  <si>
    <t>b_cover_bills_dec_overall_D_335_by_b_gas_usage_full</t>
  </si>
  <si>
    <t>b_cover_bills_dec_overall_D_336_by_b_perc_expenditure_spent_on_energy_dec</t>
  </si>
  <si>
    <t>b_cover_bills_dec_overall_D_337_by_b_perc_income_spent_on_energy_dec</t>
  </si>
  <si>
    <t>b_cover_bills_dec_overall_D_338_by_amount_evrf_dec_range</t>
  </si>
  <si>
    <t>b_cover_bills_dec_rural_urban_327</t>
  </si>
  <si>
    <t>b_cover_bills_nov_overall_D_313_by_b_hh_type</t>
  </si>
  <si>
    <t>b_cover_bills_nov_overall_D_315_by_b_hh_size_range</t>
  </si>
  <si>
    <t>b_cover_bills_nov_overall_D_316_by_b_hh_composition</t>
  </si>
  <si>
    <t>b_cover_bills_nov_overall_D_317_by_b_hh_with_pwd</t>
  </si>
  <si>
    <t>b_cover_bills_nov_overall_D_318_by_accommodation_ownership</t>
  </si>
  <si>
    <t>b_cover_bills_nov_overall_D_319_by_b_aver_monthly_income_range</t>
  </si>
  <si>
    <t>b_cover_bills_nov_overall_D_320_by_b_heat_system_primary</t>
  </si>
  <si>
    <t>b_cover_bills_nov_overall_D_321_by_b_hh_heating_systems</t>
  </si>
  <si>
    <t>b_cover_bills_nov_overall_D_322_by_b_gas_usage_full</t>
  </si>
  <si>
    <t>b_cover_bills_nov_overall_D_323_by_b_perc_expenditure_spent_on_energy_nov</t>
  </si>
  <si>
    <t>b_cover_bills_nov_overall_D_324_by_b_perc_income_spent_on_energy_nov</t>
  </si>
  <si>
    <t>b_cover_bills_nov_overall_D_325_by_amount_evrf_nov_range</t>
  </si>
  <si>
    <t>b_cover_bills_nov_rural_urban_314</t>
  </si>
  <si>
    <t>b_evrf_23_24_overall_D_293_by_b_hh_type</t>
  </si>
  <si>
    <t>b_evrf_23_24_overall_D_295_by_b_hh_composition</t>
  </si>
  <si>
    <t>b_evrf_23_24_overall_D_296_by_b_hh_with_pwd</t>
  </si>
  <si>
    <t>b_evrf_23_24_overall_D_297_by_b_applied_evrf_how</t>
  </si>
  <si>
    <t>b_evrf_23_24_overall_D_298_by_b_aware_of_evrf_how</t>
  </si>
  <si>
    <t>b_evrf_23_24_rural_urban_294</t>
  </si>
  <si>
    <t>b_evrf_changes_overall_D_224_by_b_hh_type</t>
  </si>
  <si>
    <t>b_evrf_changes_overall_D_226_by_resp_age_range</t>
  </si>
  <si>
    <t>b_evrf_changes_overall_D_227_by_b_hh_composition</t>
  </si>
  <si>
    <t>b_evrf_changes_overall_D_228_by_b_hh_with_pwd</t>
  </si>
  <si>
    <t>b_evrf_changes_overall_D_229_by_accommodation_ownership</t>
  </si>
  <si>
    <t>b_evrf_changes_overall_D_230_by_b_aver_monthly_income_range</t>
  </si>
  <si>
    <t>55.9%</t>
  </si>
  <si>
    <t>b_evrf_changes_overall_D_231_by_b_heat_system_primary</t>
  </si>
  <si>
    <t>b_evrf_changes_overall_D_232_by_b_legal_status</t>
  </si>
  <si>
    <t>b_evrf_changes_overall_D_233_by_b_applied_evrf_how</t>
  </si>
  <si>
    <t>b_evrf_changes_rural_urban_225</t>
  </si>
  <si>
    <t>b_financial_stress_dec_overall_D_50_by_b_hh_type</t>
  </si>
  <si>
    <t>b_financial_stress_dec_overall_D_52_by_b_hh_size_range</t>
  </si>
  <si>
    <t>b_financial_stress_dec_overall_D_53_by_b_hh_composition</t>
  </si>
  <si>
    <t>b_financial_stress_dec_overall_D_54_by_b_hh_with_pwd</t>
  </si>
  <si>
    <t>b_financial_stress_dec_overall_D_55_by_accommodation_ownership</t>
  </si>
  <si>
    <t>b_financial_stress_dec_overall_D_56_by_b_aver_monthly_income_range</t>
  </si>
  <si>
    <t>b_financial_stress_dec_rural_urban_51</t>
  </si>
  <si>
    <t>b_financial_stress_nov_overall_D_43_by_b_hh_type</t>
  </si>
  <si>
    <t>b_financial_stress_nov_overall_D_45_by_b_hh_size_range</t>
  </si>
  <si>
    <t>b_financial_stress_nov_overall_D_46_by_b_hh_composition</t>
  </si>
  <si>
    <t>b_financial_stress_nov_overall_D_47_by_b_hh_with_pwd</t>
  </si>
  <si>
    <t>b_financial_stress_nov_overall_D_48_by_accommodation_ownership</t>
  </si>
  <si>
    <t>b_financial_stress_nov_overall_D_49_by_b_aver_monthly_income_range</t>
  </si>
  <si>
    <t>39.7%</t>
  </si>
  <si>
    <t>b_financial_stress_nov_rural_urban_44</t>
  </si>
  <si>
    <t>b_gas_usage_full_overall_D_76_by_b_hh_type</t>
  </si>
  <si>
    <t>b_gas_usage_full_overall_D_78_by_b_aver_monthly_income_range</t>
  </si>
  <si>
    <t>b_gas_usage_full_overall_D_79_by_b_perc_expenditure_spent_on_energy_nov</t>
  </si>
  <si>
    <t>b_gas_usage_full_overall_D_80_by_b_perc_expenditure_spent_on_energy_dec</t>
  </si>
  <si>
    <t>b_gas_usage_full_overall_D_81_by_b_perc_income_spent_on_energy_nov</t>
  </si>
  <si>
    <t>b_gas_usage_full_overall_D_82_by_b_perc_income_spent_on_energy_dec</t>
  </si>
  <si>
    <t>b_gas_usage_full_overall_D_83_by_amount_evrf_nov_range</t>
  </si>
  <si>
    <t>b_gas_usage_full_overall_D_84_by_amount_evrf_dec_range</t>
  </si>
  <si>
    <t>b_gas_usage_full_rural_urban_77</t>
  </si>
  <si>
    <t>b_heat_system_primary_overall_D_57_by_b_hh_type</t>
  </si>
  <si>
    <t>b_heat_system_primary_overall_D_59_by_b_hh_size_range</t>
  </si>
  <si>
    <t>b_heat_system_primary_overall_D_60_by_b_perc_expenditure_spent_on_energy_nov</t>
  </si>
  <si>
    <t>b_heat_system_primary_overall_D_61_by_b_perc_expenditure_spent_on_energy_dec</t>
  </si>
  <si>
    <t>b_heat_system_primary_overall_D_62_by_b_perc_income_spent_on_energy_nov</t>
  </si>
  <si>
    <t>b_heat_system_primary_overall_D_63_by_b_perc_income_spent_on_energy_dec</t>
  </si>
  <si>
    <t>b_heat_system_primary_rural_urban_58</t>
  </si>
  <si>
    <t>b_heat_system_secondary_overall_D_64_by_b_hh_type</t>
  </si>
  <si>
    <t>b_heat_system_secondary_rural_urban_65</t>
  </si>
  <si>
    <t>b_hh_heating_systems_overall_D_66_by_b_hh_type</t>
  </si>
  <si>
    <t>b_hh_heating_systems_overall_D_68_by_b_hh_size_range</t>
  </si>
  <si>
    <t>b_hh_heating_systems_overall_D_69_by_b_aver_monthly_income_range</t>
  </si>
  <si>
    <t>b_hh_heating_systems_overall_D_70_by_b_heat_system_primary</t>
  </si>
  <si>
    <t>b_hh_heating_systems_overall_D_71_by_b_applied_evrf_how</t>
  </si>
  <si>
    <t>b_hh_heating_systems_overall_D_72_by_b_perc_expenditure_spent_on_energy_nov</t>
  </si>
  <si>
    <t>b_hh_heating_systems_overall_D_73_by_b_perc_expenditure_spent_on_energy_dec</t>
  </si>
  <si>
    <t>b_hh_heating_systems_overall_D_74_by_b_perc_income_spent_on_energy_nov</t>
  </si>
  <si>
    <t>b_hh_heating_systems_overall_D_75_by_b_perc_income_spent_on_energy_dec</t>
  </si>
  <si>
    <t>b_hh_heating_systems_rural_urban_67</t>
  </si>
  <si>
    <t>b_hh_paid_for_gas_dec_overall_D_151_by_b_hh_type</t>
  </si>
  <si>
    <t>b_hh_paid_for_gas_nov_overall_D_99_by_b_hh_type</t>
  </si>
  <si>
    <t>b_hh_paid_for_heat_dec_overall_D_160_by_b_hh_type</t>
  </si>
  <si>
    <t>b_hh_paid_for_heat_nov_overall_D_108_by_b_hh_type</t>
  </si>
  <si>
    <t>Host community only</t>
  </si>
  <si>
    <t>b_hh_with_pwd_certificate_overall_20</t>
  </si>
  <si>
    <t>b_hh_with_pwd_certificate_overall_D_21_by_b_hh_with_pwd</t>
  </si>
  <si>
    <t>b_hh_with_pwd_overall_D_17_by_b_hh_type</t>
  </si>
  <si>
    <t>b_hh_with_pwd_rural_urban_18</t>
  </si>
  <si>
    <t>b_meet_needs_overall_D_535_by_b_hh_type</t>
  </si>
  <si>
    <t>b_meet_needs_overall_D_537_by_b_hh_size_range</t>
  </si>
  <si>
    <t>b_meet_needs_overall_D_538_by_b_hh_composition</t>
  </si>
  <si>
    <t>b_meet_needs_overall_D_539_by_b_hh_with_pwd</t>
  </si>
  <si>
    <t>b_meet_needs_overall_D_540_by_accommodation_ownership</t>
  </si>
  <si>
    <t>b_meet_needs_overall_D_541_by_b_aver_monthly_income_range</t>
  </si>
  <si>
    <t>b_meet_needs_overall_D_542_by_b_perc_expenditure_spent_on_energy_nov</t>
  </si>
  <si>
    <t>b_meet_needs_overall_D_543_by_b_perc_expenditure_spent_on_energy_dec</t>
  </si>
  <si>
    <t>b_meet_needs_overall_D_544_by_b_perc_income_spent_on_energy_nov</t>
  </si>
  <si>
    <t>b_meet_needs_overall_D_545_by_b_perc_income_spent_on_energy_dec</t>
  </si>
  <si>
    <t>b_meet_needs_overall_D_546_by_amount_evrf_nov_range</t>
  </si>
  <si>
    <t>b_meet_needs_overall_D_547_by_amount_evrf_dec_range</t>
  </si>
  <si>
    <t>b_meet_needs_rural_urban_536</t>
  </si>
  <si>
    <t>b_nr_children_overall_D_16_by_b_hh_type</t>
  </si>
  <si>
    <t>b_nr_ppl_disability_certificate_overall_D_19_by_b_hh_type</t>
  </si>
  <si>
    <t>b_nr_ppl_disability_support_cat_overall_D_22_by_b_hh_type</t>
  </si>
  <si>
    <t>b_nr_ppl_earning_income_range_overall_D_28_by_b_hh_type</t>
  </si>
  <si>
    <t>b_nr_ppl_earning_income_range_overall_D_30_by_b_hh_size_range</t>
  </si>
  <si>
    <t>b_nr_ppl_earning_income_range_overall_D_31_by_b_hh_composition</t>
  </si>
  <si>
    <t>b_nr_ppl_earning_income_range_rural_urban_29</t>
  </si>
  <si>
    <t>b_perc_expenditure_spent_on_energy_dec_overall_D_136_by_b_hh_type</t>
  </si>
  <si>
    <t>b_perc_expenditure_spent_on_energy_dec_overall_D_138_by_b_hh_size_range</t>
  </si>
  <si>
    <t>b_perc_expenditure_spent_on_energy_dec_overall_D_139_by_b_hh_composition</t>
  </si>
  <si>
    <t>b_perc_expenditure_spent_on_energy_dec_overall_D_140_by_b_hh_with_pwd</t>
  </si>
  <si>
    <t>b_perc_expenditure_spent_on_energy_dec_overall_D_141_by_accommodation_ownership</t>
  </si>
  <si>
    <t>b_perc_expenditure_spent_on_energy_dec_overall_D_142_by_b_aver_monthly_income_range</t>
  </si>
  <si>
    <t>b_perc_expenditure_spent_on_energy_dec_overall_D_143_by_b_perc_expenditure_spent_on_energy_nov</t>
  </si>
  <si>
    <t>b_perc_expenditure_spent_on_energy_dec_rural_urban_137</t>
  </si>
  <si>
    <t>b_perc_expenditure_spent_on_energy_nov_overall_D_89_by_b_hh_with_pwd</t>
  </si>
  <si>
    <t>b_perc_expenditure_spent_on_energy_nov_overall_D_90_by_accommodation_ownership</t>
  </si>
  <si>
    <t>b_perc_expenditure_spent_on_energy_nov_overall_D_91_by_b_aver_monthly_income_range</t>
  </si>
  <si>
    <t>b_perc_income_spent_on_energy_dec_overall_D_144_by_b_hh_type</t>
  </si>
  <si>
    <t>b_perc_income_spent_on_energy_dec_overall_D_146_by_b_hh_size_range</t>
  </si>
  <si>
    <t>b_perc_income_spent_on_energy_dec_overall_D_147_by_b_hh_composition</t>
  </si>
  <si>
    <t>b_perc_income_spent_on_energy_dec_overall_D_148_by_b_hh_with_pwd</t>
  </si>
  <si>
    <t>b_perc_income_spent_on_energy_dec_overall_D_149_by_accommodation_ownership</t>
  </si>
  <si>
    <t>b_perc_income_spent_on_energy_dec_overall_D_150_by_b_aver_monthly_income_range</t>
  </si>
  <si>
    <t>b_perc_income_spent_on_energy_dec_rural_urban_145</t>
  </si>
  <si>
    <t>b_perc_income_spent_on_energy_nov_overall_D_92_by_b_hh_type</t>
  </si>
  <si>
    <t>b_perc_income_spent_on_energy_nov_overall_D_94_by_b_hh_size_range</t>
  </si>
  <si>
    <t>b_perc_income_spent_on_energy_nov_overall_D_95_by_b_hh_composition</t>
  </si>
  <si>
    <t>b_perc_income_spent_on_energy_nov_overall_D_96_by_b_hh_with_pwd</t>
  </si>
  <si>
    <t>b_perc_income_spent_on_energy_nov_overall_D_97_by_accommodation_ownership</t>
  </si>
  <si>
    <t>b_perc_income_spent_on_energy_nov_overall_D_98_by_b_aver_monthly_income_range</t>
  </si>
  <si>
    <t>b_perc_income_spent_on_energy_nov_rural_urban_93</t>
  </si>
  <si>
    <t>b_reduce_electricity_overall_D_394_by_b_hh_type</t>
  </si>
  <si>
    <t>b_reduce_electricity_overall_D_396_by_b_hh_size_range</t>
  </si>
  <si>
    <t>b_reduce_electricity_overall_D_397_by_b_hh_composition</t>
  </si>
  <si>
    <t>b_reduce_electricity_overall_D_398_by_b_hh_with_pwd</t>
  </si>
  <si>
    <t>b_reduce_electricity_overall_D_399_by_b_aver_monthly_income_range</t>
  </si>
  <si>
    <t>b_reduce_electricity_overall_D_400_by_b_perc_expenditure_spent_on_energy_nov</t>
  </si>
  <si>
    <t>b_reduce_electricity_overall_D_401_by_b_perc_expenditure_spent_on_energy_dec</t>
  </si>
  <si>
    <t>b_reduce_electricity_overall_D_402_by_b_perc_income_spent_on_energy_nov</t>
  </si>
  <si>
    <t>b_reduce_electricity_overall_D_403_by_b_perc_income_spent_on_energy_dec</t>
  </si>
  <si>
    <t>b_reduce_electricity_overall_D_404_by_amount_evrf_nov_range</t>
  </si>
  <si>
    <t>b_reduce_electricity_overall_D_405_by_amount_evrf_dec_range</t>
  </si>
  <si>
    <t>b_reduce_electricity_rural_urban_395</t>
  </si>
  <si>
    <t>b_reduce_expenses_list_overall_D_454_by_b_hh_type</t>
  </si>
  <si>
    <t>b_reduce_expenses_list_overall_D_456_by_b_hh_size_range</t>
  </si>
  <si>
    <t>b_reduce_expenses_list_overall_D_457_by_b_hh_composition</t>
  </si>
  <si>
    <t>b_reduce_expenses_list_overall_D_458_by_b_hh_with_pwd</t>
  </si>
  <si>
    <t>b_reduce_expenses_list_overall_D_459_by_b_aver_monthly_income_range</t>
  </si>
  <si>
    <t>b_reduce_expenses_list_overall_D_460_by_b_perc_expenditure_spent_on_energy_nov</t>
  </si>
  <si>
    <t>b_reduce_expenses_list_overall_D_461_by_b_perc_expenditure_spent_on_energy_dec</t>
  </si>
  <si>
    <t>b_reduce_expenses_list_overall_D_462_by_b_perc_income_spent_on_energy_nov</t>
  </si>
  <si>
    <t>b_reduce_expenses_list_overall_D_463_by_b_perc_income_spent_on_energy_dec</t>
  </si>
  <si>
    <t>b_reduce_expenses_list_overall_D_464_by_amount_evrf_nov_range</t>
  </si>
  <si>
    <t>b_reduce_expenses_list_overall_D_465_by_amount_evrf_dec_range</t>
  </si>
  <si>
    <t>b_reduce_expenses_list_rural_urban_455</t>
  </si>
  <si>
    <t>b_reduce_expenses_overall_D_442_by_b_hh_type</t>
  </si>
  <si>
    <t>b_reduce_expenses_overall_D_444_by_b_hh_size_range</t>
  </si>
  <si>
    <t>b_reduce_expenses_overall_D_445_by_b_hh_composition</t>
  </si>
  <si>
    <t>b_reduce_expenses_overall_D_446_by_b_hh_with_pwd</t>
  </si>
  <si>
    <t>b_reduce_expenses_overall_D_447_by_b_aver_monthly_income_range</t>
  </si>
  <si>
    <t>67.8%</t>
  </si>
  <si>
    <t>b_reduce_expenses_overall_D_448_by_b_perc_expenditure_spent_on_energy_nov</t>
  </si>
  <si>
    <t>b_reduce_expenses_overall_D_449_by_b_perc_expenditure_spent_on_energy_dec</t>
  </si>
  <si>
    <t>b_reduce_expenses_overall_D_450_by_b_perc_income_spent_on_energy_nov</t>
  </si>
  <si>
    <t>b_reduce_expenses_overall_D_451_by_b_perc_income_spent_on_energy_dec</t>
  </si>
  <si>
    <t>b_reduce_expenses_overall_D_452_by_amount_evrf_nov_range</t>
  </si>
  <si>
    <t>b_reduce_expenses_overall_D_453_by_amount_evrf_dec_range</t>
  </si>
  <si>
    <t>b_reduce_expenses_rural_urban_443</t>
  </si>
  <si>
    <t>b_reduce_gas_overall_D_406_by_b_hh_type</t>
  </si>
  <si>
    <t>b_reduce_gas_overall_D_408_by_b_hh_size_range</t>
  </si>
  <si>
    <t>b_reduce_gas_overall_D_409_by_b_hh_composition</t>
  </si>
  <si>
    <t>b_reduce_gas_overall_D_410_by_b_hh_with_pwd</t>
  </si>
  <si>
    <t>b_reduce_gas_overall_D_411_by_b_aver_monthly_income_range</t>
  </si>
  <si>
    <t>b_reduce_gas_overall_D_412_by_b_perc_expenditure_spent_on_energy_nov</t>
  </si>
  <si>
    <t>b_reduce_gas_overall_D_413_by_b_perc_expenditure_spent_on_energy_dec</t>
  </si>
  <si>
    <t>b_reduce_gas_overall_D_414_by_b_perc_income_spent_on_energy_nov</t>
  </si>
  <si>
    <t>b_reduce_gas_overall_D_415_by_b_perc_income_spent_on_energy_dec</t>
  </si>
  <si>
    <t>b_reduce_gas_overall_D_416_by_amount_evrf_nov_range</t>
  </si>
  <si>
    <t>b_reduce_gas_overall_D_417_by_amount_evrf_dec_range</t>
  </si>
  <si>
    <t>b_reduce_gas_rural_urban_407</t>
  </si>
  <si>
    <t>b_reduce_heat_overall_D_418_by_b_hh_type</t>
  </si>
  <si>
    <t>b_reduce_heat_overall_D_420_by_b_hh_size_range</t>
  </si>
  <si>
    <t>b_reduce_heat_overall_D_421_by_b_hh_composition</t>
  </si>
  <si>
    <t>b_reduce_heat_overall_D_422_by_b_hh_with_pwd</t>
  </si>
  <si>
    <t>b_reduce_heat_overall_D_423_by_b_aver_monthly_income_range</t>
  </si>
  <si>
    <t>b_reduce_heat_overall_D_424_by_b_perc_expenditure_spent_on_energy_nov</t>
  </si>
  <si>
    <t>b_reduce_heat_overall_D_425_by_b_perc_expenditure_spent_on_energy_dec</t>
  </si>
  <si>
    <t>b_reduce_heat_overall_D_426_by_b_perc_income_spent_on_energy_nov</t>
  </si>
  <si>
    <t>b_reduce_heat_overall_D_427_by_b_perc_income_spent_on_energy_dec</t>
  </si>
  <si>
    <t>b_reduce_heat_overall_D_428_by_amount_evrf_nov_range</t>
  </si>
  <si>
    <t>b_reduce_heat_overall_D_429_by_amount_evrf_dec_range</t>
  </si>
  <si>
    <t>b_reduce_heat_rural_urban_419</t>
  </si>
  <si>
    <t>b_reduce_measures_overall_D_430_by_b_hh_type</t>
  </si>
  <si>
    <t>b_reduce_measures_overall_D_432_by_b_hh_size_range</t>
  </si>
  <si>
    <t>b_reduce_measures_overall_D_433_by_b_hh_composition</t>
  </si>
  <si>
    <t>b_reduce_measures_overall_D_434_by_b_hh_with_pwd</t>
  </si>
  <si>
    <t>b_reduce_measures_overall_D_435_by_b_aver_monthly_income_range</t>
  </si>
  <si>
    <t>b_reduce_measures_overall_D_436_by_b_perc_expenditure_spent_on_energy_nov</t>
  </si>
  <si>
    <t>b_reduce_measures_overall_D_437_by_b_perc_expenditure_spent_on_energy_dec</t>
  </si>
  <si>
    <t>b_reduce_measures_overall_D_438_by_b_perc_income_spent_on_energy_nov</t>
  </si>
  <si>
    <t>b_reduce_measures_overall_D_439_by_b_perc_income_spent_on_energy_dec</t>
  </si>
  <si>
    <t>b_reduce_measures_overall_D_440_by_amount_evrf_nov_range</t>
  </si>
  <si>
    <t>b_reduce_measures_overall_D_441_by_amount_evrf_dec_range</t>
  </si>
  <si>
    <t>b_reduce_measures_rural_urban_431</t>
  </si>
  <si>
    <t>b_resources_for_bills_overall_D_339_by_b_hh_type</t>
  </si>
  <si>
    <t>b_resources_for_bills_overall_D_341_by_b_hh_composition</t>
  </si>
  <si>
    <t>b_resources_for_bills_overall_D_342_by_b_hh_with_pwd</t>
  </si>
  <si>
    <t>b_resources_for_bills_overall_D_343_by_accommodation_ownership</t>
  </si>
  <si>
    <t>b_resources_for_bills_rural_urban_340</t>
  </si>
  <si>
    <t>b_strategies_high_costs_overall_D_466_by_b_hh_type</t>
  </si>
  <si>
    <t>b_strategies_high_costs_overall_D_468_by_b_hh_size_range</t>
  </si>
  <si>
    <t>b_strategies_high_costs_overall_D_469_by_b_hh_composition</t>
  </si>
  <si>
    <t>b_strategies_high_costs_overall_D_470_by_b_hh_with_pwd</t>
  </si>
  <si>
    <t>b_strategies_high_costs_overall_D_471_by_b_aver_monthly_income_range</t>
  </si>
  <si>
    <t>b_strategies_high_costs_overall_D_472_by_b_heat_system_primary</t>
  </si>
  <si>
    <t>b_strategies_high_costs_overall_D_473_by_b_perc_expenditure_spent_on_energy_nov</t>
  </si>
  <si>
    <t>b_strategies_high_costs_overall_D_474_by_b_perc_expenditure_spent_on_energy_dec</t>
  </si>
  <si>
    <t>b_strategies_high_costs_overall_D_475_by_b_perc_income_spent_on_energy_nov</t>
  </si>
  <si>
    <t>b_strategies_high_costs_overall_D_476_by_b_perc_income_spent_on_energy_dec</t>
  </si>
  <si>
    <t>b_strategies_high_costs_rural_urban_467</t>
  </si>
  <si>
    <t>b_strategies_list_overall_D_477_by_b_hh_type</t>
  </si>
  <si>
    <t>b_strategies_list_overall_D_479_by_b_hh_composition</t>
  </si>
  <si>
    <t>b_strategies_list_overall_D_480_by_b_hh_with_pwd</t>
  </si>
  <si>
    <t>b_strategies_list_overall_D_481_by_b_aver_monthly_income_range</t>
  </si>
  <si>
    <t>b_strategies_list_overall_D_482_by_b_heat_system_primary</t>
  </si>
  <si>
    <t>b_strategies_list_rural_urban_478</t>
  </si>
  <si>
    <t>b_sw_support_satisfaction_overall_D_206_by_b_hh_type</t>
  </si>
  <si>
    <t>b_sw_support_satisfaction_overall_D_208_by_b_hh_composition</t>
  </si>
  <si>
    <t>b_sw_support_satisfaction_overall_D_209_by_b_hh_with_pwd</t>
  </si>
  <si>
    <t>b_sw_support_satisfaction_rural_urban_207</t>
  </si>
  <si>
    <t>b_temp_dec_overall_D_369_by_b_hh_type</t>
  </si>
  <si>
    <t>b_temp_dec_overall_D_371_by_b_hh_size_range</t>
  </si>
  <si>
    <t>b_temp_dec_overall_D_372_by_b_hh_composition</t>
  </si>
  <si>
    <t>b_temp_dec_overall_D_373_by_b_hh_with_pwd</t>
  </si>
  <si>
    <t>b_temp_dec_overall_D_374_by_b_aver_monthly_income_range</t>
  </si>
  <si>
    <t>b_temp_dec_overall_D_375_by_b_perc_income_spent_on_energy_dec</t>
  </si>
  <si>
    <t>b_temp_dec_overall_D_376_by_b_perc_expenditure_spent_on_energy_dec</t>
  </si>
  <si>
    <t>b_temp_dec_overall_D_377_by_amount_evrf_dec_range</t>
  </si>
  <si>
    <t>b_temp_dec_rural_urban_370</t>
  </si>
  <si>
    <t>b_temp_nov_overall_D_360_by_b_hh_type</t>
  </si>
  <si>
    <t>b_temp_nov_overall_D_362_by_b_hh_size_range</t>
  </si>
  <si>
    <t>b_temp_nov_overall_D_363_by_b_hh_composition</t>
  </si>
  <si>
    <t>b_temp_nov_overall_D_364_by_b_hh_with_pwd</t>
  </si>
  <si>
    <t>b_temp_nov_overall_D_365_by_b_aver_monthly_income_range</t>
  </si>
  <si>
    <t>b_temp_nov_overall_D_366_by_b_perc_expenditure_spent_on_energy_nov</t>
  </si>
  <si>
    <t>b_temp_nov_overall_D_367_by_b_perc_income_spent_on_energy_nov</t>
  </si>
  <si>
    <t>b_temp_nov_overall_D_368_by_amount_evrf_nov_range</t>
  </si>
  <si>
    <t>b_temp_nov_rural_urban_361</t>
  </si>
  <si>
    <t>b_total_bills_dec_overall_D_177_by_amount_evrf_dec_range</t>
  </si>
  <si>
    <t>b_total_bills_dec_overall_D_178_by_b_hh_type</t>
  </si>
  <si>
    <t>b_total_bills_dec_range_overall_D_180_by_b_hh_type</t>
  </si>
  <si>
    <t>b_total_bills_dec_range_overall_D_182_by_b_hh_size_range</t>
  </si>
  <si>
    <t>b_total_bills_dec_range_overall_D_183_by_b_hh_composition</t>
  </si>
  <si>
    <t>b_total_bills_dec_range_overall_D_184_by_b_hh_with_pwd</t>
  </si>
  <si>
    <t>b_total_bills_dec_range_overall_D_185_by_b_aver_monthly_income_range</t>
  </si>
  <si>
    <t>b_total_bills_dec_range_overall_D_186_by_b_heat_system_primary</t>
  </si>
  <si>
    <t>b_total_bills_dec_range_overall_D_187_by_b_hh_heating_systems</t>
  </si>
  <si>
    <t>b_total_bills_dec_range_overall_D_188_by_amount_evrf_dec_range</t>
  </si>
  <si>
    <t>b_total_bills_dec_range_rural_urban_181</t>
  </si>
  <si>
    <t>b_total_bills_dec_rural_urban_179</t>
  </si>
  <si>
    <t>b_total_bills_nov_overall_D_125_by_b_hh_type</t>
  </si>
  <si>
    <t>b_total_bills_nov_range_overall_D_127_by_b_hh_type</t>
  </si>
  <si>
    <t>b_total_bills_nov_range_overall_D_129_by_b_hh_size_range</t>
  </si>
  <si>
    <t>b_total_bills_nov_range_overall_D_130_by_b_hh_composition</t>
  </si>
  <si>
    <t>b_total_bills_nov_range_overall_D_131_by_b_hh_with_pwd</t>
  </si>
  <si>
    <t>b_total_bills_nov_range_overall_D_132_by_b_aver_monthly_income_range</t>
  </si>
  <si>
    <t>b_total_bills_nov_range_overall_D_133_by_b_heat_system_primary</t>
  </si>
  <si>
    <t>b_total_bills_nov_range_overall_D_134_by_b_hh_heating_systems</t>
  </si>
  <si>
    <t>b_total_bills_nov_range_overall_D_135_by_amount_evrf_nov_range</t>
  </si>
  <si>
    <t>b_total_bills_nov_range_rural_urban_128</t>
  </si>
  <si>
    <t>b_total_bills_nov_rural_urban_126</t>
  </si>
  <si>
    <t>diff_amount_evrf_dec_overall_D_268_by_b_hh_type</t>
  </si>
  <si>
    <t>diff_amount_evrf_dec_overall_D_270_by_b_applied_evrf_how</t>
  </si>
  <si>
    <t>diff_amount_evrf_dec_rural_urban_269</t>
  </si>
  <si>
    <t>diff_amount_evrf_nov_overall_D_247_by_b_hh_type</t>
  </si>
  <si>
    <t>diff_amount_evrf_nov_overall_D_249_by_b_applied_evrf_how</t>
  </si>
  <si>
    <t>diff_amount_evrf_nov_rural_urban_248</t>
  </si>
  <si>
    <t>evrf_challenges_list_overall_D_217_by_b_hh_type</t>
  </si>
  <si>
    <t>evrf_challenges_list_overall_D_219_by_b_hh_composition</t>
  </si>
  <si>
    <t>evrf_challenges_list_overall_D_220_by_b_hh_with_pwd</t>
  </si>
  <si>
    <t>evrf_challenges_list_overall_D_221_by_accommodation_ownership</t>
  </si>
  <si>
    <t>evrf_challenges_list_overall_D_222_by_b_legal_status</t>
  </si>
  <si>
    <t>evrf_challenges_list_overall_D_223_by_b_applied_evrf_how</t>
  </si>
  <si>
    <t>evrf_challenges_list_rural_urban_218</t>
  </si>
  <si>
    <t>evrf_challenges_overall_D_210_by_b_hh_type</t>
  </si>
  <si>
    <t>evrf_challenges_overall_D_212_by_b_hh_composition</t>
  </si>
  <si>
    <t>evrf_challenges_overall_D_213_by_b_hh_with_pwd</t>
  </si>
  <si>
    <t>evrf_challenges_overall_D_214_by_accommodation_ownership</t>
  </si>
  <si>
    <t>evrf_challenges_overall_D_215_by_b_legal_status</t>
  </si>
  <si>
    <t>evrf_challenges_overall_D_216_by_b_applied_evrf_how</t>
  </si>
  <si>
    <t>evrf_challenges_rural_urban_211</t>
  </si>
  <si>
    <t>evrf_comparison_overall_D_299_by_b_hh_type</t>
  </si>
  <si>
    <t>evrf_comparison_overall_D_301_by_b_hh_composition</t>
  </si>
  <si>
    <t>evrf_comparison_overall_D_302_by_b_hh_with_pwd</t>
  </si>
  <si>
    <t>evrf_comparison_overall_D_303_by_b_perc_expenditure_spent_on_energy_nov</t>
  </si>
  <si>
    <t>evrf_comparison_overall_D_304_by_b_perc_expenditure_spent_on_energy_dec</t>
  </si>
  <si>
    <t>evrf_comparison_overall_D_305_by_b_perc_income_spent_on_energy_nov</t>
  </si>
  <si>
    <t>evrf_comparison_overall_D_306_by_b_perc_income_spent_on_energy_dec</t>
  </si>
  <si>
    <t>evrf_comparison_overall_D_307_by_amount_evrf_nov_range</t>
  </si>
  <si>
    <t>evrf_comparison_overall_D_308_by_amount_evrf_dec_range</t>
  </si>
  <si>
    <t>evrf_comparison_rural_urban_300</t>
  </si>
  <si>
    <t>evrf_method_overall_D_276_by_b_hh_type</t>
  </si>
  <si>
    <t>evrf_method_overall_D_278_by_b_hh_composition</t>
  </si>
  <si>
    <t>evrf_method_overall_D_279_by_b_hh_with_pwd</t>
  </si>
  <si>
    <t>evrf_method_rural_urban_277</t>
  </si>
  <si>
    <t>improved_living_overall_D_483_by_b_hh_type</t>
  </si>
  <si>
    <t>improved_living_overall_D_485_by_b_hh_size_range</t>
  </si>
  <si>
    <t>improved_living_overall_D_486_by_b_hh_composition</t>
  </si>
  <si>
    <t>improved_living_overall_D_487_by_b_hh_with_pwd</t>
  </si>
  <si>
    <t>improved_living_overall_D_488_by_accommodation_ownership</t>
  </si>
  <si>
    <t>improved_living_overall_D_489_by_b_aver_monthly_income_range</t>
  </si>
  <si>
    <t>improved_living_overall_D_490_by_b_perc_expenditure_spent_on_energy_nov</t>
  </si>
  <si>
    <t>improved_living_overall_D_491_by_b_perc_expenditure_spent_on_energy_dec</t>
  </si>
  <si>
    <t>improved_living_overall_D_492_by_b_perc_income_spent_on_energy_nov</t>
  </si>
  <si>
    <t>improved_living_overall_D_493_by_b_perc_income_spent_on_energy_dec</t>
  </si>
  <si>
    <t>improved_living_overall_D_494_by_amount_evrf_nov_range</t>
  </si>
  <si>
    <t>improved_living_overall_D_495_by_amount_evrf_dec_range</t>
  </si>
  <si>
    <t>improved_living_rural_urban_484</t>
  </si>
  <si>
    <t>meet_needs_evrf_overall_D_548_by_b_hh_type</t>
  </si>
  <si>
    <t>meet_needs_evrf_overall_D_550_by_b_hh_size_range</t>
  </si>
  <si>
    <t>meet_needs_evrf_overall_D_551_by_b_hh_composition</t>
  </si>
  <si>
    <t>meet_needs_evrf_overall_D_552_by_b_hh_with_pwd</t>
  </si>
  <si>
    <t>meet_needs_evrf_overall_D_553_by_accommodation_ownership</t>
  </si>
  <si>
    <t>meet_needs_evrf_overall_D_554_by_b_aver_monthly_income_range</t>
  </si>
  <si>
    <t>meet_needs_evrf_overall_D_555_by_b_perc_expenditure_spent_on_energy_nov</t>
  </si>
  <si>
    <t>meet_needs_evrf_overall_D_556_by_b_perc_expenditure_spent_on_energy_dec</t>
  </si>
  <si>
    <t>meet_needs_evrf_overall_D_557_by_b_perc_income_spent_on_energy_nov</t>
  </si>
  <si>
    <t>meet_needs_evrf_overall_D_558_by_b_perc_income_spent_on_energy_dec</t>
  </si>
  <si>
    <t>meet_needs_evrf_overall_D_559_by_amount_evrf_nov_range</t>
  </si>
  <si>
    <t>meet_needs_evrf_overall_D_560_by_amount_evrf_dec_range</t>
  </si>
  <si>
    <t>meet_needs_evrf_rural_urban_549</t>
  </si>
  <si>
    <t>needed_aid_overall_D_280_by_b_hh_type</t>
  </si>
  <si>
    <t>needed_aid_overall_D_282_by_b_hh_composition</t>
  </si>
  <si>
    <t>needed_aid_overall_D_283_by_b_hh_with_pwd</t>
  </si>
  <si>
    <t>needed_aid_rural_urban_281</t>
  </si>
  <si>
    <t>payment_dissatisfaction_overall_D_583_by_b_hh_type</t>
  </si>
  <si>
    <t>payment_dissatisfaction_overall_D_585_by_b_hh_composition</t>
  </si>
  <si>
    <t>payment_dissatisfaction_overall_D_586_by_b_hh_with_pwd</t>
  </si>
  <si>
    <t>payment_dissatisfaction_overall_D_587_by_evrf_method</t>
  </si>
  <si>
    <t>payment_dissatisfaction_rural_urban_584</t>
  </si>
  <si>
    <t>payment_satisfaction_overall_D_578_by_b_hh_type</t>
  </si>
  <si>
    <t>payment_satisfaction_overall_D_580_by_b_hh_composition</t>
  </si>
  <si>
    <t>payment_satisfaction_overall_D_581_by_b_hh_with_pwd</t>
  </si>
  <si>
    <t>payment_satisfaction_overall_D_582_by_evrf_method</t>
  </si>
  <si>
    <t>payment_satisfaction_rural_urban_579</t>
  </si>
  <si>
    <t>perc_total_bills_compensated_dec_overall_D_352_by_b_hh_type</t>
  </si>
  <si>
    <t>perc_total_bills_compensated_dec_overall_D_354_by_b_hh_size_range</t>
  </si>
  <si>
    <t>perc_total_bills_compensated_dec_overall_D_355_by_b_hh_composition</t>
  </si>
  <si>
    <t>perc_total_bills_compensated_dec_overall_D_356_by_b_hh_with_pwd</t>
  </si>
  <si>
    <t>perc_total_bills_compensated_dec_overall_D_357_by_b_aver_monthly_income_range</t>
  </si>
  <si>
    <t>perc_total_bills_compensated_dec_overall_D_358_by_b_heat_system_primary</t>
  </si>
  <si>
    <t>perc_total_bills_compensated_dec_overall_D_359_by_b_hh_heating_systems</t>
  </si>
  <si>
    <t>perc_total_bills_compensated_dec_rural_urban_353</t>
  </si>
  <si>
    <t>perc_total_bills_compensated_nov_overall_D_344_by_b_hh_type</t>
  </si>
  <si>
    <t>perc_total_bills_compensated_nov_overall_D_346_by_b_hh_size_range</t>
  </si>
  <si>
    <t>perc_total_bills_compensated_nov_overall_D_347_by_b_hh_composition</t>
  </si>
  <si>
    <t>perc_total_bills_compensated_nov_overall_D_348_by_b_hh_with_pwd</t>
  </si>
  <si>
    <t>perc_total_bills_compensated_nov_overall_D_349_by_b_aver_monthly_income_range</t>
  </si>
  <si>
    <t>perc_total_bills_compensated_nov_overall_D_350_by_b_heat_system_primary</t>
  </si>
  <si>
    <t>perc_total_bills_compensated_nov_overall_D_351_by_b_hh_heating_systems</t>
  </si>
  <si>
    <t>perc_total_bills_compensated_nov_rural_urban_345</t>
  </si>
  <si>
    <t>prefer_evrf_method_overall_D_573_by_b_hh_type</t>
  </si>
  <si>
    <t>prefer_evrf_method_overall_D_575_by_b_hh_composition</t>
  </si>
  <si>
    <t>prefer_evrf_method_overall_D_576_by_b_hh_with_pwd</t>
  </si>
  <si>
    <t>prefer_evrf_method_overall_D_577_by_b_aver_monthly_income_range</t>
  </si>
  <si>
    <t>prefer_evrf_method_rural_urban_574</t>
  </si>
  <si>
    <t>received_aid_from_overall_D_284_by_b_hh_type</t>
  </si>
  <si>
    <t>received_aid_from_overall_D_286_by_b_hh_composition</t>
  </si>
  <si>
    <t>received_aid_from_overall_D_287_by_b_hh_with_pwd</t>
  </si>
  <si>
    <t>received_aid_from_rural_urban_285</t>
  </si>
  <si>
    <t>received_evrf_dec_date_overall_D_271_by_b_hh_type</t>
  </si>
  <si>
    <t>received_evrf_dec_date_overall_D_273_by_b_applied_evrf_how</t>
  </si>
  <si>
    <t>received_evrf_dec_date_overall_D_274_by_amount_evrf_dec_range</t>
  </si>
  <si>
    <t>received_evrf_dec_date_overall_D_275_by_evrf_method</t>
  </si>
  <si>
    <t>received_evrf_dec_date_rural_urban_272</t>
  </si>
  <si>
    <t>received_evrf_nov_date_overall_D_250_by_b_hh_type</t>
  </si>
  <si>
    <t>received_evrf_nov_date_overall_D_252_by_b_applied_evrf_how</t>
  </si>
  <si>
    <t>received_evrf_nov_date_overall_D_253_by_amount_evrf_nov_range</t>
  </si>
  <si>
    <t>received_evrf_nov_date_overall_D_254_by_evrf_method</t>
  </si>
  <si>
    <t>received_evrf_nov_date_rural_urban_251</t>
  </si>
  <si>
    <t>reduced_fin_burden_overall_D_509_by_b_hh_type</t>
  </si>
  <si>
    <t>reduced_fin_burden_overall_D_511_by_b_hh_size_range</t>
  </si>
  <si>
    <t>reduced_fin_burden_overall_D_512_by_b_hh_composition</t>
  </si>
  <si>
    <t>reduced_fin_burden_overall_D_513_by_b_hh_with_pwd</t>
  </si>
  <si>
    <t>reduced_fin_burden_overall_D_514_by_accommodation_ownership</t>
  </si>
  <si>
    <t>reduced_fin_burden_overall_D_515_by_b_aver_monthly_income_range</t>
  </si>
  <si>
    <t>reduced_fin_burden_overall_D_516_by_b_perc_expenditure_spent_on_energy_nov</t>
  </si>
  <si>
    <t>reduced_fin_burden_overall_D_517_by_b_perc_expenditure_spent_on_energy_dec</t>
  </si>
  <si>
    <t>reduced_fin_burden_overall_D_518_by_b_perc_income_spent_on_energy_nov</t>
  </si>
  <si>
    <t>reduced_fin_burden_overall_D_519_by_b_perc_income_spent_on_energy_dec</t>
  </si>
  <si>
    <t>reduced_fin_burden_overall_D_520_by_amount_evrf_nov_range</t>
  </si>
  <si>
    <t>reduced_fin_burden_overall_D_521_by_amount_evrf_dec_range</t>
  </si>
  <si>
    <t>reduced_fin_burden_rural_urban_510</t>
  </si>
  <si>
    <t>reduced_risky_activity_overall_D_522_by_b_hh_type</t>
  </si>
  <si>
    <t>reduced_risky_activity_overall_D_524_by_b_hh_size_range</t>
  </si>
  <si>
    <t>reduced_risky_activity_overall_D_525_by_b_hh_composition</t>
  </si>
  <si>
    <t>reduced_risky_activity_overall_D_526_by_b_hh_with_pwd</t>
  </si>
  <si>
    <t>reduced_risky_activity_overall_D_527_by_accommodation_ownership</t>
  </si>
  <si>
    <t>reduced_risky_activity_overall_D_528_by_b_aver_monthly_income_range</t>
  </si>
  <si>
    <t>reduced_risky_activity_overall_D_529_by_b_perc_expenditure_spent_on_energy_nov</t>
  </si>
  <si>
    <t>reduced_risky_activity_overall_D_530_by_b_perc_expenditure_spent_on_energy_dec</t>
  </si>
  <si>
    <t>reduced_risky_activity_overall_D_531_by_b_perc_income_spent_on_energy_nov</t>
  </si>
  <si>
    <t>reduced_risky_activity_overall_D_532_by_b_perc_income_spent_on_energy_dec</t>
  </si>
  <si>
    <t>reduced_risky_activity_overall_D_533_by_amount_evrf_nov_range</t>
  </si>
  <si>
    <t>reduced_risky_activity_overall_D_534_by_amount_evrf_dec_range</t>
  </si>
  <si>
    <t>reduced_risky_activity_rural_urban_523</t>
  </si>
  <si>
    <t>reduced_stress_overall_D_496_by_b_hh_type</t>
  </si>
  <si>
    <t>reduced_stress_overall_D_498_by_b_hh_size_range</t>
  </si>
  <si>
    <t>reduced_stress_overall_D_499_by_b_hh_composition</t>
  </si>
  <si>
    <t>reduced_stress_overall_D_500_by_b_hh_with_pwd</t>
  </si>
  <si>
    <t>reduced_stress_overall_D_501_by_accommodation_ownership</t>
  </si>
  <si>
    <t>reduced_stress_overall_D_502_by_b_aver_monthly_income_range</t>
  </si>
  <si>
    <t>reduced_stress_overall_D_503_by_b_perc_expenditure_spent_on_energy_nov</t>
  </si>
  <si>
    <t>reduced_stress_overall_D_504_by_b_perc_expenditure_spent_on_energy_dec</t>
  </si>
  <si>
    <t>reduced_stress_overall_D_505_by_b_perc_income_spent_on_energy_nov</t>
  </si>
  <si>
    <t>reduced_stress_overall_D_506_by_b_perc_income_spent_on_energy_dec</t>
  </si>
  <si>
    <t>reduced_stress_overall_D_507_by_amount_evrf_nov_range</t>
  </si>
  <si>
    <t>reduced_stress_overall_D_508_by_amount_evrf_dec_range</t>
  </si>
  <si>
    <t>reduced_stress_rural_urban_497</t>
  </si>
  <si>
    <t>spent_cash_on_overall_D_309_by_b_hh_type</t>
  </si>
  <si>
    <t>spent_cash_on_overall_D_311_by_b_hh_composition</t>
  </si>
  <si>
    <t>spent_cash_on_overall_D_312_by_b_hh_with_pwd</t>
  </si>
  <si>
    <t>spent_cash_on_rural_urban_310</t>
  </si>
  <si>
    <t>voucher_overall_D_288_by_b_hh_type</t>
  </si>
  <si>
    <t>voucher_overall_D_290_by_b_evrf_23_24</t>
  </si>
  <si>
    <t>voucher_overall_D_291_by_b_applied_evrf_how</t>
  </si>
  <si>
    <t>voucher_rural_urban_289</t>
  </si>
  <si>
    <t>voucher_type_overall_292</t>
  </si>
  <si>
    <t>accommodation_ownership_overall_D_35_by_hh_type</t>
  </si>
  <si>
    <t>accommodation_ownership_overall_D_37_by_refugee</t>
  </si>
  <si>
    <t>accommodation_ownership_rural_urban_36</t>
  </si>
  <si>
    <t>accommodation_type_overall_D_33_by_hh_type</t>
  </si>
  <si>
    <t>accommodation_type_rural_urban_34</t>
  </si>
  <si>
    <t>add_assistance_overall_D_386_by_hh_type</t>
  </si>
  <si>
    <t>add_assistance_overall_D_388_by_hh_composition</t>
  </si>
  <si>
    <t>add_assistance_overall_D_389_by_hh_with_pwd</t>
  </si>
  <si>
    <t>add_assistance_overall_D_390_by_hh_heating_systems</t>
  </si>
  <si>
    <t>add_assistance_rural_urban_387</t>
  </si>
  <si>
    <t>affected_health_how_overall_D_314_by_hh_type</t>
  </si>
  <si>
    <t>affected_health_overall_D_312_by_hh_type</t>
  </si>
  <si>
    <t>affected_health_rural_urban_313</t>
  </si>
  <si>
    <t>application_dissatisfaction_overall_D_224_by_hh_with_pwd</t>
  </si>
  <si>
    <t>application_satisfaction_overall_D_219_by_hh_type</t>
  </si>
  <si>
    <t>application_satisfaction_overall_D_221_by_hh_composition</t>
  </si>
  <si>
    <t>application_satisfaction_overall_D_222_by_hh_with_pwd</t>
  </si>
  <si>
    <t>application_satisfaction_overall_D_223_by_applied_evrf_how</t>
  </si>
  <si>
    <t>application_satisfaction_rural_urban_220</t>
  </si>
  <si>
    <t>applied_evrf_how_overall_D_215_by_hh_type</t>
  </si>
  <si>
    <t>applied_evrf_how_overall_D_217_by_hh_composition</t>
  </si>
  <si>
    <t>applied_evrf_how_overall_D_218_by_hh_with_pwd</t>
  </si>
  <si>
    <t>applied_evrf_how_rural_urban_216</t>
  </si>
  <si>
    <t>aver_monthly_expense_overall_D_50_by_hh_type</t>
  </si>
  <si>
    <t>aver_monthly_expense_rural_urban_51</t>
  </si>
  <si>
    <t>aver_monthly_income_overall_D_42_by_hh_type</t>
  </si>
  <si>
    <t>aver_monthly_income_range_overall_D_44_by_hh_type</t>
  </si>
  <si>
    <t>aver_monthly_income_range_overall_D_46_by_hh_size_range</t>
  </si>
  <si>
    <t>aver_monthly_income_range_overall_D_47_by_hh_composition</t>
  </si>
  <si>
    <t>aver_monthly_income_range_overall_D_48_by_hh_with_pwd</t>
  </si>
  <si>
    <t>aver_monthly_income_range_overall_D_49_by_nr_ppl_earning_income_range</t>
  </si>
  <si>
    <t>aver_monthly_income_range_rural_urban_45</t>
  </si>
  <si>
    <t>aver_monthly_income_rural_urban_43</t>
  </si>
  <si>
    <t>aware_of_evrf_how_overall_D_197_by_hh_type</t>
  </si>
  <si>
    <t>aware_of_evrf_how_overall_D_199_by_resp_age_range</t>
  </si>
  <si>
    <t>aware_of_evrf_how_overall_D_200_by_hh_with_pwd</t>
  </si>
  <si>
    <t>aware_of_evrf_how_rural_urban_198</t>
  </si>
  <si>
    <t>cannot_meet_needs_overall_380</t>
  </si>
  <si>
    <t>cannot_meet_needs_overall_D_381_by_hh_type</t>
  </si>
  <si>
    <t>cannot_meet_needs_overall_D_383_by_hh_composition</t>
  </si>
  <si>
    <t>cannot_meet_needs_overall_D_384_by_hh_with_pwd</t>
  </si>
  <si>
    <t>cannot_meet_needs_overall_D_385_by_aver_monthly_income_range</t>
  </si>
  <si>
    <t>cannot_meet_needs_rural_urban_382</t>
  </si>
  <si>
    <t>cost_energy_dec_overall_D_173_by_hh_type</t>
  </si>
  <si>
    <t>cost_energy_dec_overall_D_175_by_hh_composition</t>
  </si>
  <si>
    <t>cost_energy_dec_overall_D_176_by_hh_with_pwd</t>
  </si>
  <si>
    <t>cost_energy_dec_overall_D_177_by_aver_monthly_income_range</t>
  </si>
  <si>
    <t>cost_energy_dec_overall_D_178_by_heat_system_primary</t>
  </si>
  <si>
    <t>cost_energy_dec_overall_D_179_by_hh_heating_systems</t>
  </si>
  <si>
    <t>cost_energy_dec_rural_urban_174</t>
  </si>
  <si>
    <t>cost_energy_nov_overall_D_124_by_hh_type</t>
  </si>
  <si>
    <t>cost_energy_nov_overall_D_126_by_hh_size_range</t>
  </si>
  <si>
    <t>cost_energy_nov_overall_D_127_by_hh_composition</t>
  </si>
  <si>
    <t>cost_energy_nov_overall_D_128_by_hh_with_pwd</t>
  </si>
  <si>
    <t>cost_energy_nov_overall_D_129_by_aver_monthly_income_range</t>
  </si>
  <si>
    <t>cost_energy_nov_overall_D_130_by_heat_system_primary</t>
  </si>
  <si>
    <t>cost_energy_nov_overall_D_131_by_hh_heating_systems</t>
  </si>
  <si>
    <t>cost_energy_nov_rural_urban_125</t>
  </si>
  <si>
    <t>cost_gas_dec_overall_D_157_by_hh_type</t>
  </si>
  <si>
    <t>cost_gas_dec_overall_D_159_by_hh_size_range</t>
  </si>
  <si>
    <t>cost_gas_dec_overall_D_160_by_hh_composition</t>
  </si>
  <si>
    <t>cost_gas_dec_overall_D_161_by_hh_with_pwd</t>
  </si>
  <si>
    <t>cost_gas_dec_overall_D_162_by_aver_monthly_income_range</t>
  </si>
  <si>
    <t>cost_gas_dec_overall_D_163_by_heat_system_primary</t>
  </si>
  <si>
    <t>cost_gas_dec_overall_D_164_by_hh_heating_systems</t>
  </si>
  <si>
    <t>cost_gas_dec_rural_urban_158</t>
  </si>
  <si>
    <t>cost_gas_nov_overall_D_107_by_hh_type</t>
  </si>
  <si>
    <t>cost_gas_nov_overall_D_109_by_hh_size_range</t>
  </si>
  <si>
    <t>cost_gas_nov_overall_D_110_by_hh_composition</t>
  </si>
  <si>
    <t>cost_gas_nov_overall_D_111_by_hh_with_pwd</t>
  </si>
  <si>
    <t>cost_gas_nov_overall_D_112_by_aver_monthly_income_range</t>
  </si>
  <si>
    <t>cost_gas_nov_overall_D_113_by_heat_system_primary</t>
  </si>
  <si>
    <t>cost_gas_nov_overall_D_114_by_hh_heating_systems</t>
  </si>
  <si>
    <t>cost_gas_nov_rural_urban_108</t>
  </si>
  <si>
    <t>cost_heat_dec_overall_D_166_by_hh_type</t>
  </si>
  <si>
    <t>cost_heat_dec_overall_D_168_by_hh_composition</t>
  </si>
  <si>
    <t>cost_heat_dec_overall_D_169_by_hh_with_pwd</t>
  </si>
  <si>
    <t>cost_heat_dec_overall_D_170_by_aver_monthly_income_range</t>
  </si>
  <si>
    <t>cost_heat_dec_overall_D_171_by_heat_system_primary</t>
  </si>
  <si>
    <t>cost_heat_dec_overall_D_172_by_hh_heating_systems</t>
  </si>
  <si>
    <t>cost_heat_dec_rural_urban_167</t>
  </si>
  <si>
    <t>cost_heat_nov_overall_D_116_by_hh_type</t>
  </si>
  <si>
    <t>cost_heat_nov_overall_D_118_by_hh_size_range</t>
  </si>
  <si>
    <t>cost_heat_nov_overall_D_119_by_hh_composition</t>
  </si>
  <si>
    <t>cost_heat_nov_overall_D_120_by_hh_with_pwd</t>
  </si>
  <si>
    <t>cost_heat_nov_overall_D_121_by_aver_monthly_income_range</t>
  </si>
  <si>
    <t>cost_heat_nov_overall_D_122_by_heat_system_primary</t>
  </si>
  <si>
    <t>cost_heat_nov_overall_D_123_by_hh_heating_systems</t>
  </si>
  <si>
    <t>cost_heat_nov_rural_urban_117</t>
  </si>
  <si>
    <t>cover_bills_dec_overall_D_280_by_hh_type</t>
  </si>
  <si>
    <t>cover_bills_dec_overall_D_282_by_hh_composition</t>
  </si>
  <si>
    <t>cover_bills_dec_overall_D_283_by_hh_with_pwd</t>
  </si>
  <si>
    <t>cover_bills_dec_overall_D_284_by_aver_monthly_income_range</t>
  </si>
  <si>
    <t>cover_bills_dec_overall_D_285_by_accommodation_ownership</t>
  </si>
  <si>
    <t>cover_bills_dec_overall_D_286_by_heat_system_primary</t>
  </si>
  <si>
    <t>cover_bills_dec_overall_D_287_by_hh_heating_systems</t>
  </si>
  <si>
    <t>cover_bills_dec_overall_D_288_by_gas_usage_full</t>
  </si>
  <si>
    <t>cover_bills_dec_overall_D_289_by_perc_expenditure_spent_on_energy_dec</t>
  </si>
  <si>
    <t>cover_bills_dec_overall_D_290_by_perc_income_spent_on_energy_dec</t>
  </si>
  <si>
    <t>cover_bills_dec_rural_urban_281</t>
  </si>
  <si>
    <t>cover_bills_nov_overall_D_268_by_hh_type</t>
  </si>
  <si>
    <t>cover_bills_nov_overall_D_270_by_hh_size_range</t>
  </si>
  <si>
    <t>cover_bills_nov_overall_D_271_by_hh_composition</t>
  </si>
  <si>
    <t>cover_bills_nov_overall_D_272_by_hh_with_pwd</t>
  </si>
  <si>
    <t>cover_bills_nov_overall_D_273_by_accommodation_ownership</t>
  </si>
  <si>
    <t>cover_bills_nov_overall_D_274_by_aver_monthly_income_range</t>
  </si>
  <si>
    <t>cover_bills_nov_overall_D_275_by_heat_system_primary</t>
  </si>
  <si>
    <t>cover_bills_nov_overall_D_276_by_hh_heating_systems</t>
  </si>
  <si>
    <t>cover_bills_nov_overall_D_277_by_gas_usage_full</t>
  </si>
  <si>
    <t>cover_bills_nov_overall_D_278_by_perc_expenditure_spent_on_energy_nov</t>
  </si>
  <si>
    <t>cover_bills_nov_overall_D_279_by_perc_income_spent_on_energy_nov</t>
  </si>
  <si>
    <t>cover_bills_nov_rural_urban_269</t>
  </si>
  <si>
    <t>evrf_23_24_overall_D_254_by_hh_type</t>
  </si>
  <si>
    <t>evrf_23_24_overall_D_256_by_hh_composition</t>
  </si>
  <si>
    <t>evrf_23_24_overall_D_257_by_hh_with_pwd</t>
  </si>
  <si>
    <t>evrf_23_24_overall_D_258_by_applied_evrf_how</t>
  </si>
  <si>
    <t>evrf_23_24_overall_D_259_by_aware_of_evrf_how</t>
  </si>
  <si>
    <t>evrf_23_24_rural_urban_255</t>
  </si>
  <si>
    <t>evrf_changes_overall_D_260_by_hh_type</t>
  </si>
  <si>
    <t>evrf_changes_overall_D_262_by_hh_composition</t>
  </si>
  <si>
    <t>evrf_changes_overall_D_263_by_hh_with_pwd</t>
  </si>
  <si>
    <t>evrf_changes_overall_D_264_by_accommodation_ownership</t>
  </si>
  <si>
    <t>evrf_changes_overall_D_265_by_heat_system_primary</t>
  </si>
  <si>
    <t>evrf_changes_overall_D_266_by_legal_status</t>
  </si>
  <si>
    <t>evrf_changes_overall_D_267_by_applied_evrf_how</t>
  </si>
  <si>
    <t>evrf_changes_rural_urban_261</t>
  </si>
  <si>
    <t>financial_stress_dec_overall_D_59_by_hh_type</t>
  </si>
  <si>
    <t>financial_stress_dec_overall_D_61_by_hh_size_range</t>
  </si>
  <si>
    <t>financial_stress_dec_overall_D_62_by_hh_composition</t>
  </si>
  <si>
    <t>financial_stress_dec_overall_D_63_by_hh_with_pwd</t>
  </si>
  <si>
    <t>financial_stress_dec_overall_D_64_by_accommodation_ownership</t>
  </si>
  <si>
    <t>financial_stress_dec_overall_D_65_by_aver_monthly_income_range</t>
  </si>
  <si>
    <t>financial_stress_dec_rural_urban_60</t>
  </si>
  <si>
    <t>financial_stress_nov_overall_D_52_by_hh_type</t>
  </si>
  <si>
    <t>financial_stress_nov_overall_D_54_by_hh_size_range</t>
  </si>
  <si>
    <t>financial_stress_nov_overall_D_55_by_hh_composition</t>
  </si>
  <si>
    <t>financial_stress_nov_overall_D_56_by_hh_with_pwd</t>
  </si>
  <si>
    <t>financial_stress_nov_overall_D_57_by_accommodation_ownership</t>
  </si>
  <si>
    <t>financial_stress_nov_overall_D_58_by_aver_monthly_income_range</t>
  </si>
  <si>
    <t>financial_stress_nov_rural_urban_53</t>
  </si>
  <si>
    <t>gas_usage_full_overall_D_85_by_hh_type</t>
  </si>
  <si>
    <t>gas_usage_full_overall_D_87_by_aver_monthly_income_range</t>
  </si>
  <si>
    <t>gas_usage_full_overall_D_88_by_perc_expenditure_spent_on_energy_nov</t>
  </si>
  <si>
    <t>gas_usage_full_overall_D_89_by_perc_expenditure_spent_on_energy_dec</t>
  </si>
  <si>
    <t>gas_usage_full_overall_D_90_by_perc_income_spent_on_energy_nov</t>
  </si>
  <si>
    <t>gas_usage_full_overall_D_91_by_perc_income_spent_on_energy_dec</t>
  </si>
  <si>
    <t>gas_usage_full_rural_urban_86</t>
  </si>
  <si>
    <t>heat_system_primary_overall_D_66_by_hh_type</t>
  </si>
  <si>
    <t>heat_system_primary_overall_D_68_by_hh_size_range</t>
  </si>
  <si>
    <t>heat_system_primary_overall_D_69_by_perc_expenditure_spent_on_energy_nov</t>
  </si>
  <si>
    <t>heat_system_primary_overall_D_70_by_perc_expenditure_spent_on_energy_dec</t>
  </si>
  <si>
    <t>heat_system_primary_overall_D_71_by_perc_income_spent_on_energy_nov</t>
  </si>
  <si>
    <t>heat_system_primary_overall_D_72_by_perc_income_spent_on_energy_dec</t>
  </si>
  <si>
    <t>heat_system_primary_rural_urban_67</t>
  </si>
  <si>
    <t>heat_system_secondary_overall_D_73_by_hh_type</t>
  </si>
  <si>
    <t>heat_system_secondary_rural_urban_74</t>
  </si>
  <si>
    <t>hh_composition_overall_D_24_by_hh_type</t>
  </si>
  <si>
    <t>hh_composition_rural_urban_25</t>
  </si>
  <si>
    <t>hh_heating_systems_overall_D_75_by_hh_type</t>
  </si>
  <si>
    <t>hh_heating_systems_overall_D_77_by_heat_system_primary</t>
  </si>
  <si>
    <t>hh_heating_systems_overall_D_78_by_hh_size_range</t>
  </si>
  <si>
    <t>hh_heating_systems_overall_D_79_by_aver_monthly_income_range</t>
  </si>
  <si>
    <t>hh_heating_systems_overall_D_80_by_applied_evrf_how</t>
  </si>
  <si>
    <t>hh_heating_systems_overall_D_81_by_perc_expenditure_spent_on_energy_nov</t>
  </si>
  <si>
    <t>hh_heating_systems_overall_D_82_by_perc_expenditure_spent_on_energy_dec</t>
  </si>
  <si>
    <t>hh_heating_systems_overall_D_83_by_perc_income_spent_on_energy_nov</t>
  </si>
  <si>
    <t>hh_heating_systems_overall_D_84_by_perc_income_spent_on_energy_dec</t>
  </si>
  <si>
    <t>hh_heating_systems_rural_urban_76</t>
  </si>
  <si>
    <t>hh_paid_for_gas_dec_overall_D_156_by_hh_type</t>
  </si>
  <si>
    <t>hh_paid_for_gas_nov_overall_D_106_by_hh_type</t>
  </si>
  <si>
    <t>hh_paid_for_heat_dec_overall_D_165_by_hh_type</t>
  </si>
  <si>
    <t>hh_paid_for_heat_nov_overall_D_115_by_hh_type</t>
  </si>
  <si>
    <t>hh_size_overall_19</t>
  </si>
  <si>
    <t>hh_size_overall_D_20_by_hh_type</t>
  </si>
  <si>
    <t>hh_size_range_overall_D_21_by_hh_type</t>
  </si>
  <si>
    <t>hh_type_mixed_overall_17</t>
  </si>
  <si>
    <t>hh_type_overall_16</t>
  </si>
  <si>
    <t>meet_needs_overall_D_369_by_hh_type</t>
  </si>
  <si>
    <t>meet_needs_overall_D_371_by_hh_size_range</t>
  </si>
  <si>
    <t>meet_needs_overall_D_372_by_hh_composition</t>
  </si>
  <si>
    <t>meet_needs_overall_D_373_by_hh_with_pwd</t>
  </si>
  <si>
    <t>meet_needs_overall_D_374_by_accommodation_ownership</t>
  </si>
  <si>
    <t>meet_needs_overall_D_375_by_aver_monthly_income_range</t>
  </si>
  <si>
    <t>meet_needs_overall_D_376_by_perc_expenditure_spent_on_energy_nov</t>
  </si>
  <si>
    <t>meet_needs_overall_D_377_by_perc_expenditure_spent_on_energy_dec</t>
  </si>
  <si>
    <t>meet_needs_overall_D_378_by_perc_income_spent_on_energy_nov</t>
  </si>
  <si>
    <t>meet_needs_overall_D_379_by_perc_income_spent_on_energy_dec</t>
  </si>
  <si>
    <t>meet_needs_rural_urban_370</t>
  </si>
  <si>
    <t>nonbnf_applied_evrf_overall_D_201_by_hh_type</t>
  </si>
  <si>
    <t>nonbnf_applied_evrf_overall_D_203_by_hh_with_pwd</t>
  </si>
  <si>
    <t>nonbnf_applied_evrf_overall_D_204_by_accommodation_ownership</t>
  </si>
  <si>
    <t>nonbnf_applied_evrf_overall_D_205_by_aver_monthly_income_range</t>
  </si>
  <si>
    <t>nonbnf_applied_evrf_overall_D_206_by_heat_system_primary</t>
  </si>
  <si>
    <t>nonbnf_applied_evrf_overall_D_207_by_hh_heating_systems</t>
  </si>
  <si>
    <t>nonbnf_applied_evrf_overall_D_208_by_legal_status</t>
  </si>
  <si>
    <t>nonbnf_applied_evrf_overall_D_209_by_time_in_mda</t>
  </si>
  <si>
    <t>nonbnf_applied_evrf_overall_D_210_by_perc_expenditure_spent_on_energy_nov</t>
  </si>
  <si>
    <t>nonbnf_applied_evrf_overall_D_211_by_perc_expenditure_spent_on_energy_dec</t>
  </si>
  <si>
    <t>nonbnf_applied_evrf_overall_D_212_by_perc_income_spent_on_energy_nov</t>
  </si>
  <si>
    <t>nonbnf_applied_evrf_overall_D_213_by_perc_income_spent_on_energy_dec</t>
  </si>
  <si>
    <t>nonbnf_applied_evrf_overall_D_214_by_nonbnf_aware_of_evrf</t>
  </si>
  <si>
    <t>nonbnf_applied_evrf_rural_urban_202</t>
  </si>
  <si>
    <t>nonbnf_aware_of_evrf_overall_D_189_by_hh_type</t>
  </si>
  <si>
    <t>nonbnf_aware_of_evrf_overall_D_191_by_hh_with_pwd</t>
  </si>
  <si>
    <t>nonbnf_aware_of_evrf_overall_D_192_by_accommodation_ownership</t>
  </si>
  <si>
    <t>nonbnf_aware_of_evrf_overall_D_193_by_legal_status</t>
  </si>
  <si>
    <t>nonbnf_aware_of_evrf_overall_D_194_by_time_in_mda</t>
  </si>
  <si>
    <t>nonbnf_aware_of_evrf_overall_D_195_by_nonbnf_applied_evrf</t>
  </si>
  <si>
    <t>nonbnf_aware_of_evrf_overall_D_196_by_aware_of_evrf_how</t>
  </si>
  <si>
    <t>nonbnf_aware_of_evrf_rural_urban_190</t>
  </si>
  <si>
    <t>nonbnf_not_applied_evrf_overall_D_241_by_hh_type</t>
  </si>
  <si>
    <t>nonbnf_not_applied_evrf_overall_D_243_by_hh_composition</t>
  </si>
  <si>
    <t>nonbnf_not_applied_evrf_overall_D_244_by_hh_with_pwd</t>
  </si>
  <si>
    <t>nonbnf_not_applied_evrf_overall_D_245_by_accommodation_ownership</t>
  </si>
  <si>
    <t>nonbnf_not_applied_evrf_overall_D_246_by_aver_monthly_income_range</t>
  </si>
  <si>
    <t>nonbnf_not_applied_evrf_overall_D_247_by_legal_status</t>
  </si>
  <si>
    <t>nonbnf_not_applied_evrf_overall_D_248_by_time_in_mda</t>
  </si>
  <si>
    <t>nonbnf_not_applied_evrf_overall_D_249_by_perc_expenditure_spent_on_energy_nov</t>
  </si>
  <si>
    <t>nonbnf_not_applied_evrf_overall_D_250_by_perc_expenditure_spent_on_energy_dec</t>
  </si>
  <si>
    <t>nonbnf_not_applied_evrf_overall_D_251_by_perc_income_spent_on_energy_nov</t>
  </si>
  <si>
    <t>nonbnf_not_applied_evrf_overall_D_252_by_perc_income_spent_on_energy_dec</t>
  </si>
  <si>
    <t>nonbnf_not_applied_evrf_overall_D_253_by_nonbnf_aware_of_evrf</t>
  </si>
  <si>
    <t>nonbnf_not_applied_evrf_rural_urban_242</t>
  </si>
  <si>
    <t>nonbnf_reason_no_evrf_overall_D_227_by_hh_type</t>
  </si>
  <si>
    <t>nonbnf_reason_no_evrf_overall_D_229_by_hh_composition</t>
  </si>
  <si>
    <t>nonbnf_reason_no_evrf_overall_D_230_by_hh_with_pwd</t>
  </si>
  <si>
    <t>nonbnf_reason_no_evrf_overall_D_231_by_accommodation_ownership</t>
  </si>
  <si>
    <t>nonbnf_reason_no_evrf_overall_D_232_by_aver_monthly_income_range</t>
  </si>
  <si>
    <t>nonbnf_reason_no_evrf_overall_D_233_by_heat_system_primary</t>
  </si>
  <si>
    <t>nonbnf_reason_no_evrf_overall_D_234_by_hh_heating_systems</t>
  </si>
  <si>
    <t>nonbnf_reason_no_evrf_overall_D_235_by_legal_status</t>
  </si>
  <si>
    <t>nonbnf_reason_no_evrf_overall_D_236_by_time_in_mda</t>
  </si>
  <si>
    <t>nonbnf_reason_no_evrf_overall_D_237_by_perc_expenditure_spent_on_energy_nov</t>
  </si>
  <si>
    <t>nonbnf_reason_no_evrf_overall_D_238_by_perc_expenditure_spent_on_energy_dec</t>
  </si>
  <si>
    <t>nonbnf_reason_no_evrf_overall_D_239_by_perc_income_spent_on_energy_nov</t>
  </si>
  <si>
    <t>nonbnf_reason_no_evrf_overall_D_240_by_perc_income_spent_on_energy_dec</t>
  </si>
  <si>
    <t>nonbnf_reason_no_evrf_rural_urban_228</t>
  </si>
  <si>
    <t>nr_children_overall_D_26_by_hh_type</t>
  </si>
  <si>
    <t>nr_ppl_earning_income_range_overall_D_38_by_hh_type</t>
  </si>
  <si>
    <t>nr_ppl_earning_income_range_overall_D_40_by_hh_size_range</t>
  </si>
  <si>
    <t>nr_ppl_earning_income_range_overall_D_41_by_hh_composition</t>
  </si>
  <si>
    <t>nr_ppl_earning_income_range_rural_urban_39</t>
  </si>
  <si>
    <t>perc_expenditure_spent_on_energy_dec_overall_D_141_by_hh_type</t>
  </si>
  <si>
    <t>perc_expenditure_spent_on_energy_dec_overall_D_143_by_hh_size_range</t>
  </si>
  <si>
    <t>perc_expenditure_spent_on_energy_dec_overall_D_144_by_hh_composition</t>
  </si>
  <si>
    <t>perc_expenditure_spent_on_energy_dec_overall_D_145_by_hh_with_pwd</t>
  </si>
  <si>
    <t>perc_expenditure_spent_on_energy_dec_overall_D_146_by_accommodation_ownership</t>
  </si>
  <si>
    <t>perc_expenditure_spent_on_energy_dec_overall_D_147_by_aver_monthly_income_range</t>
  </si>
  <si>
    <t>perc_expenditure_spent_on_energy_dec_overall_D_148_by_perc_expenditure_spent_on_energy_nov</t>
  </si>
  <si>
    <t>perc_expenditure_spent_on_energy_dec_rural_urban_142</t>
  </si>
  <si>
    <t>perc_expenditure_spent_on_energy_nov_overall_D_92_by_hh_type</t>
  </si>
  <si>
    <t>perc_expenditure_spent_on_energy_nov_overall_D_94_by_hh_size_range</t>
  </si>
  <si>
    <t>perc_expenditure_spent_on_energy_nov_overall_D_95_by_hh_composition</t>
  </si>
  <si>
    <t>perc_expenditure_spent_on_energy_nov_overall_D_96_by_hh_with_pwd</t>
  </si>
  <si>
    <t>perc_expenditure_spent_on_energy_nov_rural_urban_93</t>
  </si>
  <si>
    <t>perc_income_spent_on_energy_dec_overall_D_149_by_hh_type</t>
  </si>
  <si>
    <t>perc_income_spent_on_energy_dec_overall_D_151_by_hh_size_range</t>
  </si>
  <si>
    <t>perc_income_spent_on_energy_dec_overall_D_152_by_hh_composition</t>
  </si>
  <si>
    <t>perc_income_spent_on_energy_dec_overall_D_153_by_hh_with_pwd</t>
  </si>
  <si>
    <t>perc_income_spent_on_energy_dec_overall_D_154_by_accommodation_ownership</t>
  </si>
  <si>
    <t>perc_income_spent_on_energy_dec_overall_D_155_by_aver_monthly_income_range</t>
  </si>
  <si>
    <t>perc_income_spent_on_energy_dec_rural_urban_150</t>
  </si>
  <si>
    <t>perc_income_spent_on_energy_nov_overall_D_101_by_hh_size_range</t>
  </si>
  <si>
    <t>perc_income_spent_on_energy_nov_overall_D_102_by_hh_composition</t>
  </si>
  <si>
    <t>perc_income_spent_on_energy_nov_overall_D_103_by_hh_with_pwd</t>
  </si>
  <si>
    <t>perc_income_spent_on_energy_nov_overall_D_104_by_accommodation_ownership</t>
  </si>
  <si>
    <t>perc_income_spent_on_energy_nov_overall_D_105_by_aver_monthly_income_range</t>
  </si>
  <si>
    <t>perc_income_spent_on_energy_nov_overall_D_99_by_hh_type</t>
  </si>
  <si>
    <t>perc_income_spent_on_energy_nov_rural_urban_100</t>
  </si>
  <si>
    <t>reduce_electricity_overall_D_315_by_hh_type</t>
  </si>
  <si>
    <t>reduce_electricity_overall_D_317_by_hh_size_range</t>
  </si>
  <si>
    <t>reduce_electricity_overall_D_318_by_hh_composition</t>
  </si>
  <si>
    <t>reduce_electricity_overall_D_319_by_hh_with_pwd</t>
  </si>
  <si>
    <t>reduce_electricity_overall_D_320_by_aver_monthly_income_range</t>
  </si>
  <si>
    <t>reduce_electricity_overall_D_321_by_perc_expenditure_spent_on_energy_nov</t>
  </si>
  <si>
    <t>reduce_electricity_overall_D_322_by_perc_expenditure_spent_on_energy_dec</t>
  </si>
  <si>
    <t>reduce_electricity_overall_D_323_by_perc_income_spent_on_energy_nov</t>
  </si>
  <si>
    <t>reduce_electricity_overall_D_324_by_perc_income_spent_on_energy_dec</t>
  </si>
  <si>
    <t>reduce_electricity_rural_urban_316</t>
  </si>
  <si>
    <t>reduce_expenses_list_overall_350</t>
  </si>
  <si>
    <t>reduce_expenses_list_overall_D_351_by_hh_type</t>
  </si>
  <si>
    <t>reduce_expenses_list_overall_D_353_by_hh_with_pwd</t>
  </si>
  <si>
    <t>reduce_expenses_list_rural_urban_352</t>
  </si>
  <si>
    <t>reduce_expenses_overall_D_341_by_hh_type</t>
  </si>
  <si>
    <t>reduce_expenses_overall_D_343_by_hh_size_range</t>
  </si>
  <si>
    <t>reduce_expenses_overall_D_344_by_hh_with_pwd</t>
  </si>
  <si>
    <t>reduce_expenses_overall_D_345_by_aver_monthly_income_range</t>
  </si>
  <si>
    <t>reduce_expenses_overall_D_346_by_perc_expenditure_spent_on_energy_nov</t>
  </si>
  <si>
    <t>reduce_expenses_overall_D_347_by_perc_expenditure_spent_on_energy_dec</t>
  </si>
  <si>
    <t>reduce_expenses_overall_D_348_by_perc_income_spent_on_energy_nov</t>
  </si>
  <si>
    <t>reduce_expenses_overall_D_349_by_perc_income_spent_on_energy_dec</t>
  </si>
  <si>
    <t>reduce_expenses_rural_urban_342</t>
  </si>
  <si>
    <t>reduce_gas_overall_D_325_by_hh_type</t>
  </si>
  <si>
    <t>reduce_gas_overall_D_327_by_hh_size_range</t>
  </si>
  <si>
    <t>reduce_gas_overall_D_328_by_hh_composition</t>
  </si>
  <si>
    <t>reduce_gas_overall_D_329_by_hh_with_pwd</t>
  </si>
  <si>
    <t>reduce_gas_overall_D_330_by_aver_monthly_income_range</t>
  </si>
  <si>
    <t>reduce_gas_overall_D_331_by_perc_expenditure_spent_on_energy_nov</t>
  </si>
  <si>
    <t>reduce_gas_overall_D_332_by_perc_expenditure_spent_on_energy_dec</t>
  </si>
  <si>
    <t>reduce_gas_overall_D_333_by_perc_income_spent_on_energy_nov</t>
  </si>
  <si>
    <t>reduce_gas_overall_D_334_by_perc_income_spent_on_energy_dec</t>
  </si>
  <si>
    <t>reduce_gas_rural_urban_326</t>
  </si>
  <si>
    <t>reduce_heat_overall_D_335_by_hh_type</t>
  </si>
  <si>
    <t>reduce_heat_overall_D_337_by_hh_with_pwd</t>
  </si>
  <si>
    <t>reduce_heat_rural_urban_336</t>
  </si>
  <si>
    <t>reduce_measures_overall_D_338_by_hh_type</t>
  </si>
  <si>
    <t>reduce_measures_overall_D_340_by_hh_with_pwd</t>
  </si>
  <si>
    <t>reduce_measures_rural_urban_339</t>
  </si>
  <si>
    <t>region_overall_D_15_by_hh_type</t>
  </si>
  <si>
    <t>resources_for_bills_overall_D_291_by_hh_type</t>
  </si>
  <si>
    <t>resources_for_bills_overall_D_293_by_hh_composition</t>
  </si>
  <si>
    <t>resources_for_bills_overall_D_294_by_hh_with_pwd</t>
  </si>
  <si>
    <t>resources_for_bills_overall_D_295_by_accommodation_ownership</t>
  </si>
  <si>
    <t>resources_for_bills_rural_urban_292</t>
  </si>
  <si>
    <t>rural_urban_overall_D_18_by_hh_type</t>
  </si>
  <si>
    <t>strategies_high_costs_overall_D_354_by_hh_type</t>
  </si>
  <si>
    <t>strategies_high_costs_overall_D_356_by_hh_size_range</t>
  </si>
  <si>
    <t>strategies_high_costs_overall_D_357_by_hh_composition</t>
  </si>
  <si>
    <t>strategies_high_costs_overall_D_358_by_hh_with_pwd</t>
  </si>
  <si>
    <t>strategies_high_costs_overall_D_359_by_aver_monthly_income_range</t>
  </si>
  <si>
    <t>strategies_high_costs_overall_D_360_by_heat_system_primary</t>
  </si>
  <si>
    <t>strategies_high_costs_overall_D_361_by_perc_expenditure_spent_on_energy_nov</t>
  </si>
  <si>
    <t>strategies_high_costs_overall_D_362_by_perc_expenditure_spent_on_energy_dec</t>
  </si>
  <si>
    <t>strategies_high_costs_overall_D_363_by_perc_income_spent_on_energy_nov</t>
  </si>
  <si>
    <t>strategies_high_costs_overall_D_364_by_perc_income_spent_on_energy_dec</t>
  </si>
  <si>
    <t>strategies_high_costs_rural_urban_355</t>
  </si>
  <si>
    <t>strategies_list_overall_D_365_by_hh_type</t>
  </si>
  <si>
    <t>strategies_list_overall_D_367_by_hh_with_pwd</t>
  </si>
  <si>
    <t>strategies_list_overall_D_368_by_heat_system_primary</t>
  </si>
  <si>
    <t>strategies_list_rural_urban_366</t>
  </si>
  <si>
    <t>sw_support_satisfaction_overall_D_225_by_hh_type</t>
  </si>
  <si>
    <t>sw_support_satisfaction_rural_urban_226</t>
  </si>
  <si>
    <t>temp_dec_overall_D_304_by_hh_type</t>
  </si>
  <si>
    <t>temp_dec_overall_D_306_by_hh_size_range</t>
  </si>
  <si>
    <t>temp_dec_overall_D_307_by_hh_composition</t>
  </si>
  <si>
    <t>temp_dec_overall_D_308_by_hh_with_pwd</t>
  </si>
  <si>
    <t>temp_dec_overall_D_309_by_aver_monthly_income_range</t>
  </si>
  <si>
    <t>temp_dec_overall_D_310_by_perc_expenditure_spent_on_energy_dec</t>
  </si>
  <si>
    <t>temp_dec_overall_D_311_by_perc_income_spent_on_energy_dec</t>
  </si>
  <si>
    <t>temp_dec_rural_urban_305</t>
  </si>
  <si>
    <t>temp_nov_overall_D_296_by_hh_type</t>
  </si>
  <si>
    <t>temp_nov_overall_D_298_by_hh_size_range</t>
  </si>
  <si>
    <t>temp_nov_overall_D_299_by_hh_composition</t>
  </si>
  <si>
    <t>temp_nov_overall_D_300_by_hh_with_pwd</t>
  </si>
  <si>
    <t>temp_nov_overall_D_301_by_aver_monthly_income_range</t>
  </si>
  <si>
    <t>temp_nov_overall_D_302_by_perc_expenditure_spent_on_energy_nov</t>
  </si>
  <si>
    <t>temp_nov_overall_D_303_by_perc_income_spent_on_energy_nov</t>
  </si>
  <si>
    <t>temp_nov_rural_urban_297</t>
  </si>
  <si>
    <t>time_in_mda_overall_D_10_by_aver_monthly_income_range</t>
  </si>
  <si>
    <t>time_in_mda_overall_D_11_by_perc_expenditure_spent_on_energy_nov</t>
  </si>
  <si>
    <t>time_in_mda_overall_D_12_by_perc_expenditure_spent_on_energy_dec</t>
  </si>
  <si>
    <t>time_in_mda_overall_D_13_by_perc_income_spent_on_energy_nov</t>
  </si>
  <si>
    <t>time_in_mda_overall_D_14_by_perc_income_spent_on_energy_dec</t>
  </si>
  <si>
    <t>total_bills_dec_overall_D_180_by_hh_type</t>
  </si>
  <si>
    <t>total_bills_dec_range_overall_D_182_by_hh_type</t>
  </si>
  <si>
    <t>total_bills_dec_range_overall_D_184_by_hh_composition</t>
  </si>
  <si>
    <t>total_bills_dec_range_overall_D_185_by_hh_with_pwd</t>
  </si>
  <si>
    <t>total_bills_dec_range_overall_D_186_by_aver_monthly_income_range</t>
  </si>
  <si>
    <t>total_bills_dec_range_overall_D_187_by_heat_system_primary</t>
  </si>
  <si>
    <t>total_bills_dec_range_overall_D_188_by_hh_heating_systems</t>
  </si>
  <si>
    <t>total_bills_dec_range_rural_urban_183</t>
  </si>
  <si>
    <t>total_bills_dec_rural_urban_181</t>
  </si>
  <si>
    <t>total_bills_nov_overall_D_132_by_hh_type</t>
  </si>
  <si>
    <t>total_bills_nov_range_overall_D_134_by_hh_type</t>
  </si>
  <si>
    <t>total_bills_nov_range_overall_D_136_by_hh_composition</t>
  </si>
  <si>
    <t>total_bills_nov_range_overall_D_137_by_hh_with_pwd</t>
  </si>
  <si>
    <t>total_bills_nov_range_overall_D_138_by_aver_monthly_income_range</t>
  </si>
  <si>
    <t>total_bills_nov_range_overall_D_139_by_heat_system_primary</t>
  </si>
  <si>
    <t>total_bills_nov_range_overall_D_140_by_hh_heating_systems</t>
  </si>
  <si>
    <t>total_bills_nov_range_rural_urban_135</t>
  </si>
  <si>
    <t>total_bills_nov_rural_urban_133</t>
  </si>
  <si>
    <t>vuln_groups_overall_D_22_by_hh_type</t>
  </si>
  <si>
    <t>vuln_groups_rural_urban_23</t>
  </si>
  <si>
    <t>Section</t>
  </si>
  <si>
    <t>Label</t>
  </si>
  <si>
    <t>Compensation received Dec 2024</t>
  </si>
  <si>
    <t>Compensation received Nov 2024</t>
  </si>
  <si>
    <t>Beneficiary satisfaction</t>
  </si>
  <si>
    <t>Ability to meet energy needs</t>
  </si>
  <si>
    <t>Access to EVRF</t>
  </si>
  <si>
    <t>Income &amp; Expenses</t>
  </si>
  <si>
    <t>Energy expenses Dec 2024</t>
  </si>
  <si>
    <t>Energy expenses Nov 2024</t>
  </si>
  <si>
    <t>Compensation received - General</t>
  </si>
  <si>
    <t>Heating systems and gas usage</t>
  </si>
  <si>
    <t>Coping strategies</t>
  </si>
  <si>
    <t>% of beneficiary HHs by type of housing tenure and type of HH</t>
  </si>
  <si>
    <t>% of beneficiary HHs by type of housing tenure and whether the respondent is a refugee from Ukraine</t>
  </si>
  <si>
    <t>% of beneficiary HHs by type of housing tenure and type of settlement</t>
  </si>
  <si>
    <t>Average amount of EVRF energy compensation beneficiary HHs received for December 2024 (in Moldovan lei) by type of HH</t>
  </si>
  <si>
    <t>% of beneficiary HHs by amount of EVRF energy compensation received for December 2024 (in Moldovan lei) and type of HH</t>
  </si>
  <si>
    <t>% of beneficiary HHs by amount of EVRF energy compensation received for December 2024 (in Moldovan lei) and HH size</t>
  </si>
  <si>
    <t>% of beneficiary HHs by amount of EVRF energy compensation received for December 2024 (in Moldovan lei) and HH composition</t>
  </si>
  <si>
    <t>% of beneficiary HHs by amount of EVRF energy compensation received for December 2024 (in Moldovan lei) and whether the HH includes persons with disabilities (according to the Washington Group Short Set on Functioning)</t>
  </si>
  <si>
    <t>% of beneficiary HHs by amount of EVRF energy compensation received for December 2024 (in Moldovan lei) and type of housing tenure</t>
  </si>
  <si>
    <t>% of beneficiary HHs by amount of EVRF energy compensation received for December 2024 (in Moldovan lei) and average monthly income (in Moldovan lei) between November 2024 and January 2025</t>
  </si>
  <si>
    <t>% of beneficiary HHs by amount of EVRF energy compensation received for December 2024 (in Moldovan lei) and primary type of heating system</t>
  </si>
  <si>
    <t>% of beneficiary HHs by amount of EVRF energy compensation received for December 2024 (in Moldovan lei) and type of heating systems used</t>
  </si>
  <si>
    <t>% of beneficiary HHs by amount of EVRF energy compensation received for December 2024 (in Moldovan lei) and % of HH expenditure spent on gas, electricity or heating bills/expenses for December 2024</t>
  </si>
  <si>
    <t>% of beneficiary HHs by amount of EVRF energy compensation received for December 2024 (in Moldovan lei) and % of total income spent on gas, electricity or heating bills/expenses for December 2024</t>
  </si>
  <si>
    <t>% of beneficiary HHs by amount of EVRF energy compensation received for December 2024 (in Moldovan lei) and type of settlement</t>
  </si>
  <si>
    <t>Average amount of EVRF energy compensation beneficiary HHs received for December 2024 (in Moldovan lei) by type of settlement</t>
  </si>
  <si>
    <t>Average amount of EVRF energy compensation beneficiary HHs received for November 2024 (in Moldovan lei) by type of HH</t>
  </si>
  <si>
    <t>% of beneficiary HHs by amount of EVRF energy compensation received for November 2024 (in Moldovan lei) and type of HH</t>
  </si>
  <si>
    <t>% of beneficiary HHs by amount of EVRF energy compensation received for November 2024 (in Moldovan lei) and HH size</t>
  </si>
  <si>
    <t>% of beneficiary HHs by amount of EVRF energy compensation received for November 2024 (in Moldovan lei) and HH composition</t>
  </si>
  <si>
    <t>% of beneficiary HHs by amount of EVRF energy compensation received for November 2024 (in Moldovan lei) and whether the HH includes persons with disabilities (according to the Washington Group Short Set on Functioning)</t>
  </si>
  <si>
    <t>% of beneficiary HHs by amount of EVRF energy compensation received for November 2024 (in Moldovan lei) and type of housing tenure</t>
  </si>
  <si>
    <t>% of beneficiary HHs by amount of EVRF energy compensation received for November 2024 (in Moldovan lei) and average monthly income (in Moldovan lei) between November 2024 and January 2025</t>
  </si>
  <si>
    <t>% of beneficiary HHs by amount of EVRF energy compensation received for November 2024 (in Moldovan lei) and primary type of heating system</t>
  </si>
  <si>
    <t>% of beneficiary HHs by amount of EVRF energy compensation received for November 2024 (in Moldovan lei) and type of heating systems used</t>
  </si>
  <si>
    <t>% of beneficiary HHs by amount of EVRF energy compensation received for November 2024 (in Moldovan lei) and % of HH expenditure spent on gas, electricity or heating bills/expenses for November 2024</t>
  </si>
  <si>
    <t>% of beneficiary HHs by amount of EVRF energy compensation received for November 2024 (in Moldovan lei) and % of total income spent on gas, electricity or heating bills/expenses for November 2024</t>
  </si>
  <si>
    <t>% of beneficiary HHs by amount of EVRF energy compensation received for November 2024 (in Moldovan lei) and type of settlement</t>
  </si>
  <si>
    <t>Average amount of EVRF energy compensation beneficiary HHs received for November 2024 (in Moldovan lei) by type of settlement</t>
  </si>
  <si>
    <t>% of beneficiary HHs by the extent to which they are satisfied with the amount of compensation received and type of HH</t>
  </si>
  <si>
    <t>% of beneficiary HHs by the extent to which they are satisfied with the amount of compensation received and HH size</t>
  </si>
  <si>
    <t>% of beneficiary HHs by the extent to which they are satisfied with the amount of compensation received and HH composition</t>
  </si>
  <si>
    <t>% of beneficiary HHs by the extent to which they are satisfied with the amount of compensation received and whether the HH includes persons with disabilities (according to the Washington Group Short Set on Functioning)</t>
  </si>
  <si>
    <t>% of beneficiary HHs by the extent to which they are satisfied with the amount of compensation received and average monthly income (in Moldovan lei) between November 2024 and January 2025</t>
  </si>
  <si>
    <t>% of beneficiary HHs by the extent to which they are satisfied with the amount of compensation received and % of HH expenditure spent on gas, electricity or heating bills/expenses for November 2024</t>
  </si>
  <si>
    <t>% of beneficiary HHs by the extent to which they are satisfied with the amount of compensation received and % of HH expenditure spent on gas, electricity or heating bills/expenses for December 2024</t>
  </si>
  <si>
    <t>% of beneficiary HHs by the extent to which they are satisfied with the amount of compensation received and % of total income spent on gas, electricity or heating bills/expenses for November 2024</t>
  </si>
  <si>
    <t>% of beneficiary HHs by the extent to which they are satisfied with the amount of compensation received and % of total income spent on gas, electricity or heating bills/expenses for December 2024</t>
  </si>
  <si>
    <t>% of beneficiary HHs by the extent to which they are satisfied with the amount of compensation received and amount of EVRF energy compensation received in November 2024</t>
  </si>
  <si>
    <t>% of beneficiary HHs by the extent to which they are satisfied with the amount of compensation received and amount of EVRF energy compensation received in December 2024</t>
  </si>
  <si>
    <t>% of beneficiary HHs by the extent to which they are satisfied with the amount of compensation received and type of settlement</t>
  </si>
  <si>
    <t>% of beneficiary HHs by type of accommodation and type of HH</t>
  </si>
  <si>
    <t>% of beneficiary HHs by type of accommodation and type of settlement</t>
  </si>
  <si>
    <t>% of beneficiary respondents by additional forms of assistance they believe should be provided to help households cope with energy costs and type of HH</t>
  </si>
  <si>
    <t>% of beneficiary respondents by additional forms of assistance they believe should be provided to help households cope with energy costs and HH composition</t>
  </si>
  <si>
    <t>% of beneficiary respondents by additional forms of assistance they believe should be provided to help households cope with energy costs and whether the HH includes persons with disabilities (according to the Washington Group Short Set on Functioning)</t>
  </si>
  <si>
    <t>% of beneficiary respondents by additional forms of assistance they believe should be provided to help households cope with energy costs and type of heating systems used</t>
  </si>
  <si>
    <t>% of beneficiary respondents by additional forms of assistance they believe should be provided to help households cope with energy costs and type of settlement</t>
  </si>
  <si>
    <t>Number of beneficiary respondents reporting effects on HH members' health or well-being due to cold temperatures or lack of adequate heating, by type of health outcome and type of HH</t>
  </si>
  <si>
    <t>Number of beneficiary respondents reporting effects on HH members' health or well-being due to cold temperatures or lack of adequate heating, by type of health outcome and HH composition</t>
  </si>
  <si>
    <t>Number  of beneficiary respondents reporting effects on HH members' health or well-being due to cold temperatures or lack of adequate heating, by type of health outcome and whether the HH includes persons with disabilities (according to the Washington Group Short Set on Functioning)</t>
  </si>
  <si>
    <t>Number of beneficiary respondents reporting effects on HH members' health or well-being due to cold temperatures or lack of adequate heating, by type of health outcome and type of settlement</t>
  </si>
  <si>
    <t>% of beneficiary respondents reporting effects on HH members' health or well-being due to cold temperatures or lack of adequate heating, by type of HH</t>
  </si>
  <si>
    <t>% of beneficiary respondents reporting effects on HH members' health or well-being due to cold temperatures or lack of adequate heating, by HH composition</t>
  </si>
  <si>
    <t>% of beneficiary respondents reporting effects on HH members' health or well-being due to cold temperatures or lack of adequate heating, by whether the HH includes persons with disabilities (according to the Washington Group Short Set on Functioning)</t>
  </si>
  <si>
    <t>% of beneficiary respondents reporting effects on HH members' health or well-being due to cold temperatures or lack of adequate heating, by average monthly income (in Moldovan lei) between November 2024 and January 2025</t>
  </si>
  <si>
    <t>% of beneficiary respondents reporting effects on HH members' health or well-being due to cold temperatures or lack of adequate heating, by type of settlement</t>
  </si>
  <si>
    <t>% of beneficiary respondents reporting effects on HH members' health or well-being due to cold temperatures or lack of adequate heating, by % of total income spent on gas, electricity or heating bills/expenses for November 2024</t>
  </si>
  <si>
    <t>% of beneficiary respondents reporting effects on HH members' health or well-being due to cold temperatures or lack of adequate heating, by % of total income spent on gas, electricity or heating bills/expenses for December 2024</t>
  </si>
  <si>
    <t>% of beneficiary respondents reporting effects on HH members' health or well-being due to cold temperatures or lack of adequate heating, by % of HH expenditure spent on gas, electricity or heating bills/expenses for November 2024</t>
  </si>
  <si>
    <t>% of beneficiary respondents reporting effects on HH members' health or well-being due to cold temperatures or lack of adequate heating, by % of HH expenditure spent on gas, electricity or heating bills/expenses for December 2024</t>
  </si>
  <si>
    <t>% of beneficiary respondents reporting effects on HH members' health or well-being due to cold temperatures or lack of adequate heating, by amount of EVRF energy compensation received in November 2024</t>
  </si>
  <si>
    <t>% of beneficiary respondents reporting effects on HH members' health or well-being due to cold temperatures or lack of adequate heating, by amount of EVRF energy compensation received in December 2024</t>
  </si>
  <si>
    <t>Number of beneficiary HHs dissatisfied with the application process, by reason of dissatisfaction and type of HH</t>
  </si>
  <si>
    <t>% of beneficiary HHs by level of satisfaction with the application process and type of HH</t>
  </si>
  <si>
    <t>% of beneficiary HHs by level of satisfaction with the application process and method of applying</t>
  </si>
  <si>
    <t>% of beneficiary HHs by level of satisfaction with the application process and HH composition</t>
  </si>
  <si>
    <t>% of beneficiary HHs by level of satisfaction with the application process and whether the HH includes persons with disabilities (according to the Washington Group Short Set on Functioning)</t>
  </si>
  <si>
    <t>% of beneficiary HHs by level of satisfaction with the application process and type of housing tenure</t>
  </si>
  <si>
    <t>% of beneficiary HHs by level of satisfaction with the application process and average monthly income (in Moldovan lei) between November 2024 and January 2025</t>
  </si>
  <si>
    <t>% of beneficiary HHs by level of satisfaction with the application process and type of settlement</t>
  </si>
  <si>
    <t>% of beneficiary HHs by method of applying for EVRF energy compensation and type of HH</t>
  </si>
  <si>
    <t>% of beneficiary HHs by method of applying for EVRF energy compensation and HH composition</t>
  </si>
  <si>
    <t>% of beneficiary HHs by method of applying for EVRF energy compensation and whether the HH includes persons with disabilities (according to the Washington Group Short Set on Functioning)</t>
  </si>
  <si>
    <t>% of beneficiary HHs by method of applying for EVRF energy compensation and primary heating system</t>
  </si>
  <si>
    <t>% of beneficiary HHs by method of applying for EVRF energy compensation and type of settlement</t>
  </si>
  <si>
    <t>Average total monthly HH expenses of beneficiary HHs for basic needs (e.g. rent, food, healthcare) excluding utility bills between November 2024 and January 2025 (in Moldovan lei) by type of HH</t>
  </si>
  <si>
    <t>Average total monthly HH expenses of beneficiary HHs for basic needs (e.g. rent, food, healthcare) excluding utility bills between November 2024 and January 2025 (in Moldovan lei) by type of housing tenure</t>
  </si>
  <si>
    <t>Average total monthly HH expenses of beneficiary HHs for basic needs (e.g. rent, food, healthcare) excluding utility bills between November 2024 and January 2025 (in Moldovan lei) by type of settlement</t>
  </si>
  <si>
    <t>Average monthly HH income* between November 2024 and January 2025 of beneficiary HHs (in Moldovan lei) by type of HH</t>
  </si>
  <si>
    <t>% of beneficiary HHs by range of monthly HH income* between November 2024 and January 2025 (in Moldovan lei) by type of HH</t>
  </si>
  <si>
    <t>% of beneficiary HHs by range of monthly HH income* between November 2024 and January 2025 (in Moldovan lei) and HH size</t>
  </si>
  <si>
    <t>% of beneficiary HHs by range of monthly HH income* between November 2024 and January 2025 (in Moldovan lei) and HH composition</t>
  </si>
  <si>
    <t>% of beneficiary HHs by range of monthly HH income* between November 2024 and January 2025 (in Moldovan lei) and whether the HH includes persons with disabilities (according to the Washington Group Short Set on Functioning)</t>
  </si>
  <si>
    <t>% of beneficiary HHs by range of monthly HH income* between November 2024 and January 2025 (in Moldovan lei) and number of HH members earning an income</t>
  </si>
  <si>
    <t>% of beneficiary HHs by range of monthly HH income* between November 2024 and January 2025 (in Moldovan lei) by type of settlement</t>
  </si>
  <si>
    <t>Average monthly HH income* between November 2024 and January 2025 of beneficiary HHs (in Moldovan lei) by type of settlement</t>
  </si>
  <si>
    <t>% of beneficiary respondents by how they first learned about the EVRF energy compensation and type of HH</t>
  </si>
  <si>
    <t>% of beneficiary respondents by how they first learned about the EVRF energy compensation and age</t>
  </si>
  <si>
    <t>% of beneficiary respondents by how they first learned about the EVRF energy compensation and whether the HH includes persons with disabilities (according to the Washington Group Short Set on Functioning)</t>
  </si>
  <si>
    <t>% of beneficiary respondents by how they first learned about the EVRF energy compensation and type of settlement</t>
  </si>
  <si>
    <t>% of beneficiary HHs that were unable to afford all of their needs by type of need they could not afford and type of HH</t>
  </si>
  <si>
    <t>% of beneficiary HHs that were unable to afford all of their needs by type of need they could not afford and HH composition</t>
  </si>
  <si>
    <t>% of beneficiary HHs that were unable to afford all of their needs by type of need they could not afford and whether the HH includes persons with disabilities (according to the Washington Group Short Set on Functioning)</t>
  </si>
  <si>
    <t>% of beneficiary HHs that were unable to afford all of their needs by type of need they could not afford and type of housing tenure</t>
  </si>
  <si>
    <t>% of beneficiary HHs that were unable to afford all of their needs by type of need they could not afford and average monthly income (in Moldovan lei) between November 2024 and January 2025</t>
  </si>
  <si>
    <t>% of beneficiary HHs that were unable to afford all of their needs by type of need they could not afford and % of HH expenditure spent on gas, electricity or heating bills/expenses for November 2024</t>
  </si>
  <si>
    <t>% of beneficiary HHs that were unable to afford all of their needs by type of need they could not afford and % of HH expenditure spent on gas, electricity or heating bills/expenses for December 2024</t>
  </si>
  <si>
    <t>% of beneficiary HHs that were unable to afford all of their needs by type of need they could not afford and % of total income spent on gas, electricity or heating bills/expenses for November 2024</t>
  </si>
  <si>
    <t>% of beneficiary HHs that were unable to afford all of their needs by type of need they could not afford and % of total income spent on gas, electricity or heating bills/expenses for December 2024</t>
  </si>
  <si>
    <t>% of beneficiary HHs that were unable to afford all of their needs by type of need they could not afford and amount of EVRF energy compensation received in November 2024</t>
  </si>
  <si>
    <t>% of beneficiary HHs that were unable to afford all of their needs by type of need they could not afford and amount of EVRF energy compensation received in December 2024</t>
  </si>
  <si>
    <t>% of beneficiary HHs that were unable to afford all of their needs by type of need they could not afford and type of settlement</t>
  </si>
  <si>
    <t>Average cost of December 2024 electricity bill (in Moldovan lei) of beneficiary HHs by type of HH</t>
  </si>
  <si>
    <t>Average cost of December 2024 electricity bill (in Moldovan lei) of beneficiary HHs by HH size</t>
  </si>
  <si>
    <t>Average cost of December 2024 electricity bill (in Moldovan lei) of beneficiary HHs by HH composition</t>
  </si>
  <si>
    <t>Average cost of December 2024 electricity bill (in Moldovan lei) of beneficiary HHs by whether the HH includes persons with disabilities (according to the Washington Group Short Set on Functioning)</t>
  </si>
  <si>
    <t>Average cost of December 2024 electricity bill (in Moldovan lei) of beneficiary HHs by average monthly income (in Moldovan lei) between November 2024 and January 2025</t>
  </si>
  <si>
    <t>Average cost of December 2024 electricity bill (in Moldovan lei) of beneficiary HHs by primary type of heating system</t>
  </si>
  <si>
    <t>Average cost of December 2024 electricity bill (in Moldovan lei) of beneficiary HHs by type of heating systems used</t>
  </si>
  <si>
    <t>Average cost of December 2024 electricity bill (in Moldovan lei) of beneficiary HHs by type of settlement</t>
  </si>
  <si>
    <t>Average cost of November 2024 electricity bill (in Moldovan lei) of beneficiary HHs by type of HH</t>
  </si>
  <si>
    <t>Average cost of November 2024 electricity bill (in Moldovan lei) of beneficiary HHs by HH size</t>
  </si>
  <si>
    <t>Average cost of November 2024 electricity bill (in Moldovan lei) of beneficiary HHs by HH composition</t>
  </si>
  <si>
    <t>Average cost of November 2024 electricity bill (in Moldovan lei) of beneficiary HHs by whether the HH includes persons with disabilities (according to the Washington Group Short Set on Functioning)</t>
  </si>
  <si>
    <t>Average cost of November 2024 electricity bill (in Moldovan lei) of beneficiary HHs by average monthly income (in Moldovan lei) between November 2024 and January 2025</t>
  </si>
  <si>
    <t>Average cost of November 2024 electricity bill (in Moldovan lei) of beneficiary HHs by primary type of heating system</t>
  </si>
  <si>
    <t>Average cost of November 2024 electricity bill (in Moldovan lei) of beneficiary HHs by type of heating systems used</t>
  </si>
  <si>
    <t>Average cost of November 2024 electricity bill (in Moldovan lei) of beneficiary HHs by type of settlement</t>
  </si>
  <si>
    <t>Average expenditure on gas for December 2024 (in Moldovan lei) of beneficiary HHs that use and paid for gas by type of HH</t>
  </si>
  <si>
    <t>Average expenditure on gas for December 2024 (in Moldovan lei) of beneficiary HHs that use gas by HH size</t>
  </si>
  <si>
    <t>Average expenditure on gas for December 2024 (in Moldovan lei) of beneficiary HHs that use gas and paid for by HH composition</t>
  </si>
  <si>
    <t>Average expenditure on gas for December 2024 (in Moldovan lei) of beneficiary HHs that use and paid for gas by whether the HH includes persons with disabilities (according to the Washington Group Short Set on Functioning)</t>
  </si>
  <si>
    <t>Average expenditure on gas for December 2024 (in Moldovan lei) of beneficiary HHs that use gas and paid for by average monthly income (in Moldovan lei) between November 2024 and January 2025</t>
  </si>
  <si>
    <t>Average expenditure on gas for December 2024 (in Moldovan lei) of beneficiary HHs that use and paid for gas by primary type of heating system</t>
  </si>
  <si>
    <t>Average expenditure on gas for December 2024 (in Moldovan lei) of beneficiary HHs that use and paid for gas by type of heating systems used</t>
  </si>
  <si>
    <t>Average expenditure on gas for December 2024 (in Moldovan lei) of beneficiary HHs that use and paid for gas by type of settlement</t>
  </si>
  <si>
    <t>Average expenditure on gas for November 2024 (in Moldovan lei) of beneficiary HHs that use and paid for gas by type of HH</t>
  </si>
  <si>
    <t>Average expenditure on gas for November 2024 (in Moldovan lei) of beneficiary HHs that use and paid for gas by HH size</t>
  </si>
  <si>
    <t>Average expenditure on gas for November 2024 (in Moldovan lei) of beneficiary HHs that use and paid for gas by HH composition</t>
  </si>
  <si>
    <t>Average expenditure on gas for November 2024 (in Moldovan lei) of beneficiary HHs that use and paid for gas by whether the HH includes persons with disabilities (according to the Washington Group Short Set on Functioning)</t>
  </si>
  <si>
    <t>Average expenditure on gas for November 2024 (in Moldovan lei) of beneficiary HHs that use and paid for gas by average monthly income (in Moldovan lei) between November 2024 and January 2025</t>
  </si>
  <si>
    <t>Average expenditure on gas for November 2024 (in Moldovan lei) of beneficiary HHs that use and paid for gas by primary type of heating system</t>
  </si>
  <si>
    <t>Average expenditure on gas for November 2024 (in Moldovan lei) of beneficiary HHs that use and paid for gas by type of heating systems used</t>
  </si>
  <si>
    <t>Average expenditure on gas for November 2024 (in Moldovan lei) of beneficiary HHs that use and paid for gas by type of settlement</t>
  </si>
  <si>
    <t>Average expenditure on heating* (in Moldovan lei) for December 2024 of beneficiary HHs that use and paid for heating systems other than gas and electricity by type of HH</t>
  </si>
  <si>
    <t>Average expenditure on heating* (in Moldovan lei) for December 2024 of beneficiary HHs that use and paid for heating systems other than gas and electricity by HH size</t>
  </si>
  <si>
    <t>Average expenditure on heating* (in Moldovan lei) for December 2024 of beneficiary HHs that use and paid for heating systems other than gas and electricity by HH composition</t>
  </si>
  <si>
    <t>Average expenditure on heating* (in Moldovan lei) for December 2024 of beneficiary HHs that use and paid for heating systems other than gas and electricity by whether the HH includes persons with disabilities (according to the Washington Group Short Set on Functioning)</t>
  </si>
  <si>
    <t>Average expenditure on heating* (in Moldovan lei) for December 2024 of beneficiary HHs that use and paid for heating systems other than gas and electricity by average monthly income (in Moldovan lei) between November 2024 and January 2025</t>
  </si>
  <si>
    <t>Average expenditure on heating* (in Moldovan lei) for December 2024 of beneficiary HHs that use and paid for heating systems other than gas and electricity by primary type of heating system</t>
  </si>
  <si>
    <t>Average expenditure on heating* (in Moldovan lei) for December 2024 of beneficiary HHs that use and paid for heating systems other than gas and electricity by type of heating systems used</t>
  </si>
  <si>
    <t>Average expenditure on heating* (in Moldovan lei) for December 2024 of beneficiary HHs that use and paid for heating systems other than gas and electricity by type of settlement</t>
  </si>
  <si>
    <t>Average expenditure on heating* (in Moldovan lei) for November 2024 of beneficiary HHs that use and paid for heating systems other than gas and electricity by type of HH</t>
  </si>
  <si>
    <t>Average expenditure on heating* (in Moldovan lei) for November 2024 of beneficiary HHs that use and paid for heating systems other than gas and electricity by whether the HH includes persons with disabilities (according to the Washington Group Short Set on Functioning)</t>
  </si>
  <si>
    <t>Average expenditure on heating* (in Moldovan lei) for November 2024 of beneficiary HHs that use and paid for heating systems other than gas and electricity by HH composition</t>
  </si>
  <si>
    <t>Average expenditure on heating* (in Moldovan lei) for November 2024 of beneficiary HHs that use and paid for heating systems other than gas and electricity by average monthly income (in Moldovan lei) between November 2024 and January 2025</t>
  </si>
  <si>
    <t>Average expenditure on heating* (in Moldovan lei) for November 2024 of beneficiary HHs that use and paid for heating systems other than gas and electricity by primary type of heating system</t>
  </si>
  <si>
    <t>Average expenditure on heating* (in Moldovan lei) for November 2024 of beneficiary HHs that use and paid for heating systems other than gas and electricity by type of heating systems used</t>
  </si>
  <si>
    <t>Average expenditure on heating* (in Moldovan lei) for November 2024 of beneficiary HHs that use and paid for heating systems other than gas and electricity by type of settlement</t>
  </si>
  <si>
    <t>% of beneficiary HHs by ability to cover electricity, gas and heating bills for December 2024 and type of HH</t>
  </si>
  <si>
    <t>% of beneficiary HHs by ability to cover electricity, gas and heating bills for December 2024 and HH size</t>
  </si>
  <si>
    <t>% of beneficiary HHs by ability to cover electricity, gas and heating bills for December 2024 and HH composition</t>
  </si>
  <si>
    <t>% of beneficiary HHs by ability to cover electricity, gas and heating bills for December 2024 and whether the HH includes persons with disabilities (according to the Washington Group Short Set on Functioning)</t>
  </si>
  <si>
    <t>% of beneficiary HHs by ability to cover electricity, gas and heating bills for December 2024 and type of housing tenure</t>
  </si>
  <si>
    <t>% of beneficiary HHs by ability to cover electricity, gas and heating bills for December 2024 and average monthly income (in Moldovan lei) between November 2024 and January 2025</t>
  </si>
  <si>
    <t>% of beneficiary HHs by ability to cover electricity, gas and heating bills for December 2024 and primary type of heating system</t>
  </si>
  <si>
    <t>% of beneficiary HHs by ability to cover electricity, gas and heating bills for December 2024 and type of heating systems used</t>
  </si>
  <si>
    <t>% of beneficiary HHs by ability to cover electricity, gas and heating bills for December 2024 and gas usage</t>
  </si>
  <si>
    <t>% of beneficiary HHs by ability to cover electricity, gas and heating bills for December 2024 and % of HH expenditure spent on gas, electricity or heating bills/expenses for December 2024</t>
  </si>
  <si>
    <t>% of beneficiary HHs by ability to cover electricity, gas and heating bills for December 2024 and % of total income spent on gas, electricity or heating bills/expenses for December 2024</t>
  </si>
  <si>
    <t>% of beneficiary HHs by ability to cover electricity, gas and heating bills for December 2024 and amount of EVRF compensation received for December 2024</t>
  </si>
  <si>
    <t>% of beneficiary HHs by ability to cover electricity, gas and heating bills for December 2024 and type of settlement</t>
  </si>
  <si>
    <t>% of beneficiary HHs by ability to cover electricity, gas and heating bills for November 2024 and type of HH</t>
  </si>
  <si>
    <t>% of beneficiary HHs by ability to cover electricity, gas and heating bills for November 2024 and HH size</t>
  </si>
  <si>
    <t>% of beneficiary HHs by ability to cover electricity, gas and heating bills for November 2024 and HH composition</t>
  </si>
  <si>
    <t>% of beneficiary HHs by ability to cover electricity, gas and heating bills for November 2024 and whether the HH includes persons with disabilities (according to the Washington Group Short Set on Functioning)</t>
  </si>
  <si>
    <t>% of beneficiary HHs by ability to cover electricity, gas and heating bills for November 2024 and type of housing tenure</t>
  </si>
  <si>
    <t>% of beneficiary HHs by ability to cover electricity, gas and heating bills for November 2024 and average monthly income (in Moldovan lei) between November 2024 and January 2025</t>
  </si>
  <si>
    <t>% of beneficiary HHs by ability to cover electricity, gas and heating bills for November 2024 and primary type of heating system</t>
  </si>
  <si>
    <t>% of beneficiary HHs by ability to cover electricity, gas and heating bills for November 2024 and type of heating systems used</t>
  </si>
  <si>
    <t>% of beneficiary HHs by ability to cover electricity, gas and heating bills for November 2024 and gas usage</t>
  </si>
  <si>
    <t>% of beneficiary HHs by ability to cover electricity, gas and heating bills for November 2024 and % of HH expenditure spent on gas, electricity or heating bills/expenses for November 2024</t>
  </si>
  <si>
    <t>% of beneficiary HHs by ability to cover electricity, gas and heating bills for November 2024 and % of total income spent on gas, electricity or heating bills/expenses for November 2024</t>
  </si>
  <si>
    <t>% of beneficiary HHs by ability to cover electricity, gas and heating bills for November 2024 and amount of EVRF compensation received for November 2024</t>
  </si>
  <si>
    <t>% of beneficiary HHs by ability to cover electricity, gas and heating bills for November 2024 and type of settlement</t>
  </si>
  <si>
    <t>% of beneficiary HHs that were also beneficiaries last winter season (2023-2024) by type of HH</t>
  </si>
  <si>
    <t>% of beneficiary HHs that were also beneficiaries last winter season (2023-2024) by HH composition</t>
  </si>
  <si>
    <t>% of beneficiary HHs that were also beneficiaries last winter season (2023-2024) by whether the HH includes persons with disabilities (according to the Washington Group Short Set on Functioning)</t>
  </si>
  <si>
    <t>% of beneficiary HHs that were also beneficiaries last winter season (2023-2024) by method of applying</t>
  </si>
  <si>
    <t>% of beneficiary HHs that were also beneficiaries last winter season (2023-2024) by how they first found out about the EVRF energy compensation</t>
  </si>
  <si>
    <t>% of beneficiary HHs that were also beneficiaries last winter season (2023-2024) by type of settlement</t>
  </si>
  <si>
    <t>% of beneficiary respondents by suggested changes to improve the accessibility of the EVRF and type of HH</t>
  </si>
  <si>
    <t>% of beneficiary respondents by suggested changes to improve the accessibility of the EVRF and age</t>
  </si>
  <si>
    <t>% of beneficiary respondents by suggested changes to improve the accessibility of the EVRF and HH composition</t>
  </si>
  <si>
    <t>% of beneficiary respondents by suggested changes to improve the accessibility of the EVRF and whether the HH includes persons with disabilities (according to the Washington Group Short Set on Functioning)</t>
  </si>
  <si>
    <t>% of beneficiary respondents by suggested changes to improve the accessibility of the EVRF and type of housing tenure</t>
  </si>
  <si>
    <t>% of beneficiary respondents by suggested changes to improve the accessibility of the EVRF and average monthly income (in Moldovan lei) between November 2024 and January 2025</t>
  </si>
  <si>
    <t>% of beneficiary respondents by suggested changes to improve the accessibility of the EVRF and primary type of heating system</t>
  </si>
  <si>
    <t>% of beneficiary respondents by suggested changes to improve the accessibility of the EVRF and legal status</t>
  </si>
  <si>
    <t>% of beneficiary respondents by suggested changes to improve the accessibility of the EVRF and method of applying</t>
  </si>
  <si>
    <t>% of beneficiary respondents by suggested changes to improve the accessibility of the EVRF and type of settlement</t>
  </si>
  <si>
    <t>% of beneficiary HHs experiencing financial stress* in December 2024 by type of HH</t>
  </si>
  <si>
    <t>% of beneficiary HHs experiencing financial stress* in December 2024 by HH size</t>
  </si>
  <si>
    <t>% of beneficiary HHs experiencing financial stress* in December 2024 by HH composition</t>
  </si>
  <si>
    <t>% of beneficiary HHs experiencing financial stress* in December 2024 by whether the HH includes persons with disabilities (according to the Washington Group Short Set on Functioning)</t>
  </si>
  <si>
    <t>% of beneficiary HHs experiencing financial stress* in December 2024 by type of housing tenure</t>
  </si>
  <si>
    <t>% of beneficiary HHs experiencing financial stress* in December 2024 by range of monthly HH income between November 2024 and January 2025</t>
  </si>
  <si>
    <t>% of beneficiary HHs experiencing financial stress* in December 2024 by type of settlement</t>
  </si>
  <si>
    <t>% of beneficiary HHs experiencing financial stress* in November 2024 by type of HH</t>
  </si>
  <si>
    <t>% of beneficiary HHs experiencing financial stress* in November 2024 by HH size</t>
  </si>
  <si>
    <t>% of beneficiary HHs experiencing financial stress* in November 2024 by HH composition</t>
  </si>
  <si>
    <t>% of beneficiary HHs experiencing financial stress* in November 2024 by whether the HH includes persons with disabilities (according to the Washington Group Short Set on Functioning)</t>
  </si>
  <si>
    <t>% of beneficiary HHs experiencing financial stress* in November 2024 by type of housing tenure</t>
  </si>
  <si>
    <t>% of beneficiary HHs experiencing financial stress* in November 2024 by range of monthly HH income between November 2024 and January 2025</t>
  </si>
  <si>
    <t>% of beneficiary HHs experiencing financial stress* in November 2024 by type of settlement</t>
  </si>
  <si>
    <t>% of beneficiary HHs using gas by type of HH</t>
  </si>
  <si>
    <t>% of beneficiary HHs using gas by average monthly income (in Moldovan lei) between November 2024 and January 2025</t>
  </si>
  <si>
    <t>% of beneficiary HHs using gas by % of HH expenditure spent on gas, electricity or heating bills/expenses for November 2024</t>
  </si>
  <si>
    <t>% of beneficiary HHs using gas by % of HH expenditure spent on gas, electricity or heating bills/expenses for December 2024</t>
  </si>
  <si>
    <t>% of beneficiary HHs using gas by % of total income spent on gas, electricity or heating bills/expenses for November 2024</t>
  </si>
  <si>
    <t>% of beneficiary HHs using gas by % of total income spent on gas, electricity or heating bills/expenses for December 2024</t>
  </si>
  <si>
    <t>% of beneficiary HHs using gas by amount of EVRF compensation received for November 2024</t>
  </si>
  <si>
    <t>% of beneficiary HHs using gas by amount of EVRF compensation received for December 2024</t>
  </si>
  <si>
    <t>% of beneficiary HHs using gas by type of settlement</t>
  </si>
  <si>
    <t>% of beneficiary HHs by primary type of heating system and type of HH</t>
  </si>
  <si>
    <t>% of beneficiary HHs by primary type of heating system and HH size</t>
  </si>
  <si>
    <t>% of beneficiary HHs by primary type of heating system and % of HH expenditure spent on gas, electricity or heating bills/expenses for November 2024</t>
  </si>
  <si>
    <t>% of beneficiary HHs by primary type of heating system and % of HH expenditure spent on gas, electricity or heating bills/expenses for December 2024</t>
  </si>
  <si>
    <t>% of beneficiary HHs by primary type of heating system and % of total income spent on gas, electricity or heating bills/expenses for November 2024</t>
  </si>
  <si>
    <t>% of beneficiary HHs by primary type of heating system and % of total income spent on gas, electricity or heating bills/expenses for December 2024</t>
  </si>
  <si>
    <t>% of beneficiary HHs by primary type of heating system and type of settlement</t>
  </si>
  <si>
    <t>% of beneficiary HHs by additional sources of heating and type of HH</t>
  </si>
  <si>
    <t>% of beneficiary HHs by additional sources of heating and type of settlement</t>
  </si>
  <si>
    <t>% of beneficiary HHs by HH composition and type of HH</t>
  </si>
  <si>
    <t>% of beneficiary HHs by HH composition and type of settlement</t>
  </si>
  <si>
    <t>% of beneficiary HHs by type of heating systems used and type of HH</t>
  </si>
  <si>
    <t>% of beneficiary HHs by type of heating systems used and HH size</t>
  </si>
  <si>
    <t>% of beneficiary HHs by type of heating systems used and average monthly income (in Moldovan lei) between November 2024 and January 2025</t>
  </si>
  <si>
    <t>% of beneficiary HHs by type of heating systems used and primary type of heating system</t>
  </si>
  <si>
    <t>% of beneficiary HHs by type of heating systems used and method of applying</t>
  </si>
  <si>
    <t>% of beneficiary HHs by type of heating systems used and % of HH expenditure spent on gas, electricity or heating bills/expenses for November 2024</t>
  </si>
  <si>
    <t>% of beneficiary HHs by type of heating systems used and % of HH expenditure spent on gas, electricity or heating bills/expenses for December 2024</t>
  </si>
  <si>
    <t>% of beneficiary HHs by type of heating systems used and % of total income spent on gas, electricity or heating bills/expenses for November 2024</t>
  </si>
  <si>
    <t>% of beneficiary HHs by type of heating systems used and % of total income spent on gas, electricity or heating bills/expenses for December 2024</t>
  </si>
  <si>
    <t>% of beneficiary HHs by type of heating systems used and type of settlement</t>
  </si>
  <si>
    <t>% of beneficiary HHs by whether they spent money on gas for December 2024* among beneficiary HHs that use gas, by type of HH</t>
  </si>
  <si>
    <t>% of beneficiary HHs by whether they spent money on gas for November 2024* among beneficiary HHs that use gas, by type of HH</t>
  </si>
  <si>
    <t>% of beneficiary HHs by whether they spent money on heating for December 2024* among beneficiary HHs that use heating systems other than gas and electricity, by type of HH</t>
  </si>
  <si>
    <t>% of beneficiary HHs by whether they spent money on heating for November 2024* among beneficiary HHs that use heating systems other than gas and electricity, by type of HH</t>
  </si>
  <si>
    <t>Average HH size of beneficiary HHs</t>
  </si>
  <si>
    <t>Average HH size of beneficiary HHs by type of HH</t>
  </si>
  <si>
    <t>% of beneficiary HHs by HH size and type of HH</t>
  </si>
  <si>
    <t>% of beneficiary HHs by type of HH (only refugees, only host community, and mixed*)</t>
  </si>
  <si>
    <t>% of beneficiary HHs by type of HH</t>
  </si>
  <si>
    <t>% of beneficiary HHs with a HH member with a Moldovan disability certificate*</t>
  </si>
  <si>
    <t>% of beneficiary HHs with a HH member with a Moldovan disability certificate*, by presence of HH member with a disability (according to the Washington Group Short Set on Functioning)</t>
  </si>
  <si>
    <t>% of beneficiary HHs with people with disabilities (according to the Washington Group Short Set on Functioning)* and type of HH</t>
  </si>
  <si>
    <t>% of beneficiary HHs with people with disabilities (according to the Washington Group Short Set on Functioning)* and type of settlement</t>
  </si>
  <si>
    <t>% of beneficiary respondents by legal status and whether they are refugees from Ukraine</t>
  </si>
  <si>
    <t>% of beneficiary HHs by the extent to which they are able to meet their basic needs and type of HH</t>
  </si>
  <si>
    <t>% of beneficiary HHs by the extent to which they are able to meet their basic needs and HH size</t>
  </si>
  <si>
    <t>% of beneficiary HHs by the extent to which they are able to meet their basic needs and HH composition</t>
  </si>
  <si>
    <t>% of beneficiary HHs by the extent to which they are able to meet their basic needs and whether the HH includes persons with disabilities (according to the Washington Group Short Set on Functioning)</t>
  </si>
  <si>
    <t>% of beneficiary HHs by the extent to which they are able to meet their basic needs and type of housing tenure</t>
  </si>
  <si>
    <t>% of beneficiary HHs by the extent to which they are able to meet their basic needs and average monthly income (in Moldovan lei) between November 2024 and January 2025</t>
  </si>
  <si>
    <t>% of beneficiary HHs by the extent to which they are able to meet their basic needs and % of HH expenditure spent on gas, electricity or heating bills/expenses for November 2024</t>
  </si>
  <si>
    <t>% of beneficiary HHs by the extent to which they are able to meet their basic needs and % of HH expenditure spent on gas, electricity or heating bills/expenses for December 2024</t>
  </si>
  <si>
    <t>% of beneficiary HHs by the extent to which they are able to meet their basic needs and % of total income spent on gas, electricity or heating bills/expenses for November 2024</t>
  </si>
  <si>
    <t>% of beneficiary HHs by the extent to which they are able to meet their basic needs and % of total income spent on gas, electricity or heating bills/expenses for December 2024</t>
  </si>
  <si>
    <t>% of beneficiary HHs by the extent to which they are able to meet their basic needs and amount of EVRF energy compensation received in November 2024</t>
  </si>
  <si>
    <t>% of beneficiary HHs by the extent to which they are able to meet their basic needs and amount of EVRF energy compensation received in December 2024</t>
  </si>
  <si>
    <t>% of beneficiary HHs by the extent to which they are able to meet their basic needs and type of settlement</t>
  </si>
  <si>
    <t>Average number of children in beneficiary HHs with children by type of HH</t>
  </si>
  <si>
    <t>Average number of HH members with a Moldovan disability certificate in beneficiary HHs with reported persons with disabilities*, by type of HH</t>
  </si>
  <si>
    <t>% of beneficiary HHs by presence of HH members with a Moldovan disability certificate* who receive financial state support and type of HH</t>
  </si>
  <si>
    <t>% of beneficiary HHs by number of HH members earning an income* and type of HH</t>
  </si>
  <si>
    <t>% of beneficiary HHs by number of HH members earning an income* and HH size</t>
  </si>
  <si>
    <t>% of beneficiary HHs by number of HH members earning an income* and HH composition</t>
  </si>
  <si>
    <t>% of beneficiary HHs by number of HH members earning an income* and type of settlement</t>
  </si>
  <si>
    <t>% of beneficiary HHs by % of HH expenditure spent on gas, electricity or heating bills/expenses for December 2024 and type of HH</t>
  </si>
  <si>
    <t>% of beneficiary HHs by % of HH expenditure spent on gas, electricity or heating bills/expenses for December 2024 and HH size</t>
  </si>
  <si>
    <t>% of beneficiary HHs by % of HH expenditure spent on gas, electricity or heating bills/expenses for December 2024 and HH composition</t>
  </si>
  <si>
    <t>% of beneficiary HHs by % of HH expenditure spent on gas, electricity or heating bills/expenses for December 2024 and whether the HH includes persons with disabilities (according to the Washington Group Short Set on Functioning)</t>
  </si>
  <si>
    <t>% of beneficiary HHs by % of HH expenditure spent on gas, electricity or heating bills/expenses for December 2024 and type of housing tenure</t>
  </si>
  <si>
    <t>% of beneficiary HHs by % of HH expenditure spent on gas, electricity or heating bills/expenses for December 2024 and range of monthly HH income between November 2024 and January 2025</t>
  </si>
  <si>
    <t>% of beneficiary HHs by % of HH expenditure spent on gas, electricity or heating bills/expenses for December 2024 and % of HH expenditure spent on gas, electricity or heating bills/expenses for November 2024</t>
  </si>
  <si>
    <t>% of beneficiary HHs by % of HH expenditure spent on gas, electricity or heating bills/expenses for December 2024 and type of settlement</t>
  </si>
  <si>
    <t>% of beneficiary HHs by % of HH expenditure spent on gas, electricity or heating bills/expenses for November 2024 and type of HH</t>
  </si>
  <si>
    <t>% of beneficiary HHs by % of HH expenditure spent on gas, electricity or heating bills/expenses for November 2024 and HH size</t>
  </si>
  <si>
    <t>% of beneficiary HHs by % of HH expenditure spent on gas, electricity or heating bills/expenses for November 2024 and HH composition</t>
  </si>
  <si>
    <t>% of beneficiary HHs by % of HH expenditure spent on gas, electricity or heating bills/expenses for November 2024 and whether the HH includes persons with disabilities (according to the Washington Group Short Set on Functioning)</t>
  </si>
  <si>
    <t>% of beneficiary HHs by % of HH expenditure spent on gas, electricity or heating bills/expenses for November 2024 and type of housing tenure</t>
  </si>
  <si>
    <t>% of beneficiary HHs by % of HH expenditure spent on gas, electricity or heating bills/expenses for November 2024 and range of monthly HH income between November 2024 and January 2025</t>
  </si>
  <si>
    <t>% of beneficiary HHs by % of HH expenditure spent on gas, electricity or heating bills/expenses for November 2024 and type of settlement</t>
  </si>
  <si>
    <t>% of beneficiary HHs by % of total income spent on gas, electricity or heating bills/expenses for December 2024 and type of HH</t>
  </si>
  <si>
    <t>% of beneficiary HHs by % of total income spent on gas, electricity or heating bills/expenses for December 2024 and HH size</t>
  </si>
  <si>
    <t>% of beneficiary HHs by % of total income spent on gas, electricity or heating bills/expenses for December 2024 and HH composition</t>
  </si>
  <si>
    <t>% of beneficiary HHs by % of total income spent on gas, electricity or heating bills/expenses for December 2024 and whether the HH includes persons with disabilities (according to the Washington Group Short Set on Functioning)</t>
  </si>
  <si>
    <t>% of beneficiary HHs by % of total income spent on gas, electricity or heating bills/expenses for December 2024 and type of housing tenure</t>
  </si>
  <si>
    <t>% of beneficiary HHs by % of total income spent on gas, electricity or heating bills/expenses for December 2024 and range of monthly HH income between November 2024 and January 2025</t>
  </si>
  <si>
    <t>% of beneficiary HHs by % of total income spent on gas, electricity or heating bills/expenses for December 2024 and type of settlement</t>
  </si>
  <si>
    <t>% of beneficiary HHs by % of total income spent on gas, electricity or heating bills/expenses for November 2024 and type of HH</t>
  </si>
  <si>
    <t>% of beneficiary HHs by % of total income spent on gas, electricity or heating bills/expenses for November 2024 and HH size</t>
  </si>
  <si>
    <t>% of beneficiary HHs by % of total income spent on gas, electricity or heating bills/expenses for November 2024 and HH composition</t>
  </si>
  <si>
    <t>% of beneficiary HHs by % of total income spent on gas, electricity or heating bills/expenses for November 2024 and whether the HH includes persons with disabilities (according to the Washington Group Short Set on Functioning)</t>
  </si>
  <si>
    <t>% of beneficiary HHs by % of total income spent on gas, electricity or heating bills/expenses for November 2024 and type of housing tenure</t>
  </si>
  <si>
    <t>% of beneficiary HHs by % of total income spent on gas, electricity or heating bills/expenses for November 2024 and range of monthly HH income between November 2024 and January 2025</t>
  </si>
  <si>
    <t>% of beneficiary HHs by % of total income spent on gas, electricity or heating bills/expenses for November 2024 and type of settlement</t>
  </si>
  <si>
    <t>% of beneficiary HHs that implemented measures to reduce electricity consumption and cut down costs by type of HH</t>
  </si>
  <si>
    <t>% of beneficiary HHs that implemented measures to reduce electricity consumption and cut down costs by HH size</t>
  </si>
  <si>
    <t>% of beneficiary HHs that implemented measures to reduce electricity consumption and cut down costs by HH composition</t>
  </si>
  <si>
    <t>% of beneficiary HHs that implemented measures to reduce electricity consumption and cut down costs by whether the HH includes persons with disabilities (according to the Washington Group Short Set on Functioning)</t>
  </si>
  <si>
    <t>% of beneficiary HHs that implemented measures to reduce electricity consumption and cut down costs by average monthly income (in Moldovan lei) between November 2024 and January 2025</t>
  </si>
  <si>
    <t>% of beneficiary HHs that implemented measures to reduce electricity consumption and cut down costs by % of HH expenditure spent on gas, electricity or heating bills/expenses for November 2024</t>
  </si>
  <si>
    <t>% of beneficiary HHs that implemented measures to reduce electricity consumption and cut down costs by % of HH expenditure spent on gas, electricity or heating bills/expenses for December 2024</t>
  </si>
  <si>
    <t>% of beneficiary HHs that implemented measures to reduce electricity consumption and cut down costs by % of total income spent on gas, electricity or heating bills/expenses for November 2024</t>
  </si>
  <si>
    <t>% of beneficiary HHs that implemented measures to reduce electricity consumption and cut down costs by % of total income spent on gas, electricity or heating bills/expenses for December 2024</t>
  </si>
  <si>
    <t>% of beneficiary HHs that implemented measures to reduce electricity consumption and cut down costs by amount of EVRF energy compensation received for November 2024</t>
  </si>
  <si>
    <t>% of beneficiary HHs that implemented measures to reduce electricity consumption and cut down costs by amount of EVRF energy compensation received in December 2024</t>
  </si>
  <si>
    <t>% of beneficiary HHs that implemented measures to reduce electricity consumption and cut down costs by type of settlement</t>
  </si>
  <si>
    <t>% of HHs by essential expenses they had to cut back on, among beneficiary HHs that had to cut down on essential expenses to pay for utility bills this winter,r by type of HH</t>
  </si>
  <si>
    <t>% of HHs by essential expenses they had to cut back on, among beneficiary HHs that had to cut down on essential expenses to pay for utility bills this winter, by HH size</t>
  </si>
  <si>
    <t>% of HHs by essential expenses they had to cut back on, among beneficiary HHs that had to cut down on essential expenses to pay for utility bills this winter, by HH composition</t>
  </si>
  <si>
    <t>% of HHs by essential expenses they had to cut back on, among beneficiary HHs that had to cut down on essential expenses to pay for utility bills this winter, by whether the HH includes persons with disabilities (according to the Washington Group Short Set on Functioning)</t>
  </si>
  <si>
    <t>% of HHs by essential expenses they had to cut back on, among beneficiary HHs that had to cut down on essential expenses to pay for utility bills this winter, by average monthly income (in Moldovan lei) between November 2024 and January 2025</t>
  </si>
  <si>
    <t>% of HHs by essential expenses they had to cut back on, among beneficiary HHs that had to cut down on essential expenses to pay for utility bills this winter, by % of HH expenditure spent on gas, electricity or heating bills/expenses for November 2024</t>
  </si>
  <si>
    <t>% of HHs by essential expenses they had to cut back on, among beneficiary HHs that had to cut down on essential expenses to pay for utility bills this winter, by % of HH expenditure spent on gas, electricity or heating bills/expenses for December 2024</t>
  </si>
  <si>
    <t>% of HHs by essential expenses they had to cut back on, among beneficiary HHs that had to cut down on essential expenses to pay for utility bills this winter, by % of total income spent on gas, electricity or heating bills/expenses for November 2024</t>
  </si>
  <si>
    <t>% of HHs by essential expenses they had to cut back on, among beneficiary HHs that had to cut down on essential expenses to pay for utility bills this winter, by % of total income spent on gas, electricity or heating bills/expenses for December 2024</t>
  </si>
  <si>
    <t>% of HHs by essential expenses they had to cut back on, among beneficiary HHs that had to cut down on essential expenses to pay for utility bills this winter, by amount of EVRF energy compensation received for November 2024</t>
  </si>
  <si>
    <t>% of HHs by essential expenses they had to cut back on, among beneficiary HHs that had to cut down on essential expenses to pay for utility bills this winter,r by amount of EVRF energy compensation received in December 2024</t>
  </si>
  <si>
    <t>% of HHs by essential expenses they had to cut back on, among beneficiary HHs that had to cut down on essential expenses to pay for utility bills this winter, by type of settlement</t>
  </si>
  <si>
    <t>% of beneficiary HHs that had to cut down on essential expenses to pay for utility bills this winter by type of HH</t>
  </si>
  <si>
    <t>% of beneficiary HHs that had to cut down on essential expenses to pay for utility bills this winter by HH size</t>
  </si>
  <si>
    <t>% of beneficiary HHs that had to cut down on essential expenses to pay for utility bills this winter by HH composition</t>
  </si>
  <si>
    <t>% of beneficiary HHs that had to cut down on essential expenses to pay for utility bills this winter by whether the HH includes persons with disabilities (according to the Washington Group Short Set on Functioning)</t>
  </si>
  <si>
    <t>% of beneficiary HHs that had to cut down on essential expenses to pay for utility bills this winter by average monthly income (in Moldovan lei) between November 2024 and January 2025</t>
  </si>
  <si>
    <t>% of beneficiary HHs that had to cut down on essential expenses to pay for utility bills this winter by % of HH expenditure spent on gas, electricity or heating bills/expenses for November 2024</t>
  </si>
  <si>
    <t>% of beneficiary HHs that had to cut down on essential expenses to pay for utility bills this winter by % of HH expenditure spent on gas, electricity or heating bills/expenses for December 2024</t>
  </si>
  <si>
    <t>% of beneficiary HHs that had to cut down on essential expenses to pay for utility bills this winter by % of total income spent on gas, electricity or heating bills/expenses for November 2024</t>
  </si>
  <si>
    <t>% of beneficiary HHs that had to cut down on essential expenses to pay for utility bills this winter by % of total income spent on gas, electricity or heating bills/expenses for December 2024</t>
  </si>
  <si>
    <t>% of beneficiary HHs that had to cut down on essential expenses to pay for utility bills this winter by amount of EVRF energy compensation received for November 2024</t>
  </si>
  <si>
    <t>% of beneficiary HHs that had to cut down on essential expenses to pay for utility bills this winter by amount of EVRF energy compensation received in December 2024</t>
  </si>
  <si>
    <t>% of beneficiary HHs that had to cut down on essential expenses to pay for utility bills this winter by type of settlement</t>
  </si>
  <si>
    <t>% of beneficiary HHs that implemented measures to reduce gas consumption and cut down costs by type of HH</t>
  </si>
  <si>
    <t>% of beneficiary HHs that implemented measures to reduce gas consumption and cut down costs by HH composition</t>
  </si>
  <si>
    <t>% of beneficiary HHs that implemented measures to reduce gas consumption and cut down costs by whether the HH includes persons with disabilities (according to the Washington Group Short Set on Functioning)</t>
  </si>
  <si>
    <t>% of beneficiary HHs that implemented measures to reduce gas consumption and cut down costs by average monthly income (in Moldovan lei) between November 2024 and January 2025</t>
  </si>
  <si>
    <t>% of beneficiary HHs that implemented measures to reduce gas consumption and cut down costs by amount of EVRF energy compensation received for November 2024</t>
  </si>
  <si>
    <t>% of beneficiary HHs that implemented measures to reduce gas consumption and cut down costs by amount of EVRF energy compensation received in December 2024</t>
  </si>
  <si>
    <t>% of beneficiary HHs that implemented measures to reduce gas consumption and cut down costs by type of settlement</t>
  </si>
  <si>
    <t>% of beneficiary HHs that implemented measures to reduce heating consumption* and cut down costs by type of HH</t>
  </si>
  <si>
    <t>% of beneficiary HHs that implemented measures to reduce heating consumption* and cut down costs by HH size</t>
  </si>
  <si>
    <t>% of beneficiary HHs that implemented measures to reduce heating consumption* and cut down costs by HH composition</t>
  </si>
  <si>
    <t>% of beneficiary HHs that implemented measures to reduce heating consumption* and cut down costs by whether the HH includes persons with disabilities (according to the Washington Group Short Set on Functioning)</t>
  </si>
  <si>
    <t>% of beneficiary HHs that implemented measures to reduce heating consumption* and cut down costs by average monthly income (in Moldovan lei) between November 2024 and January 2025</t>
  </si>
  <si>
    <t>% of beneficiary HHs that implemented measures to reduce heating consumption* and cut down costs by % of HH expenditure spent on gas, electricity or heating bills/expenses for November 2024</t>
  </si>
  <si>
    <t>% of beneficiary HHs that implemented measures to reduce heating consumption* and cut down costs by % of HH expenditure spent on gas, electricity or heating bills/expenses for December 2024</t>
  </si>
  <si>
    <t>% of beneficiary HHs that implemented measures to reduce heating consumption* and cut down costs by % of total income spent on gas, electricity or heating bills/expenses for November 2024</t>
  </si>
  <si>
    <t>% of beneficiary HHs that implemented measures to reduce heating consumption* and cut down costs by % of total income spent on gas, electricity or heating bills/expenses for December 2024</t>
  </si>
  <si>
    <t>% of beneficiary HHs that implemented measures to reduce heating consumption* and cut down costs by amount of EVRF energy compensation received for November 2024</t>
  </si>
  <si>
    <t>% of beneficiary HHs that implemented measures to reduce heating consumption* and cut down costs by amount of EVRF energy compensation received in December 2024</t>
  </si>
  <si>
    <t>% of beneficiary HHs that implemented measures to reduce heating consumption* and cut down costs by type of settlement</t>
  </si>
  <si>
    <t>% of beneficiary HHs that reduced electricity, gas or heating consumption, by measure implemented and type of HH</t>
  </si>
  <si>
    <t>% of beneficiary HHs that reduced electricity, gas or heating consumption, by measure implemented and HH size</t>
  </si>
  <si>
    <t>% of beneficiary HHs that reduced electricity, gas or heating consumption, by measure implemented and HH composition</t>
  </si>
  <si>
    <t>% of beneficiary HHs that reduced electricity, gas or heating consumption, by measure implemented and whether the HH includes persons with disabilities (according to the Washington Group Short Set on Functioning)</t>
  </si>
  <si>
    <t>% of beneficiary HHs that reduced electricity, gas or heating consumption, by measure implemented and average monthly income (in Moldovan lei) between November 2024 and January 2025</t>
  </si>
  <si>
    <t>% of beneficiary HHs that reduced electricity, gas or heating consumption, by measure implemented and % of HH expenditure spent on gas, electricity or heating bills/expenses for November 2024</t>
  </si>
  <si>
    <t>% of beneficiary HHs that reduced electricity, gas or heating consumption, by measure implemented and % of HH expenditure spent on gas, electricity or heating bills/expenses for December 2024</t>
  </si>
  <si>
    <t>% of beneficiary HHs that reduced electricity, gas or heating consumption, by measure implemented and % of total income spent on gas, electricity or heating bills/expenses for November 2024</t>
  </si>
  <si>
    <t>% of beneficiary HHs that reduced electricity, gas or heating consumption, by measure implemented and % of total income spent on gas, electricity or heating bills/expenses for December 2024</t>
  </si>
  <si>
    <t>% of beneficiary HHs that reduced electricity, gas or heating consumption, by measure implemented and cut down costs by amount of EVRF energy compensation received for November 2024</t>
  </si>
  <si>
    <t>% of beneficiary HHs that reduced electricity, gas or heating consumption, by measure implemented and amount of EVRF energy compensation received in December 2024</t>
  </si>
  <si>
    <t>% of beneficiary HHs that reduced electricity, gas or heating consumption, by measure implemented and type of settlement</t>
  </si>
  <si>
    <t>% of beneficiary respondents that are refugees from Ukraine*</t>
  </si>
  <si>
    <t>% of beneficiary HHs by region and type of HH</t>
  </si>
  <si>
    <t>% of beneficiary HHs by financial resources used to cover utility bills and heating costs and type of HH</t>
  </si>
  <si>
    <t>% of beneficiary HHs by financial resources used to cover utility bills and heating costs and HH composition</t>
  </si>
  <si>
    <t>% of beneficiary HHs by financial resources used to cover utility bills and heating costs and whether the HH includes persons with disabilities (according to the Washington Group Short Set on Functioning)</t>
  </si>
  <si>
    <t>% of beneficiary HHs by financial resources used to cover utility bills and heating costs and type of housing tenure</t>
  </si>
  <si>
    <t>% of beneficiary HHs by financial resources used to cover utility bills and heating costs and type of settlement</t>
  </si>
  <si>
    <t>% of beneficiary respondents by gender</t>
  </si>
  <si>
    <t>% of beneficiary HHs planning long-term strategies to cope with rising and volatile energy costs by type of HH</t>
  </si>
  <si>
    <t>% of beneficiary HHs planning long-term strategies to cope with rising and volatile energy costs by HH size</t>
  </si>
  <si>
    <t>% of beneficiary HHs planning long-term strategies to cope with rising and volatile energy costs by HH composition</t>
  </si>
  <si>
    <t>% of beneficiary HHs planning long-term strategies to cope with rising and volatile energy costs by whether the HH includes persons with disabilities (according to the Washington Group Short Set on Functioning)</t>
  </si>
  <si>
    <t>% of beneficiary HHs planning long-term strategies to cope with rising and volatile energy costs by average monthly income (in Moldovan lei) between November 2024 and January 2025</t>
  </si>
  <si>
    <t>% of beneficiary HHs planning long-term strategies to cope with rising and volatile energy costs by primary type of heating system</t>
  </si>
  <si>
    <t>% of beneficiary HHs planning long-term strategies to cope with rising and volatile energy costs by % of HH expenditure spent on gas, electricity or heating bills/expenses for November 2024</t>
  </si>
  <si>
    <t>% of beneficiary HHs planning long-term strategies to cope with rising and volatile energy costs by % of HH expenditure spent on gas, electricity or heating bills/expenses for December 2024</t>
  </si>
  <si>
    <t>% of beneficiary HHs planning long-term strategies to cope with rising and volatile energy costs by % of total income spent on gas, electricity or heating bills/expenses for November 2024</t>
  </si>
  <si>
    <t>% of beneficiary HHs planning long-term strategies to cope with rising and volatile energy costs by % of total income spent on gas, electricity or heating bills/expenses for December 2024</t>
  </si>
  <si>
    <t>% of beneficiary HHs planning long-term strategies to cope with rising and volatile energy costs by type of settlement</t>
  </si>
  <si>
    <t>% of beneficiary HHs planning long-term strategies to cope with rising and volatile energy costs, by type of strategy and type of HH</t>
  </si>
  <si>
    <t>% of beneficiary HHs planning long-term strategies to cope with rising and volatile energy costs, by type of strategy and HH composition</t>
  </si>
  <si>
    <t>% of beneficiary HHs planning long-term strategies to cope with rising and volatile energy costs, by type of strategy and whether the HH includes persons with disabilities (according to the Washington Group Short Set on Functioning)</t>
  </si>
  <si>
    <t>% of beneficiary HHs planning long-term strategies to cope with rising and volatile energy costs, by type of strategy and average monthly income (in Moldovan lei) between November 2024 and January 2025</t>
  </si>
  <si>
    <t>% of beneficiary HHs planning long-term strategies to cope with rising and volatile energy costs, by type of strategy and primary type of heating system</t>
  </si>
  <si>
    <t>% of beneficiary HHs planning long-term strategies to cope with rising and volatile energy costs, by type of strategy and type of settlement</t>
  </si>
  <si>
    <t>% of beneficiary HHs that applied for EVRF through a social worker, by level of satisfaction with the support received from the social worker and type of HH</t>
  </si>
  <si>
    <t>% of beneficiary HHs that applied for EVRF through a social worker, by level of satisfaction with the support received from the social worker and HH composition</t>
  </si>
  <si>
    <t>% of beneficiary HHs that applied for EVRF through a social worker, by level of satisfaction with the support received from the social worker and whether the HH includes persons with disabilities (according to the Washington Group Short Set on Functioning)</t>
  </si>
  <si>
    <t>% of beneficiary HHs that applied for EVRF through a social worker, by level of satisfaction with the support received from the social worker and type of settlement</t>
  </si>
  <si>
    <t>% of beneficiary respondents by perceived average indoor temperature of their accommodation in December 2024 by type of HH</t>
  </si>
  <si>
    <t>% of beneficiary respondents by perceived average indoor temperature of their accommodation in December 2024 by HH size</t>
  </si>
  <si>
    <t>% of beneficiary respondents by perceived average indoor temperature of their accommodation in December 2024 by HH composition</t>
  </si>
  <si>
    <t>% of beneficiary respondents by perceived average indoor temperature of their accommodation in December 2024 by whether the HH includes persons with disabilities (according to the Washington Group Short Set on Functioning)</t>
  </si>
  <si>
    <t>% of beneficiary respondents by perceived average indoor temperature of their accommodation in December 2024 by average monthly income (in Moldovan lei) between November 2024 and January 2025</t>
  </si>
  <si>
    <t>% of beneficiary respondents by perceived average indoor temperature of their accommodation in December 2024 by % of total income spent on gas, electricity or heating bills/expenses for December 2024</t>
  </si>
  <si>
    <t>% of beneficiary respondents by perceived average indoor temperature of their accommodation in December 2024 by % of HH expenditure spent on gas, electricity or heating bills/expenses for December 2024</t>
  </si>
  <si>
    <t>% of beneficiary respondents by perceived average indoor temperature of their accommodation in December 2024 by amount of EVRF energy compensation received for December 2024</t>
  </si>
  <si>
    <t>% of beneficiary respondents by perceived average indoor temperature of their accommodation in December 2024 by type of settlement</t>
  </si>
  <si>
    <t>% of beneficiary respondents by perceived average indoor temperature of their accommodation in November 2024 by type of HH</t>
  </si>
  <si>
    <t>% of beneficiary respondents by perceived average indoor temperature of their accommodation in November 2024 by HH size</t>
  </si>
  <si>
    <t>% of beneficiary respondents by perceived average indoor temperature of their accommodation in November 2024 by HH composition</t>
  </si>
  <si>
    <t>% of beneficiary respondents by perceived average indoor temperature of their accommodation in November 2024 by whether the HH includes persons with disabilities (according to the Washington Group Short Set on Functioning)</t>
  </si>
  <si>
    <t>% of beneficiary respondents by perceived average indoor temperature of their accommodation in November 2024 by average monthly income (in Moldovan lei) between November 2024 and January 2025</t>
  </si>
  <si>
    <t>% of beneficiary respondents by perceived average indoor temperature of their accommodation in November 2024 by % of HH expenditure spent on gas, electricity or heating bills/expenses for November 2024</t>
  </si>
  <si>
    <t>% of beneficiary respondents by perceived average indoor temperature of their accommodation in November 2024 by % of total income spent on gas, electricity or heating bills/expenses for November 2024</t>
  </si>
  <si>
    <t>% of beneficiary respondents by perceived average indoor temperature of their accommodation in November 2024 by amount of EVRF energy compensation received for November 2024</t>
  </si>
  <si>
    <t>% of beneficiary respondents by perceived average indoor temperature of their accommodation in November 2024 by type of settlement</t>
  </si>
  <si>
    <t>Average total energy-related expenses* for December 2024 (in Moldovan lei) of beneficiary HHs by amount of EVRF compensation received for December 2024</t>
  </si>
  <si>
    <t>Average total energy-related expenses* for December 2024 (in Moldovan lei) of beneficiary HHs by type of HH</t>
  </si>
  <si>
    <t>Total energy-related expenses* for December 2024 (in Moldovan lei) of beneficiary HHs by type of HH</t>
  </si>
  <si>
    <t>Total energy-related expenses* for December 2024 (in Moldovan lei) of beneficiary HHs by HH size</t>
  </si>
  <si>
    <t>Total energy-related expenses* for December 2024 (in Moldovan lei) of beneficiary HHs by HH composition</t>
  </si>
  <si>
    <t>Total energy-related expenses* for December 2024 (in Moldovan lei) of beneficiary HHs by whether the HH includes persons with disabilities (according to the Washington Group Short Set on Functioning)</t>
  </si>
  <si>
    <t>Total energy-related expenses* for December 2024 (in Moldovan lei) of beneficiary HHs by average monthly income (in Moldovan lei) between November 2024 and January 2025</t>
  </si>
  <si>
    <t>Total energy-related expenses* for December 2024 (in Moldovan lei) of beneficiary HHs by primary type of heating system</t>
  </si>
  <si>
    <t>Total energy-related expenses* for December 2024 (in Moldovan lei) of beneficiary HHs by type of heating systems used</t>
  </si>
  <si>
    <t>Total energy-related expenses* for December 2024 (in Moldovan lei) of beneficiary HHs by amount of EVRF compensation received for December 2024</t>
  </si>
  <si>
    <t>Total energy-related expenses* for December 2024 (in Moldovan lei) of beneficiary HHs by type of settlement</t>
  </si>
  <si>
    <t>Average total energy-related expenses* for December 2024 (in Moldovan lei) of beneficiary HHs by type of settlement</t>
  </si>
  <si>
    <t>Average total energy-related expenses* for November 2024 (in Moldovan lei) of beneficiary HHs by type of HH</t>
  </si>
  <si>
    <t>Total energy-related expenses* for November 2024 (in Moldovan lei) of beneficiary HHs by type of HH</t>
  </si>
  <si>
    <t>Total energy-related expenses* for November 2024 (in Moldovan lei) of beneficiary HHs by HH size</t>
  </si>
  <si>
    <t>Total energy-related expenses* for November 2024 (in Moldovan lei) of beneficiary HHs by HH composition</t>
  </si>
  <si>
    <t>Total energy-related expenses* for November 2024 (in Moldovan lei) of beneficiary HHs by whether the HH includes persons with disabilities (according to the Washington Group Short Set on Functioning)</t>
  </si>
  <si>
    <t>Total energy-related expenses* for November 2024 (in Moldovan lei) of beneficiary HHs by average monthly income (in Moldovan lei) between November 2024 and January 2025</t>
  </si>
  <si>
    <t>Total energy-related expenses* for November 2024 (in Moldovan lei) of beneficiary HHs by primary type of heating system</t>
  </si>
  <si>
    <t>Total energy-related expenses* for November 2024 (in Moldovan lei) of beneficiary HHs by type of heating systems used</t>
  </si>
  <si>
    <t>Total energy-related expenses* for November 2024 (in Moldovan lei) of beneficiary HHs by amount of EVRF compensation received for November 2024</t>
  </si>
  <si>
    <t>Total energy-related expenses* for November 2024 (in Moldovan lei) of beneficiary HHs by type of settlement</t>
  </si>
  <si>
    <t>Average total energy-related expenses* for November 2024 (in Moldovan lei) of beneficiary HHs by type of settlement</t>
  </si>
  <si>
    <t>% of beneficiary HHs by vulnerable groups present in HH* and type of HH</t>
  </si>
  <si>
    <t>% of beneficiary HHs by vulnerable groups present in HH* and type of settlement</t>
  </si>
  <si>
    <t>% of beneficiary HHs by expected versus received EVRF energy compensation amount for December 2024 and type of HH</t>
  </si>
  <si>
    <t>% of beneficiary HHs by expected versus received EVRF energy compensation amount for December 2024 and method of applying</t>
  </si>
  <si>
    <t>% of beneficiary HHs by expected versus received EVRF energy compensation amount for December 2024 and type of settlement</t>
  </si>
  <si>
    <t>% of beneficiary HHs by expected versus received EVRF energy compensation amount for November 2024 and type of HH</t>
  </si>
  <si>
    <t>% of beneficiary HHs by expected versus received EVRF energy compensation amount for November 2024 and method of applying</t>
  </si>
  <si>
    <t>% of beneficiary HHs by expected versus received EVRF energy compensation amount for November 2024 and type of settlement</t>
  </si>
  <si>
    <t>Number of beneficiary HHs that encountered challenges applying for energy compensation, by type of challenge and type of HH</t>
  </si>
  <si>
    <t>Number of beneficiary HHs that encountered challenges applying for energy compensation, by type of challenge and HH composition</t>
  </si>
  <si>
    <t>Number of beneficiary HHs that encountered challenges applying for energy compensation, by type of challenge and whether the HH includes persons with disabilities (according to the Washington Group Short Set on Functioning)</t>
  </si>
  <si>
    <t>Number of beneficiary HHs that encountered challenges applying for energy compensation, by type of challenge and type of housing tenure</t>
  </si>
  <si>
    <t>Number of beneficiary HHs that encountered challenges applying for energy compensation, by type of challenge and legal status of respondent</t>
  </si>
  <si>
    <t>Number of beneficiary HHs that encountered challenges applying for energy compensation, by type of challenge and method of applying</t>
  </si>
  <si>
    <t>Number of beneficiary HHs that encountered challenges applying for energy compensation, by type of challenge and type of settlement</t>
  </si>
  <si>
    <t>% of beneficiary HHs that encountered challenges applying for energy compensation by type of HH</t>
  </si>
  <si>
    <t>% of beneficiary HHs that encountered challenges applying for energy compensation by HH composition</t>
  </si>
  <si>
    <t>% of beneficiary HHs that encountered challenges applying for energy compensation by whether the HH includes persons with disabilities (according to the Washington Group Short Set on Functioning)</t>
  </si>
  <si>
    <t>% of beneficiary HHs that encountered challenges applying for energy compensation by type of housing tenure</t>
  </si>
  <si>
    <t>% of beneficiary HHs that encountered challenges applying for energy compensation by legal status of respondent</t>
  </si>
  <si>
    <t>% of beneficiary HHs that encountered challenges applying for energy compensation by method of applying</t>
  </si>
  <si>
    <t>% of beneficiary HHs that encountered challenges applying for energy compensation by type of settlement</t>
  </si>
  <si>
    <t>% of HHs by perceived difference in compensation amount between the current (2024-2025) and last (2023-2024) winter seasons, among beneficiary HHs that were also beneficiaries last winter season, by type of HH</t>
  </si>
  <si>
    <t>% of HHs by perceived difference in compensation amount between the current (2024-2025) and last (2023-2024) winter seasons, among beneficiary HHs that were also beneficiaries last winter season, by HH composition</t>
  </si>
  <si>
    <t>% of HHs by perceived difference in compensation amount between the current (2024-2025) and last (2023-2024) winter seasons, among beneficiary HHs that were also beneficiaries last winter season, by whether the HH includes persons with disabilities (according to the Washington Group Short Set on Functioning)</t>
  </si>
  <si>
    <t>% of HHs by perceived difference in compensation amount between the current (2024-2025) and last (2023-2024) winter seasons, among beneficiary HHs that were also beneficiaries last winter season, by % of HH expenditure spent on gas, electricity or heating bills/expenses for November 2024</t>
  </si>
  <si>
    <t>% of HHs by perceived difference in compensation amount between the current (2024-2025) and last (2023-2024) winter seasons, among beneficiary HHs that were also beneficiaries last winter season, by % of HH expenditure spent on gas, electricity or heating bills/expenses for December 2024</t>
  </si>
  <si>
    <t>% of HHs by perceived difference in compensation amount between the current (2024-2025) and last (2023-2024) winter seasons, among beneficiary HHs that were also beneficiaries last winter season, by % of total income spent on gas, electricity or heating bills/expenses for November 2024</t>
  </si>
  <si>
    <t>% of HHs by perceived difference in compensation amount between the current (2024-2025) and last (2023-2024) winter seasons, among beneficiary HHs that were also beneficiaries last winter season, by % of total income spent on gas, electricity or heating bills/expenses for December 2024</t>
  </si>
  <si>
    <t>% of HHs by perceived difference in compensation amount between the current (2024-2025) and last (2023-2024) winter seasons, among beneficiary HHs that were also beneficiaries last winter season, by amount of EVRF energy compensation received for November 2024</t>
  </si>
  <si>
    <t>% of HHs by perceived difference in compensation amount between the current (2024-2025) and last (2023-2024) winter seasons, among beneficiary HHs that were also beneficiaries last winter season, by amount of EVRF energy compensation received in December 2024</t>
  </si>
  <si>
    <t>% of HHs by perceived difference in compensation amount between the current (2024-2025) and last (2023-2024) winter seasons, among beneficiary HHs that were also beneficiaries last winter season, by type of settlement</t>
  </si>
  <si>
    <t>% of beneficiary HHs by method of receiving compensation and type of HH</t>
  </si>
  <si>
    <t>% of beneficiary HHs by method of receiving compensation and HH composition</t>
  </si>
  <si>
    <t>% of beneficiary HHs by method of receiving compensation and whether the HH includes persons with disabilities (according to the Washington Group Short Set on Functioning)</t>
  </si>
  <si>
    <t>% of beneficiary HHs by method of receiving compensation and type of settlement</t>
  </si>
  <si>
    <t>% of beneficiary HHs by the extent to which the compensation improved their living conditions and type of HH</t>
  </si>
  <si>
    <t>% of beneficiary HHs by the extent to which the compensation improved their living conditions and HH size</t>
  </si>
  <si>
    <t>% of beneficiary HHs by the extent to which the compensation improved their living conditions and HH composition</t>
  </si>
  <si>
    <t>% of beneficiary HHs by the extent to which the compensation improved their living conditions and whether the HH includes persons with disabilities (according to the Washington Group Short Set on Functioning)</t>
  </si>
  <si>
    <t>% of beneficiary HHs by the extent to which the compensation improved their living conditions and type of housing tenure</t>
  </si>
  <si>
    <t>% of beneficiary HHs by the extent to which the compensation improved their living conditions and average monthly income (in Moldovan lei) between November 2024 and January 2025</t>
  </si>
  <si>
    <t>% of beneficiary HHs by the extent to which the compensation improved their living conditions and % of HH expenditure spent on gas, electricity or heating bills/expenses for November 2024</t>
  </si>
  <si>
    <t>% of beneficiary HHs by the extent to which the compensation improved their living conditions and % of HH expenditure spent on gas, electricity or heating bills/expenses for December 2024</t>
  </si>
  <si>
    <t>% of beneficiary HHs by the extent to which the compensation improved their living conditions and % of total income spent on gas, electricity or heating bills/expenses for November 2024</t>
  </si>
  <si>
    <t>% of beneficiary HHs by the extent to which the compensation improved their living conditions and % of total income spent on gas, electricity or heating bills/expenses for December 2024</t>
  </si>
  <si>
    <t>% of beneficiary HHs by the extent to which the compensation improved their living conditions and amount of EVRF energy compensation received in November 2024</t>
  </si>
  <si>
    <t>% of beneficiary HHs by the extent to which the compensation improved their living conditions and amount of EVRF energy compensation received in December 2024</t>
  </si>
  <si>
    <t>% of beneficiary HHs by the extent to which the compensation improved their living conditions and type of settlement</t>
  </si>
  <si>
    <t>% of beneficiary HHs by the extent to which the compensation aided in meeting their needs and type of HH</t>
  </si>
  <si>
    <t>% of beneficiary HHs by the extent to which the compensation aided in meeting their needs and HH size</t>
  </si>
  <si>
    <t>% of beneficiary HHs by the extent to which the compensation aided in meeting their needs and HH composition</t>
  </si>
  <si>
    <t>% of beneficiary HHs by the extent to which the compensation aided in meeting their needs and whether the HH includes persons with disabilities (according to the Washington Group Short Set on Functioning)</t>
  </si>
  <si>
    <t>% of beneficiary HHs by the extent to which the compensation aided in meeting their needs and type of housing tenure</t>
  </si>
  <si>
    <t>% of beneficiary HHs by the extent to which the compensation aided in meeting their needs and average monthly income (in Moldovan lei) between November 2024 and January 2025</t>
  </si>
  <si>
    <t>% of beneficiary HHs by the extent to which the compensation aided in meeting their needs and % of HH expenditure spent on gas, electricity or heating bills/expenses for November 2024</t>
  </si>
  <si>
    <t>% of beneficiary HHs by the extent to which the compensation aided in meeting their needs and % of HH expenditure spent on gas, electricity or heating bills/expenses for December 2024</t>
  </si>
  <si>
    <t>% of beneficiary HHs by the extent to which the compensation aided in meeting their needs and % of total income spent on gas, electricity or heating bills/expenses for November 2024</t>
  </si>
  <si>
    <t>% of beneficiary HHs by the extent to which the compensation aided in meeting their needs and % of total income spent on gas, electricity or heating bills/expenses for December 2024</t>
  </si>
  <si>
    <t>% of beneficiary HHs by the extent to which the compensation aided in meeting their needs and amount of EVRF energy compensation received in November 2024</t>
  </si>
  <si>
    <t>% of beneficiary HHs by the extent to which the compensation aided in meeting their needs and amount of EVRF energy compensation received in December 2024</t>
  </si>
  <si>
    <t>% of beneficiary HHs by the extent to which the compensation aided in meeting their needs and type of settlement</t>
  </si>
  <si>
    <t>% of HHs that needed external assistance to receive the compensation from the post office, among beneficiary HHs that received the compensation through the post office, by type of HH</t>
  </si>
  <si>
    <t>% of HHs that needed external assistance to receive the compensation from the post office, among beneficiary HHs that received the compensation through the post office, by HH composition</t>
  </si>
  <si>
    <t>% of HHs that needed external assistance to receive the compensation from the post office, among beneficiary HHs that received the compensation through the post office, by whether the HH includes persons with disabilities (according to the Washington Group Short Set on Functioning)</t>
  </si>
  <si>
    <t>% of HHs that needed external assistance to receive the compensation from the post office, among beneficiary HHs that received the compensation through the post office, by type of settlement</t>
  </si>
  <si>
    <t>Number of beneficiary HHs dissatisfied with the process of receiving energy compensation, by reason of dissatisfaction and type of HH</t>
  </si>
  <si>
    <t>Number of beneficiary HHs dissatisfied with the process of receiving energy compensation, by reason of dissatisfaction and HH composition</t>
  </si>
  <si>
    <t>Number of beneficiary HHs dissatisfied with the process of receiving energy compensation, by reason of dissatisfaction and whether the HH includes persons with disabilities (according to the Washington Group Short Set on Functioning)</t>
  </si>
  <si>
    <t>Number of beneficiary HHs dissatisfied with the process of receiving energy compensation, by reason of dissatisfaction and method of receiving compensation</t>
  </si>
  <si>
    <t>Number of beneficiary HHs dissatisfied with the process of receiving energy compensation, by reason of dissatisfaction and type of settlement</t>
  </si>
  <si>
    <t>% of beneficiary HHs by the extent to which they are satisfied with the process of receiving the compensation and type of HH</t>
  </si>
  <si>
    <t>% of beneficiary HHs by the extent to which they are satisfied with the process of receiving the compensation and HH composition</t>
  </si>
  <si>
    <t>% of beneficiary HHs by the extent to which they are satisfied with the process of receiving the compensation and whether the HH includes persons with disabilities (according to the Washington Group Short Set on Functioning)</t>
  </si>
  <si>
    <t>% of beneficiary HHs by the extent to which they are satisfied with the process of receiving the compensation and method of receiving compensation</t>
  </si>
  <si>
    <t>% of beneficiary HHs by the extent to which they are satisfied with the process of receiving the compensation and type of settlement</t>
  </si>
  <si>
    <t>Average proportion of EVRF energy compensation received in January 2025 to the total energy-related expenses* for December 2024, excluding from HHs relying on solid fuel for heating,** by type of HH</t>
  </si>
  <si>
    <t>Average proportion of EVRF energy compensation received in January 2025 to the total energy-related expenses* for December 2024, excluding from HHs relying on solid fuel for heating,** by HH size</t>
  </si>
  <si>
    <t>Average proportion of EVRF energy compensation received in January 2025 to the total energy-related expenses* for December 2024, excluding from HHs relying on solid fuel for heating,** by HH composition</t>
  </si>
  <si>
    <t>Average proportion of EVRF energy compensation received in January 2025 to the total energy-related expenses* for December 2024, excluding from HHs relying on solid fuel for heating,** by whether the HH includes persons with disabilities (according to the Washington Group Short Set on Functioning)</t>
  </si>
  <si>
    <t>Average proportion of EVRF energy compensation received in January 2025 to the total energy-related expenses* for December 2024, excluding from HHs relying on solid fuel for heating,** by average monthly income (in Moldovan lei) between November 2024 and January 2025</t>
  </si>
  <si>
    <t>Average proportion of EVRF energy compensation received in January 2025 to the total energy-related expenses* for December 2024, excluding from HHs relying on solid fuel for heating,** by primary type of heating system</t>
  </si>
  <si>
    <t>Average proportion of EVRF energy compensation received in January 2025 to the total energy-related expenses* for December 2024, excluding from HHs relying on solid fuel for heating,** by type of heating systems used</t>
  </si>
  <si>
    <t>Average proportion of EVRF energy compensation received in January 2025 to the total energy-related expenses* for December 2024, excluding from HHs relying on solid fuel for heating,** by type of settlement</t>
  </si>
  <si>
    <t>Average proportion of EVRF energy compensation received in December 2024 to the total energy-related expenses* for November 2024, excluding from HHs relying on solid fuel for heating,** by type of HH</t>
  </si>
  <si>
    <t>Average proportion of EVRF energy compensation received in December 2024 to the total energy-related expenses* for November 2024, excluding from HHs relying on solid fuel for heating,** by HH size</t>
  </si>
  <si>
    <t>Average proportion of EVRF energy compensation received in December 2024 to the total energy-related expenses* for November 2024, excluding from HHs relying on solid fuel for heating,** by HH composition</t>
  </si>
  <si>
    <t>Average proportion of EVRF energy compensation received in December 2024 to the total energy-related expenses* for November 2024, excluding from HHs relying on solid fuel for heating,** by whether the HH includes persons with disabilities (according to the Washington Group Short Set on Functioning)</t>
  </si>
  <si>
    <t>Average proportion of EVRF energy compensation received in December 2024 to the total energy-related expenses* for November 2024, excluding from HHs relying on solid fuel for heating,** by average monthly income (in Moldovan lei) between November 2024 and January 2025</t>
  </si>
  <si>
    <t>Average proportion of EVRF energy compensation received in December 2024 to the total energy-related expenses* for November 2024, excluding from HHs relying on solid fuel for heating,** by primary type of heating system</t>
  </si>
  <si>
    <t>Average proportion of EVRF energy compensation received in December 2024 to the total energy-related expenses* for November 2024, excluding from HHs relying on solid fuel for heating,** by type of heating systems used</t>
  </si>
  <si>
    <t>Average proportion of EVRF energy compensation received in December 2024 to the total energy-related expenses* for November 2024, excluding from HHs relying on solid fuel for heating,** by type of settlement</t>
  </si>
  <si>
    <t>% of beneficiary HHs by preferred method of receiving energy compensation and type of HH</t>
  </si>
  <si>
    <t>% of beneficiary HHs by preferred method of receiving energy compensation and HH composition</t>
  </si>
  <si>
    <t>% of beneficiary HHs by preferred method of receiving energy compensation and whether the HH includes persons with disabilities (according to the Washington Group Short Set on Functioning)</t>
  </si>
  <si>
    <t>% of beneficiary HHs by preferred method of receiving energy compensation and average monthly income (in Moldovan lei) between November 2024 and January 2025</t>
  </si>
  <si>
    <t>% of beneficiary HHs by preferred method of receiving energy compensation and type of settlement</t>
  </si>
  <si>
    <t>Number of beneficiary HHs that needed external assistance to receive the compensation from the post office, by relationship to the person they were assisted by and type of HH</t>
  </si>
  <si>
    <t>Number of beneficiary HHs that needed external assistance to receive the compensation from the post office, by relationship to the person they were assisted by and HH composition</t>
  </si>
  <si>
    <t>Number of beneficiary HHs that needed external assistance to receive the compensation from the post office, by relationship to the person they were assisted by and whether the HH includes persons with disabilities (according to the Washington Group Short Set on Functioning)</t>
  </si>
  <si>
    <t>Number of beneficiary HHs that needed external assistance to receive the compensation from the post office, by relationship to the person they were assisted by and type of settlement</t>
  </si>
  <si>
    <t>% of beneficiary HHs by date they received the EVRF energy compensation for December 2024 and type of HH</t>
  </si>
  <si>
    <t>% of beneficiary HHs by date they received the EVRF energy compensation for December 2024 and method of applying</t>
  </si>
  <si>
    <t>% of beneficiary HHs by date they received the EVRF energy compensation for December 2024 and amount of compensation received for December 2024</t>
  </si>
  <si>
    <t>% of beneficiary HHs by date they received the EVRF energy compensation for December 2024 and method of receiving compensation</t>
  </si>
  <si>
    <t>% of beneficiary HHs by date they received the EVRF energy compensation for December 2024 and type of settlement</t>
  </si>
  <si>
    <t>% of beneficiary HHs by date they received the EVRF energy compensation for November 2024 and type of HH</t>
  </si>
  <si>
    <t>% of beneficiary HHs by date they received the EVRF energy compensation for November 2024 and method of applying</t>
  </si>
  <si>
    <t>% of beneficiary HHs by date they received the EVRF energy compensation for November 2024 and amount of compensation received for November 2024</t>
  </si>
  <si>
    <t>% of beneficiary HHs by date they received the EVRF energy compensation for November 2024 and method of receiving compensation</t>
  </si>
  <si>
    <t>% of beneficiary HHs by date they received the EVRF energy compensation for November 2024 and type of settlement</t>
  </si>
  <si>
    <t>% of beneficiary HHs by the extent to which the compensation reduced their financial burden during winter and type of HH</t>
  </si>
  <si>
    <t>% of beneficiary HHs by the extent to which the compensation reduced their financial burden during winter and HH size</t>
  </si>
  <si>
    <t>% of beneficiary HHs by the extent to which the compensation reduced their financial burden during winter and HH composition</t>
  </si>
  <si>
    <t>% of beneficiary HHs by the extent to which the compensation reduced their financial burden during winter and whether the HH includes persons with disabilities (according to the Washington Group Short Set on Functioning)</t>
  </si>
  <si>
    <t>% of beneficiary HHs by the extent to which the compensation reduced their financial burden during winter and type of housing tenure</t>
  </si>
  <si>
    <t>% of beneficiary HHs by the extent to which the compensation reduced their financial burden during winter and average monthly income (in Moldovan lei) between November 2024 and January 2025</t>
  </si>
  <si>
    <t>% of beneficiary HHs by the extent to which the compensation reduced their financial burden during winter and % of HH expenditure spent on gas, electricity or heating bills/expenses for November 2024</t>
  </si>
  <si>
    <t>% of beneficiary HHs by the extent to which the compensation reduced their financial burden during winter and % of HH expenditure spent on gas, electricity or heating bills/expenses for December 2024</t>
  </si>
  <si>
    <t>% of beneficiary HHs by the extent to which the compensation reduced their financial burden during winter and % of total income spent on gas, electricity or heating bills/expenses for November 2024</t>
  </si>
  <si>
    <t>% of beneficiary HHs by the extent to which the compensation reduced their financial burden during winter and % of total income spent on gas, electricity or heating bills/expenses for December 2024</t>
  </si>
  <si>
    <t>% of beneficiary HHs by the extent to which the compensation reduced their financial burden during winter and amount of EVRF energy compensation received in November 2024</t>
  </si>
  <si>
    <t>% of beneficiary HHs by the extent to which the compensation reduced their financial burden during winter and amount of EVRF energy compensation received in December 2024</t>
  </si>
  <si>
    <t>% of beneficiary HHs by the extent to which the compensation reduced their financial burden during winter and type of settlement</t>
  </si>
  <si>
    <t>% of beneficiary HHs by the extent to which the compensation reduced their need to resort to risky or harmful activities and HH size</t>
  </si>
  <si>
    <t>% of beneficiary HHs by the extent to which the compensation reduced their need to resort to risky or harmful activities and HH composition</t>
  </si>
  <si>
    <t>% of beneficiary HHs by the extent to which the compensation reduced their need to resort to risky or harmful activities and whether the HH includes persons with disabilities (according to the Washington Group Short Set on Functioning)</t>
  </si>
  <si>
    <t>% of beneficiary HHs by the extent to which the compensation reduced their need to resort to risky or harmful activities and type of housing tenure</t>
  </si>
  <si>
    <t>% of beneficiary HHs by the extent to which the compensation reduced their need to resort to risky or harmful activities and average monthly income (in Moldovan lei) between November 2024 and January 2025</t>
  </si>
  <si>
    <t>% of beneficiary HHs by the extent to which the compensation reduced their need to resort to risky or harmful activities and % of HH expenditure spent on gas, electricity or heating bills/expenses for November 2024</t>
  </si>
  <si>
    <t>% of beneficiary HHs by the extent to which the compensation reduced their need to resort to risky or harmful activities and % of HH expenditure spent on gas, electricity or heating bills/expenses for December 2024</t>
  </si>
  <si>
    <t>% of beneficiary HHs by the extent to which the compensation reduced their need to resort to risky or harmful activities and % of total income spent on gas, electricity or heating bills/expenses for November 2024</t>
  </si>
  <si>
    <t>% of beneficiary HHs by the extent to which the compensation reduced their need to resort to risky or harmful activities and % of total income spent on gas, electricity or heating bills/expenses for December 2024</t>
  </si>
  <si>
    <t>% of beneficiary HHs by the extent to which the compensation reduced their need to resort to risky or harmful activities and amount of EVRF energy compensation received in November 2024</t>
  </si>
  <si>
    <t>% of beneficiary HHs by the extent to which the compensation reduced their need to resort to risky or harmful activities and amount of EVRF energy compensation received in December 2024</t>
  </si>
  <si>
    <t>% of beneficiary HHs by the extent to which the compensation reduced their need to resort to risky or harmful activities and type of settlement</t>
  </si>
  <si>
    <t>% of beneficiary HHs by the extent to which the compensation reduced their psychological stress and type of HH</t>
  </si>
  <si>
    <t>% of beneficiary HHs by the extent to which the compensation reduced their psychological stress and HH size</t>
  </si>
  <si>
    <t>% of beneficiary HHs by the extent to which the compensation reduced their psychological stress and HH composition</t>
  </si>
  <si>
    <t>% of beneficiary HHs by the extent to which the compensation reduced their psychological stress and whether the HH includes persons with disabilities (according to the Washington Group Short Set on Functioning)</t>
  </si>
  <si>
    <t>% of beneficiary HHs by the extent to which the compensation reduced their psychological stress and type of housing tenure</t>
  </si>
  <si>
    <t>% of beneficiary HHs by the extent to which the compensation reduced their psychological stress and average monthly income (in Moldovan lei) between November 2024 and January 2025</t>
  </si>
  <si>
    <t>% of beneficiary HHs by the extent to which the compensation reduced their psychological stress and % of HH expenditure spent on gas, electricity or heating bills/expenses for November 2024</t>
  </si>
  <si>
    <t>% of beneficiary HHs by the extent to which the compensation reduced their psychological stress and % of HH expenditure spent on gas, electricity or heating bills/expenses for December 2024</t>
  </si>
  <si>
    <t>% of beneficiary HHs by the extent to which the compensation reduced their psychological stress and % of total income spent on gas, electricity or heating bills/expenses for November 2024</t>
  </si>
  <si>
    <t>% of beneficiary HHs by the extent to which the compensation reduced their psychological stress and % of total income spent on gas, electricity or heating bills/expenses for December 2024</t>
  </si>
  <si>
    <t>% of beneficiary HHs by the extent to which the compensation reduced their psychological stress and amount of EVRF energy compensation received in November 2024</t>
  </si>
  <si>
    <t>% of beneficiary HHs by the extent to which the compensation reduced their psychological stress and amount of EVRF energy compensation received in December 2024</t>
  </si>
  <si>
    <t>% of beneficiary HHs by the extent to which the compensation reduced their psychological stress and type of settlement</t>
  </si>
  <si>
    <t>% of beneficiary respondents by age group and type of HH (refugee or host community*)</t>
  </si>
  <si>
    <t>% of beneficiary HHs by type of settlement and type of HH</t>
  </si>
  <si>
    <t>% of beneficiary HHs by how they spent the compensation received and type of HH</t>
  </si>
  <si>
    <t>% of beneficiary HHs by how they spent the compensation received and HH composition</t>
  </si>
  <si>
    <t>% of beneficiary HHs by how they spent the compensation received and whether the HH includes persons with disabilities (according to the Washington Group Short Set on Functioning)</t>
  </si>
  <si>
    <t>% of beneficiary HHs by how they spent the compensation received and type of settlement</t>
  </si>
  <si>
    <t>% of beneficiary HHs receiving vouchers for energy efficient appliances by type of HH</t>
  </si>
  <si>
    <t>% of beneficiary HHs receiving vouchers for energy efficient appliances by whether they were also beneficiaries last winter season (2023-2024)</t>
  </si>
  <si>
    <t>% of beneficiary HHs receiving vouchers for energy efficient appliances by method of applying</t>
  </si>
  <si>
    <t>% of beneficiary HHs receiving vouchers for energy efficient appliances by type of settlement</t>
  </si>
  <si>
    <t>Number of beneficiary HHs receiving vouchers for energy efficient appliances, by type of appliance</t>
  </si>
  <si>
    <t>Energy cost support</t>
  </si>
  <si>
    <t>% of non-beneficiary HHs by type of housing tenure and type of HH</t>
  </si>
  <si>
    <t>% of non-beneficiary HHs by type of housing tenure and whether the respondent is a refugee from Ukraine</t>
  </si>
  <si>
    <t>% of non-beneficiary HHs by type of housing tenure and type of settlement</t>
  </si>
  <si>
    <t>% of non-beneficiary HHs by type of accommodation and type of HH</t>
  </si>
  <si>
    <t>% of non-beneficiary HHs by type of accommodation and type of settlement</t>
  </si>
  <si>
    <t>% of non-beneficiary respondents by additional forms of assistance they believe should be provided to help households cope with energy costs and type of HH</t>
  </si>
  <si>
    <t>Number of non-beneficiary respondents by additional forms of assistance they believe should be provided to help households cope with energy costs and HH composition</t>
  </si>
  <si>
    <t>% of non-beneficiary respondents by additional forms of assistance they believe should be provided to help households cope with energy costs and whether the HH includes persons with disabilities (according to the Washington Group Short Set on Functioning)</t>
  </si>
  <si>
    <t>% of non-beneficiary respondents by additional forms of assistance they believe should be provided to help households cope with energy costs and type of heating systems used</t>
  </si>
  <si>
    <t>% of non-beneficiary respondents by additional forms of assistance they believe should be provided to help households cope with energy costs and type of settlement</t>
  </si>
  <si>
    <t>Number of non-beneficiary respondents reporting effects on HH members' health or well-being due to cold temperatures or lack of adequate heating, by type of heath concern and type of HH</t>
  </si>
  <si>
    <t>Number of non-beneficiary respondents reporting effects on HH members' health or well-being due to cold temperatures or lack of adequate heating, by type of HH</t>
  </si>
  <si>
    <t>Number of non-beneficiary respondents reporting effects on HH members' health or well-being due to cold temperatures or lack of adequate heating, by type of settlement</t>
  </si>
  <si>
    <t>% of non-beneficiary HHs dissatisfied with the application process, by reason of dissatisfaction and whether the HH includes persons with disabilities (according to the Washington Group Short Set on Functioning)</t>
  </si>
  <si>
    <t>% of non-beneficiary HHs by level of satisfaction with the application process and type of HH</t>
  </si>
  <si>
    <t>Number of non-beneficiary HHs by level of satisfaction with the application process and HH composition</t>
  </si>
  <si>
    <t>% of non-beneficiary HHs by level of satisfaction with the application process and whether the HH includes persons with disabilities (according to the Washington Group Short Set on Functioning)</t>
  </si>
  <si>
    <t>% of non-beneficiary HHs by level of satisfaction with the application process and method of applying</t>
  </si>
  <si>
    <t>% of non-beneficiary HHs by level of satisfaction with the application process and type of settlement</t>
  </si>
  <si>
    <t>% of non-beneficiary HHs by method of applying for EVRF energy compensation and type of HH</t>
  </si>
  <si>
    <t>Number of non-beneficiary HHs by method of applying for EVRF energy compensation and HH composition</t>
  </si>
  <si>
    <t>Number of non-beneficiary HHs by method of applying for EVRF energy compensation and whether the HH includes persons with disabilities (according to the Washington Group Short Set on Functioning)</t>
  </si>
  <si>
    <t>% of non-beneficiary HHs by method of applying for EVRF energy compensation and type of settlement</t>
  </si>
  <si>
    <t>Average total monthly HH expenses of non-beneficiary HHs for basic needs (e.g. rent, food, healthcare) excluding utility bills between November 2024 and January 2025 (in Moldovan lei) by type of HH</t>
  </si>
  <si>
    <t>Average total monthly HH expenses of non-beneficiary HHs for basic needs (e.g. rent, food, healthcare) excluding utility bills between November 2024 and January 2025 (in Moldovan lei) by type of settlement</t>
  </si>
  <si>
    <t>Average monthly HH income* between November 2024 and January 2025 of non-beneficiary HHs (in Moldovan lei) by type of HH</t>
  </si>
  <si>
    <t>% of non-beneficiary HHs by range of monthly HH income* between November 2024 and January 2025 (in Moldovan lei) by type of HH</t>
  </si>
  <si>
    <t>% of non-beneficiary HHs by range of monthly HH income* between November 2024 and January 2025 (in Moldovan lei) and HH size</t>
  </si>
  <si>
    <t>Number of non-beneficiary HHs by range of monthly HH income* between November 2024 and January 2025 (in Moldovan lei) and HH composition</t>
  </si>
  <si>
    <t>% of non-beneficiary HHs by range of monthly HH income* between November 2024 and January 2025 (in Moldovan lei) and whether the HH includes persons with disabilities (according to the Washington Group Short Set on Functioning)</t>
  </si>
  <si>
    <t>% of non-beneficiary HHs by range of monthly HH income* between November 2024 and January 2025 (in Moldovan lei) and number of HH members earning an income</t>
  </si>
  <si>
    <t>% of non-beneficiary HHs by range of monthly HH income* between November 2024 and January 2025 (in Moldovan lei) by type of settlement</t>
  </si>
  <si>
    <t>Average monthly HH income* between November 2024 and January 2025 of non-beneficiary HHs (in Moldovan lei) by type of settlement</t>
  </si>
  <si>
    <t>% of non-beneficiary respondents by how they first learned about the EVRF energy compensation and type of HH</t>
  </si>
  <si>
    <t>% of non-beneficiary respondents by how they first learned about the EVRF energy compensation and age</t>
  </si>
  <si>
    <t>% of non-beneficiary respondents by how they first learned about the EVRF energy compensation and whether the HH includes persons with disabilities (according to the Washington Group Short Set on Functioning)</t>
  </si>
  <si>
    <t>% of non-beneficiary respondents by how they first learned about the EVRF energy compensation and type of settlement</t>
  </si>
  <si>
    <t>% of non-beneficiary HHs that were unable to afford all of their needs by type of need they could not afford</t>
  </si>
  <si>
    <t>Number of non-beneficiary HHs that were unable to afford all of their needs by type of need they could not afford and type of HH</t>
  </si>
  <si>
    <t>Number of non-beneficiary HHs that were unable to afford all of their needs by type of need they could not afford and HH composition</t>
  </si>
  <si>
    <t>Number of non-beneficiary HHs that were unable to afford all of their needs by type of need they could not afford and whether the HH includes persons with disabilities (according to the Washington Group Short Set on Functioning)</t>
  </si>
  <si>
    <t>Number of non-beneficiary HHs that were unable to afford all of their needs by type of need they could not afford and range of monthly HH (in Moldovan lei) between November 2024 and January 2025</t>
  </si>
  <si>
    <t>Number of non-beneficiary HHs that were unable to afford all of their needs by type of need they could not afford and type of settlement</t>
  </si>
  <si>
    <t>Average cost of December 2024 electricity bill (in Moldovan lei) of non-beneficiary HHs by type of HH</t>
  </si>
  <si>
    <t>Average cost of December 2024 electricity bill (in Moldovan lei) of non-beneficiary HHs by HH composition</t>
  </si>
  <si>
    <t>Average cost of December 2024 electricity bill (in Moldovan lei) of non-beneficiary HHs by whether the HH includes persons with disabilities (according to the Washington Group Short Set on Functioning)</t>
  </si>
  <si>
    <t>Average cost of December 2024 electricity bill (in Moldovan lei) of non-beneficiary HHs by range of monthly HH income (in Moldovan lei) between November 2024 and January 2025</t>
  </si>
  <si>
    <t>Average cost of December 2024 electricity bill (in Moldovan lei) of non-beneficiary HHs by primary type of heating system</t>
  </si>
  <si>
    <t>Average cost of December 2024 electricity bill (in Moldovan lei) of non-beneficiary HHs by type of heating systems used</t>
  </si>
  <si>
    <t>Average cost of December 2024 electricity bill (in Moldovan lei) of non-beneficiary HHs by type of settlement</t>
  </si>
  <si>
    <t>Average cost of November 2024 electricity bill (in Moldovan lei) of non-beneficiary HHs by type of HH</t>
  </si>
  <si>
    <t>Average cost of November 2024 electricity bill (in Moldovan lei) of non-beneficiary HHs by HH size</t>
  </si>
  <si>
    <t>Average cost of November 2024 electricity bill (in Moldovan lei) of non-beneficiary HHs by HH composition</t>
  </si>
  <si>
    <t>Average cost of November 2024 electricity bill (in Moldovan lei) of non-beneficiary HHs by whether the HH includes persons with disabilities (according to the Washington Group Short Set on Functioning)</t>
  </si>
  <si>
    <t>Average cost of November 2024 electricity bill (in Moldovan lei) of non-beneficiary HHs by range of monthly HH income (in Moldovan lei) between November 2024 and January 2025</t>
  </si>
  <si>
    <t>Average cost of November 2024 electricity bill (in Moldovan lei) of non-beneficiary HHs by primary type of heating system</t>
  </si>
  <si>
    <t>Average cost of November 2024 electricity bill (in Moldovan lei) of non-beneficiary HHs by type of heating systems used</t>
  </si>
  <si>
    <t>Average cost of November 2024 electricity bill (in Moldovan lei) of non-beneficiary HHs by type of settlement</t>
  </si>
  <si>
    <t>Average expenditure on gas for December 2024 (in Moldovan lei) of non-beneficiary HHs that use and paid for gas by type of HH</t>
  </si>
  <si>
    <t>Average expenditure on gas for December 2024 (in Moldovan lei) of non-beneficiary HHs that use gas by HH size</t>
  </si>
  <si>
    <t>Average expenditure on gas for December 2024 (in Moldovan lei) of non-beneficiary HHs that use gas and paid for by HH composition</t>
  </si>
  <si>
    <t>Average expenditure on gas for December 2024 (in Moldovan lei) of non-beneficiary HHs that use and paid for gas by whether the HH includes persons with disabilities (according to the Washington Group Short Set on Functioning)</t>
  </si>
  <si>
    <t>Average expenditure on gas for December 2024 (in Moldovan lei) of non-beneficiary HHs that use gas and paid for by range of monthly HH income (in Moldovan lei) between November 2024 and January 2025</t>
  </si>
  <si>
    <t>Average expenditure on gas for December 2024 (in Moldovan lei) of non-beneficiary HHs that use and paid for gas by primary type of heating system</t>
  </si>
  <si>
    <t>Average expenditure on gas for December 2024 (in Moldovan lei) of non-beneficiary HHs that use and paid for gas by type of heating systems used</t>
  </si>
  <si>
    <t>Average expenditure on gas for December 2024 (in Moldovan lei) of non-beneficiary HHs that use and paid for gas by type of settlement</t>
  </si>
  <si>
    <t>Average expenditure on gas for November 2024 (in Moldovan lei) of non-beneficiary HHs that use and paid for gas by type of HH</t>
  </si>
  <si>
    <t>Average expenditure on gas for November 2024 (in Moldovan lei) of non-beneficiary HHs that use and paid for gas by HH size</t>
  </si>
  <si>
    <t>Average expenditure on gas for November 2024 (in Moldovan lei) of non-beneficiary HHs that use and paid for gas by HH composition</t>
  </si>
  <si>
    <t>Average expenditure on gas for November 2024 (in Moldovan lei) of non-beneficiary HHs that use and paid for gas by whether the HH includes persons with disabilities (according to the Washington Group Short Set on Functioning)</t>
  </si>
  <si>
    <t>Average expenditure on gas for November 2024 (in Moldovan lei) of non-beneficiary HHs that use and paid for gas by range of monthly HH income (in Moldovan lei) between November 2024 and January 2025</t>
  </si>
  <si>
    <t>Average expenditure on gas for November 2024 (in Moldovan lei) of non-beneficiary HHs that use and paid for gas by primary type of heating system</t>
  </si>
  <si>
    <t>Average expenditure on gas for November 2024 (in Moldovan lei) of non-beneficiary HHs that use and paid for gas by type of heating systems used</t>
  </si>
  <si>
    <t>Average expenditure on gas for November 2024 (in Moldovan lei) of non-beneficiary HHs that use and paid for gas by type of settlement</t>
  </si>
  <si>
    <t>Average expenditure on heating* (in Moldovan lei) for December 2024 of non-beneficiary HHs that use and paid for heating systems other than gas and electricity by type of HH</t>
  </si>
  <si>
    <t>Average expenditure on heating* (in Moldovan lei) for December 2024 of non-beneficiary HHs that use and paid for heating systems other than gas and electricity by HH composition</t>
  </si>
  <si>
    <t>Average expenditure on heating* (in Moldovan lei) for December 2024 of non-beneficiary HHs that use and paid for heating systems other than gas and electricity by whether the HH includes persons with disabilities (according to the Washington Group Short Set on Functioning)</t>
  </si>
  <si>
    <t>Average expenditure on heating* (in Moldovan lei) for December 2024 of non-beneficiary HHs that use and paid for heating systems other than gas and electricity by range of monthly HH income (in Moldovan lei) between November 2024 and January 2025</t>
  </si>
  <si>
    <t>Average expenditure on heating* (in Moldovan lei) for December 2024 of non-beneficiary HHs that use and paid for heating systems other than gas and electricity by primary type of heating system</t>
  </si>
  <si>
    <t>Average expenditure on heating* (in Moldovan lei) for December 2024 of non-beneficiary HHs that use and paid for heating systems other than gas and electricity by type of heating systems used</t>
  </si>
  <si>
    <t>Average expenditure on heating* (in Moldovan lei) for December 2024 of non-beneficiary HHs that use and paid for heating systems other than gas and electricity by type of settlement</t>
  </si>
  <si>
    <t>Average expenditure on heating* (in Moldovan lei) for November 2024 of non-beneficiary HHs that use and paid for heating systems other than gas and electricity by type of HH</t>
  </si>
  <si>
    <t>Average expenditure on heating* (in Moldovan lei) for November 2024 of non-beneficiary HHs that use and paid for heating systems other than gas and electricity by whether the HH includes persons with disabilities (according to the Washington Group Short Set on Functioning)</t>
  </si>
  <si>
    <t>Average expenditure on heating* (in Moldovan lei) for November 2024 of non-beneficiary HHs that use and paid for heating systems other than gas and electricity by HH composition</t>
  </si>
  <si>
    <t>Average expenditure on heating* (in Moldovan lei) for November 2024 of non-beneficiary HHs that use and paid for heating systems other than gas and electricity by range of monthly HH income (in Moldovan lei) between November 2024 and January 2025</t>
  </si>
  <si>
    <t>Average expenditure on heating* (in Moldovan lei) for November 2024 of non-beneficiary HHs that use and paid for heating systems other than gas and electricity by primary type of heating system</t>
  </si>
  <si>
    <t>Average expenditure on heating* (in Moldovan lei) for November 2024 of non-beneficiary HHs that use and paid for heating systems other than gas and electricity by type of heating systems used</t>
  </si>
  <si>
    <t>Average expenditure on heating* (in Moldovan lei) for November 2024 of non-beneficiary HHs that use and paid for heating systems other than gas and electricity by type of settlement</t>
  </si>
  <si>
    <t>% of non-beneficiary HHs by ability to cover electricity, gas and heating bills for December 2024 and type of HH</t>
  </si>
  <si>
    <t>Number of non-beneficiary HHs by ability to cover electricity, gas and heating bills for December 2024 and HH composition</t>
  </si>
  <si>
    <t>% of non-beneficiary HHs by ability to cover electricity, gas and heating bills for December 2024 and whether the HH includes persons with disabilities (according to the Washington Group Short Set on Functioning)</t>
  </si>
  <si>
    <t>Number of non-beneficiary HHs by ability to cover electricity, gas and heating bills for December 2024 and range of monthly HH income (in Moldovan lei) between November 2024 and January 2025</t>
  </si>
  <si>
    <t>% of non-beneficiary HHs by ability to cover electricity, gas and heating bills for December 2024 and type of housing tenure</t>
  </si>
  <si>
    <t>% of non-beneficiary HHs by ability to cover electricity, gas and heating bills for December 2024 and primary type of heating system</t>
  </si>
  <si>
    <t>% of non-beneficiary HHs by ability to cover electricity, gas and heating bills for December 2024 and type of heating systems used</t>
  </si>
  <si>
    <t>% of non-beneficiary HHs by ability to cover electricity, gas and heating bills for December 2024 and gas usage</t>
  </si>
  <si>
    <t>% of non-beneficiary HHs by ability to cover electricity, gas and heating bills for December 2024 and % of HH expenditure spent on gas, electricity or heating bills/expenses for December 2024</t>
  </si>
  <si>
    <t>% of non-beneficiary HHs by ability to cover electricity, gas and heating bills for December 2024 and % of total income spent on gas, electricity or heating bills/expenses for December 2024</t>
  </si>
  <si>
    <t>% of non-beneficiary HHs by ability to cover electricity, gas and heating bills for December 2024 and type of settlement</t>
  </si>
  <si>
    <t>% of non-beneficiary HHs by ability to cover electricity, gas and heating bills for November 2024 and type of HH</t>
  </si>
  <si>
    <t>% of non-beneficiary HHs by ability to cover electricity, gas and heating bills for November 2024 and % of income spent on gas, electricity or heating bills/expenses for November 2024</t>
  </si>
  <si>
    <t>Number of non-beneficiary HHs by ability to cover electricity, gas and heating bills for November 2024 and HH composition</t>
  </si>
  <si>
    <t>% of non-beneficiary HHs by ability to cover electricity, gas and heating bills for November 2024 and whether the HH includes persons with disabilities (according to the Washington Group Short Set on Functioning)</t>
  </si>
  <si>
    <t>% of non-beneficiary HHs by ability to cover electricity, gas and heating bills for November 2024 and type of housing tenure</t>
  </si>
  <si>
    <t>Number of non-beneficiary HHs by ability to cover electricity, gas and heating bills for November 2024 and range of monthly HH income (in Moldovan lei) between November 2024 and January 2025</t>
  </si>
  <si>
    <t>% of non-beneficiary HHs by ability to cover electricity, gas and heating bills for November 2024 and primary type of heating system</t>
  </si>
  <si>
    <t>% of non-beneficiary HHs by ability to cover electricity, gas and heating bills for November 2024 and type of heating systems used</t>
  </si>
  <si>
    <t>% of non-beneficiary HHs by ability to cover electricity, gas and heating bills for November 2024 and gas usage</t>
  </si>
  <si>
    <t>% of non-beneficiary HHs by ability to cover electricity, gas and heating bills for November 2024 and % of HH expenditure spent on gas, electricity or heating bills/expenses for November 2024</t>
  </si>
  <si>
    <t>% of non-beneficiary HHs by ability to cover electricity, gas and heating bills for November 2024 and % of total income spent on gas, electricity or heating bills/expenses for November 2024</t>
  </si>
  <si>
    <t>% of non-beneficiary HHs by ability to cover electricity, gas and heating bills for November 2024 and type of settlement</t>
  </si>
  <si>
    <t>% of non-beneficiary HHs that were beneficiaries last winter season (2023-2024) by type of HH</t>
  </si>
  <si>
    <t>Number of non-beneficiary HHs that were beneficiaries last winter season (2023-2024) by HH composition</t>
  </si>
  <si>
    <t>% of non-beneficiary HHs that were beneficiaries last winter season (2023-2024) by whether the HH includes persons with disabilities (according to the Washington Group Short Set on Functioning)</t>
  </si>
  <si>
    <t>% of non-beneficiary HHs that were beneficiaries last winter season (2023-2024) by method of applying</t>
  </si>
  <si>
    <t>Number of non-beneficiary HHs that were beneficiaries last winter season (2023-2024) by how they first found out about the EVRF energy compensation</t>
  </si>
  <si>
    <t>% of non-beneficiary HHs that were beneficiaries last winter season (2023-2024) by type of settlement</t>
  </si>
  <si>
    <t>% of non-beneficiary respondents by suggested changes to improve the accessibility of the EVRF and type of HH</t>
  </si>
  <si>
    <t>Number of non-beneficiary respondents by suggested changes to improve the accessibility of the EVRF and HH composition</t>
  </si>
  <si>
    <t>% of non-beneficiary respondents by suggested changes to improve the accessibility of the EVRF and whether the HH includes persons with disabilities (according to the Washington Group Short Set on Functioning)</t>
  </si>
  <si>
    <t>% of non-beneficiary respondents by suggested changes to improve the accessibility of the EVRF and type of housing tenure</t>
  </si>
  <si>
    <t>% of non-beneficiary respondents by suggested changes to improve the accessibility of the EVRF and primary type of heating system</t>
  </si>
  <si>
    <t>% of non-beneficiary respondents by suggested changes to improve the accessibility of the EVRF and legal status</t>
  </si>
  <si>
    <t>% of non-beneficiary respondents by suggested changes to improve the accessibility of the EVRF and method of applying</t>
  </si>
  <si>
    <t>% of non-beneficiary respondents by suggested changes to improve the accessibility of the EVRF and type of settlement</t>
  </si>
  <si>
    <t>% of non-beneficiary HHs experiencing financial stress* in December 2024 by type of HH</t>
  </si>
  <si>
    <t>% of non-beneficiary HHs experiencing financial stress* in December 2024 by HH size</t>
  </si>
  <si>
    <t>% of non-beneficiary HHs experiencing financial stress* in December 2024 by HH composition</t>
  </si>
  <si>
    <t>% of non-beneficiary HHs experiencing financial stress* in December 2024 by whether the HH includes persons with disabilities (according to the Washington Group Short Set on Functioning)</t>
  </si>
  <si>
    <t>% of non-beneficiary HHs experiencing financial stress* in December 2024 by type of housing tenure</t>
  </si>
  <si>
    <t>% of non-beneficiary HHs experiencing financial stress* in December 2024 by range of monthly HH income between November 2024 and January 2025</t>
  </si>
  <si>
    <t>% of non-beneficiary HHs experiencing financial stress* in December 2024 by type of settlement</t>
  </si>
  <si>
    <t>% of non-beneficiary HHs experiencing financial stress* in November 2024 by type of HH</t>
  </si>
  <si>
    <t>% of non-beneficiary HHs experiencing financial stress* in November 2024 by HH size</t>
  </si>
  <si>
    <t>% of non-beneficiary HHs experiencing financial stress* in November 2024 by HH composition</t>
  </si>
  <si>
    <t>% of non-beneficiary HHs experiencing financial stress* in November 2024 by whether the HH includes persons with disabilities (according to the Washington Group Short Set on Functioning)</t>
  </si>
  <si>
    <t>% of non-beneficiary HHs experiencing financial stress* in November 2024 by type of housing tenure</t>
  </si>
  <si>
    <t>% of non-beneficiary HHs experiencing financial stress* in November 2024 by range of monthly HH income between November 2024 and January 2025</t>
  </si>
  <si>
    <t>% of non-beneficiary HHs experiencing financial stress* in November 2024 by type of settlement</t>
  </si>
  <si>
    <t>% of non-beneficiary HHs using gas by type of HH</t>
  </si>
  <si>
    <t>Number of non-beneficiary HHs using gas by range of monthly HH income (in Moldovan lei) between November 2024 and January 2025</t>
  </si>
  <si>
    <t>% of non-beneficiary HHs using gas by % of HH expenditure spent on gas, electricity or heating bills/expenses for November 2024</t>
  </si>
  <si>
    <t>% of non-beneficiary HHs using gas by % of HH expenditure spent on gas, electricity or heating bills/expenses for December 2024</t>
  </si>
  <si>
    <t>% of non-beneficiary HHs using gas by % of total income spent on gas, electricity or heating bills/expenses for November 2024</t>
  </si>
  <si>
    <t>% of non-beneficiary HHs using gas by % of total income spent on gas, electricity or heating bills/expenses for December 2024</t>
  </si>
  <si>
    <t>% of non-beneficiary HHs using gas by type of settlement</t>
  </si>
  <si>
    <t>% of non-beneficiary HHs by primary type of heating system and type of HH</t>
  </si>
  <si>
    <t>% of non-beneficiary HHs by primary type of heating system and HH size</t>
  </si>
  <si>
    <t>% of non-beneficiary HHs by primary type of heating system and % of HH expenditure spent on gas, electricity or heating bills/expenses for November 2024</t>
  </si>
  <si>
    <t>% of non-beneficiary HHs by primary type of heating system and % of HH expenditure spent on gas, electricity or heating bills/expenses for December 2024</t>
  </si>
  <si>
    <t>% of non-beneficiary HHs by primary type of heating system and % of total income spent on gas, electricity or heating bills/expenses for November 2024</t>
  </si>
  <si>
    <t>% of non-beneficiary HHs by primary type of heating system and % of total income spent on gas, electricity or heating bills/expenses for December 2024</t>
  </si>
  <si>
    <t>% of non-beneficiary HHs by primary type of heating system and type of settlement</t>
  </si>
  <si>
    <t>% of non-beneficiary HHs by additional sources of heating and type of HH</t>
  </si>
  <si>
    <t>% of non-beneficiary HHs by additional sources of heating and type of settlement</t>
  </si>
  <si>
    <t>% of non-beneficiary HHs by HH composition and type of HH</t>
  </si>
  <si>
    <t>% of non-beneficiary HHs by HH composition and type of settlement</t>
  </si>
  <si>
    <t>% of non-beneficiary HHs by type of heating systems used and type of HH</t>
  </si>
  <si>
    <t>% of non-beneficiary HHs by type of heating systems used and primary type of heating system</t>
  </si>
  <si>
    <t>% of non-beneficiary HHs by type of heating systems used and HH size</t>
  </si>
  <si>
    <t>Number of non-beneficiary HHs by type of heating systems used and range of monthly HH income (in Moldovan lei) between November 2024 and January 2025</t>
  </si>
  <si>
    <t>% of non-beneficiary HHs by type of heating systems used and method of applying</t>
  </si>
  <si>
    <t>% of non-beneficiary HHs by type of heating systems used and % of HH expenditure spent on gas, electricity or heating bills/expenses for November 2024</t>
  </si>
  <si>
    <t>% of non-beneficiary HHs by type of heating systems used and % of HH expenditure spent on gas, electricity or heating bills/expenses for December 2024</t>
  </si>
  <si>
    <t>% of non-beneficiary HHs by type of heating systems used and % of total income spent on gas, electricity or heating bills/expenses for November 2024</t>
  </si>
  <si>
    <t>% of non-beneficiary HHs by type of heating systems used and % of total income spent on gas, electricity or heating bills/expenses for December 2024</t>
  </si>
  <si>
    <t>% of non-beneficiary HHs by type of heating systems used and type of settlement</t>
  </si>
  <si>
    <t>% of non-beneficiary HHs by whether they spent money on gas for December 2024 among beneficiary HHs that use gas, by type of HH</t>
  </si>
  <si>
    <t>% of non-beneficiary HHs by whether they spent money on gas for November 2024 among beneficiary HHs that use gas, by type of HH</t>
  </si>
  <si>
    <t>% of non-beneficiary HHs by whether they spent money on heating for December 2024 among beneficiary HHs that use heating systems other than gas and electricity, by type of HH</t>
  </si>
  <si>
    <t>% of non-beneficiary HHs by whether they spent money on heating for November 2024 among beneficiary HHs that use heating systems other than gas and electricity, by type of HH</t>
  </si>
  <si>
    <t>Average HH size of non-beneficiary HHs</t>
  </si>
  <si>
    <t>Average HH size of non-beneficiary HHs by type of HH</t>
  </si>
  <si>
    <t>% of non-beneficiary HHs by HH size and type of HH</t>
  </si>
  <si>
    <t>% of non-beneficiary HHs by type of HH (only refugees, only host community, and mixed)</t>
  </si>
  <si>
    <t>% of non-beneficiary HHs by type of HH</t>
  </si>
  <si>
    <t>% of non-beneficiary HHs with a HH member with a Moldovan disability certificate*</t>
  </si>
  <si>
    <t>% of non-beneficiary HHs with a HH member with a Moldovan disability certificate*, by presence of HH member with a disability (according to the Washington Group Short Set on Functioning)</t>
  </si>
  <si>
    <t>% of non-beneficiary HHs with people with disabilities (according to the Washington Group Short Set on Functioning)* and type of HH</t>
  </si>
  <si>
    <t>% of non-beneficiary HHs with people with disabilities (according to the Washington Group Short Set on Functioning)* and type of settlement</t>
  </si>
  <si>
    <t>% of non-beneficiary respondents by legal status and whether the respondent is a refugee from Ukraine</t>
  </si>
  <si>
    <t>% of non-beneficiary HHs by the extent to which they are able to meet their basic needs and type of HH</t>
  </si>
  <si>
    <t>% of non-beneficiary HHs by the extent to which they are able to meet their basic needs and HH size</t>
  </si>
  <si>
    <t>Number of non-beneficiary HHs by the extent to which they are able to meet their basic needs and HH composition</t>
  </si>
  <si>
    <t>% of non-beneficiary HHs by the extent to which they are able to meet their basic needs and whether the HH includes persons with disabilities (according to the Washington Group Short Set on Functioning)</t>
  </si>
  <si>
    <t>% of non-beneficiary HHs by the extent to which they are able to meet their basic needs and type of housing tenure</t>
  </si>
  <si>
    <t>Number of non-beneficiary HHs by the extent to which they are able to meet their basic needs and range of monthly HH (in Moldovan lei) between November 2024 and January 2025</t>
  </si>
  <si>
    <t>% of non-beneficiary HHs by the extent to which they are able to meet their basic needs and % of HH expenditure spent on gas, electricity or heating bills/expenses for November 2024</t>
  </si>
  <si>
    <t>% of non-beneficiary HHs by the extent to which they are able to meet their basic needs and % of HH expenditure spent on gas, electricity or heating bills/expenses for December 2024</t>
  </si>
  <si>
    <t>% of non-beneficiary HHs by the extent to which they are able to meet their basic needs and % of total income spent on gas, electricity or heating bills/expenses for November 2024</t>
  </si>
  <si>
    <t>% of non-beneficiary HHs by the extent to which they are able to meet their basic needs and % of total income spent on gas, electricity or heating bills/expenses for December 2024</t>
  </si>
  <si>
    <t>% of non-beneficiary HHs by the extent to which they are able to meet their basic needs and type of settlement</t>
  </si>
  <si>
    <t>% of non-beneficiary HHs by whether they applied for the EVRF energy compensation and type of HH</t>
  </si>
  <si>
    <t>% of non-beneficiary HHs by whether they applied for the EVRF energy compensation and whether the HH includes persons with disabilities (according to the Washington Group Short Set on Functioning)</t>
  </si>
  <si>
    <t>% of non-beneficiary HHs by whether they applied for the EVRF energy compensation and type of housing tenure</t>
  </si>
  <si>
    <t>Number of non-beneficiary HHs by whether they applied for the EVRF energy compensation and range of monthly HH income (in Moldovan lei) between November 2024 and January 2025</t>
  </si>
  <si>
    <t>% of non-beneficiary HHs by whether they applied for the EVRF energy compensation and primary type of heating system</t>
  </si>
  <si>
    <t>% of non-beneficiary HHs by whether they applied for the EVRF energy compensation and type of heating systems used</t>
  </si>
  <si>
    <t>% of non-beneficiary HHs by whether they applied for the EVRF energy compensation and legal status of respondent</t>
  </si>
  <si>
    <t>% of non-beneficiary HHs by whether they applied for the EVRF energy compensation and whether they have lived in Moldova for at least 8 months within the past 12 months</t>
  </si>
  <si>
    <t>% of non-beneficiary HHs by whether they applied for the EVRF energy compensation and % of HH expenditure spent on gas, electricity or heating bills/expenses for November 2024</t>
  </si>
  <si>
    <t>% of non-beneficiary HHs by whether they applied for the EVRF energy compensation and % of HH expenditure spent on gas, electricity or heating bills/expenses for December 2024</t>
  </si>
  <si>
    <t>% of non-beneficiary HHs by whether they applied for the EVRF energy compensation and % of total income spent on gas, electricity or heating bills/expenses for November 2024</t>
  </si>
  <si>
    <t>% of non-beneficiary HHs by whether they applied for the EVRF energy compensation and % of total income spent on gas, electricity or heating bills/expenses for December 2024</t>
  </si>
  <si>
    <t>% of non-beneficiary HHs by whether they applied for the EVRF energy compensation and whether they knew about the EVRF energy compensation before December 2024</t>
  </si>
  <si>
    <t>% of non-beneficiary HHs by whether they applied for the EVRF energy compensation and type of settlement</t>
  </si>
  <si>
    <t>% of non-beneficiary respondents by whether they knew about the EVRF energy compensation before December 2024 and type of HH</t>
  </si>
  <si>
    <t>% of non-beneficiary respondents by whether they knew about the EVRF energy compensation before December 2024 and whether the HH includes persons with disabilities (according to the Washington Group Short Set on Functioning)</t>
  </si>
  <si>
    <t>% of non-beneficiary respondents by whether they knew about the EVRF energy compensation before December 2024 and type of housing tenure</t>
  </si>
  <si>
    <t>% of non-beneficiary respondents by whether they knew about the EVRF energy compensation before December 2024 and legal status of respondent</t>
  </si>
  <si>
    <t>% of non-beneficiary respondents by whether they knew about the EVRF energy compensation before December 2024 and whether they have lived in Moldova for at least 8 months within the past 12 months</t>
  </si>
  <si>
    <t>% of non-beneficiary respondents by whether they knew about the EVRF energy compensation before December 2024 and whether their HH applied for the EVRF energy compensation</t>
  </si>
  <si>
    <t>Number of non-beneficiary respondents by whether they knew about the EVRF energy compensation before December 2024 and how they first learned about the EVRF energy compensation</t>
  </si>
  <si>
    <t>% of non-beneficiary respondents by whether they knew about the EVRF energy compensation before December 2024 and type of settlement</t>
  </si>
  <si>
    <t>% of HHs by reason they did not apply for the EVRF energy compensation and type of HH, among non-beneficiary HHs that did not apply for the compensation</t>
  </si>
  <si>
    <t>Number of HHs by reason they did not apply for the EVRF energy compensation and HH composition, among non-beneficiary HHs that did not apply for the compensation</t>
  </si>
  <si>
    <t>% of HHs by reason they did not apply for the EVRF energy compensation and whether the HH includes persons with disabilities (according to the Washington Group Short Set on Functioning), among non-beneficiary HHs that did not apply for the compensation</t>
  </si>
  <si>
    <t>% of HHs by reason they did not apply for the EVRF energy compensation and type of housing tenure, among non-beneficiary HHs that did not apply for the compensation</t>
  </si>
  <si>
    <t>Number of HHs by reason they did not apply for the EVRF energy compensation and range of monthly HH income (in Moldovan lei) between November 2024 and January 2025, among non-beneficiary HHs that did not apply for the compensation</t>
  </si>
  <si>
    <t>% of HHs by reason they did not apply for the EVRF energy compensation and legal status of respondent, among non-beneficiary HHs that did not apply for the compensation</t>
  </si>
  <si>
    <t>% of HHs by reason they did not apply for the EVRF energy compensation and whether they have lived in Moldova for at least 8 months within the past 12 months, among non-beneficiary HHs that did not apply for the compensation</t>
  </si>
  <si>
    <t>% of HHs by reason they did not apply for the EVRF energy compensation and % of HH expenditure spent on gas, electricity or heating bills/expenses for November 2024, among non-beneficiary HHs that did not apply for the compensation</t>
  </si>
  <si>
    <t>% of HHs by reason they did not apply for the EVRF energy compensation and % of HH expenditure spent on gas, electricity or heating bills/expenses for December 2024, among non-beneficiary HHs that did not apply for the compensation</t>
  </si>
  <si>
    <t>% of HHs by reason they did not apply for the EVRF energy compensation and % of total income spent on gas, electricity or heating bills/expenses for November 2024, among non-beneficiary HHs that did not apply for the compensation</t>
  </si>
  <si>
    <t>% of HHs by reason they did not apply for the EVRF energy compensation and % of total income spent on gas, electricity or heating bills/expenses for December 2024, among non-beneficiary HHs that did not apply for the compensation</t>
  </si>
  <si>
    <t>% of HHs by reason they did not apply for the EVRF energy compensation and whether they knew about the EVRF energy compensation before December 2024, among non-beneficiary HHs that did not apply for the compensation</t>
  </si>
  <si>
    <t>% of HHs by reason they did not apply for the EVRF energy compensation and type of settlement, among non-beneficiary HHs that did not apply for the compensation</t>
  </si>
  <si>
    <t>% of HHs by reason they think their application for EVRF energy compensation was not accepted and type of HH, among non-beneficiary HHs that applied for the compensation</t>
  </si>
  <si>
    <t>Number of HHs by reason they think their application for EVRF energy compensation was not accepted and HH composition, among non-beneficiary HHs that applied for the compensation</t>
  </si>
  <si>
    <t>% of HHs by reason they think their application for EVRF energy compensation was not accepted and whether the HH includes persons with disabilities (according to the Washington Group Short Set on Functioning), among non-beneficiary HHs that applied for the compensation</t>
  </si>
  <si>
    <t>% of HHs by reason they think their application for EVRF energy compensation was not accepted and type of housing tenure, among non-beneficiary HHs that applied for the compensation</t>
  </si>
  <si>
    <t>Number of HHs by reason they think their application for EVRF energy compensation was not accepted and range of monthly HH income (in Moldovan lei) between November 2024 and January 2025, among non-beneficiary HHs that applied for the compensation</t>
  </si>
  <si>
    <t>% of HHs by reason they think their application for EVRF energy compensation was not accepted and primary type of heating system, among non-beneficiary HHs that applied for the compensation</t>
  </si>
  <si>
    <t>% of HHs by reason they think their application for EVRF energy compensation was not accepted and type of heating systems used, among non-beneficiary HHs that applied for the compensation</t>
  </si>
  <si>
    <t>% of HHs by reason they think their application for EVRF energy compensation was not accepted and legal status of respondent, among non-beneficiary HHs that applied for the compensation</t>
  </si>
  <si>
    <t>% of HHs by reason they think their application for EVRF energy compensation was not accepted and whether they have lived in Moldova for at least 8 months within the past 12 months, among non-beneficiary HHs that applied for the compensation</t>
  </si>
  <si>
    <t>% of HHs by reason they think their application for EVRF energy compensation was not accepted and % of HH expenditure spent on gas, electricity or heating bills/expenses for November 2024, among non-beneficiary HHs that applied for the compensation</t>
  </si>
  <si>
    <t>% of HHs by reason they think their application for EVRF energy compensation was not accepted and % of HH expenditure spent on gas, electricity or heating bills/expenses for December 2024, among non-beneficiary HHs that applied for the compensation</t>
  </si>
  <si>
    <t>% of HHs by reason they think their application for EVRF energy compensation was not accepted and % of total income spent on gas, electricity or heating bills/expenses for November 2024, among non-beneficiary HHs that applied for the compensation</t>
  </si>
  <si>
    <t>% of HHs by reason they think their application for EVRF energy compensation was not accepted and % of total income spent on gas, electricity or heating bills/expenses for December 2024, among non-beneficiary HHs that applied for the compensation</t>
  </si>
  <si>
    <t>% of HHs by reason they think their application for EVRF energy compensation was not accepted and type of settlement, among non-beneficiary HHs that applied for the compensation</t>
  </si>
  <si>
    <t>Average number of children in non-beneficiary HHs with children by type of HH</t>
  </si>
  <si>
    <t>Average number of HH members with a Moldovan disability certificate in non-beneficiary HHs with reported persons with disabilities*, by type of HH</t>
  </si>
  <si>
    <t>% of non-beneficiary HHs by presence of HH members with a Moldovan disability certificate who receive financial state support and type of HH</t>
  </si>
  <si>
    <t>% of non-beneficiary HHs by number of HH members earning an income* and type of HH</t>
  </si>
  <si>
    <t>% of non-beneficiary HHs by number of HH members earning an income* and HH size</t>
  </si>
  <si>
    <t>Number of non-beneficiary HHs by number of HH members earning an income* and HH composition</t>
  </si>
  <si>
    <t>% of non-beneficiary HHs by number of HH members earning an income* and type of settlement</t>
  </si>
  <si>
    <t>% of non-beneficiary HHs by % of HH expenditure spent on gas, electricity or heating bills/expenses for December 2024 and type of HH</t>
  </si>
  <si>
    <t>% of non-beneficiary HHs by % of HH expenditure spent on gas, electricity or heating bills/expenses for December 2024 and HH size</t>
  </si>
  <si>
    <t>Number of non-beneficiary HHs by % of HH expenditure spent on gas, electricity or heating bills/expenses for December 2024 and HH composition</t>
  </si>
  <si>
    <t>% of non-beneficiary HHs by % of HH expenditure spent on gas, electricity or heating bills/expenses for December 2024 and whether the HH includes persons with disabilities (according to the Washington Group Short Set on Functioning)</t>
  </si>
  <si>
    <t>% of non-beneficiary HHs by % of HH expenditure spent on gas, electricity or heating bills/expenses for December 2024 and type of housing tenure</t>
  </si>
  <si>
    <t>Number of non-beneficiary HHs by % of HH expenditure spent on gas, electricity or heating bills/expenses for December 2024 and range of monthly HH income between November 2024 and January 2025</t>
  </si>
  <si>
    <t>% of non-beneficiary HHs by % of HH expenditure spent on gas, electricity or heating bills/expenses for December 2024 and % of HH expenditure spent on gas, electricity or heating bills/expenses for November 2024</t>
  </si>
  <si>
    <t>% of non-beneficiary HHs by % of HH expenditure spent on gas, electricity or heating bills/expenses for December 2024 and type of settlement</t>
  </si>
  <si>
    <t>% of non-beneficiary HHs by % of HH expenditure spent on gas, electricity or heating bills/expenses for November 2024 and type of HH</t>
  </si>
  <si>
    <t>% of non-beneficiary HHs by % of HH expenditure spent on gas, electricity or heating bills/expenses for November 2024 and HH size</t>
  </si>
  <si>
    <t>Number of non-beneficiary HHs by % of HH expenditure spent on gas, electricity or heating bills/expenses for November 2024 and HH composition</t>
  </si>
  <si>
    <t>% of non-beneficiary HHs by % of HH expenditure spent on gas, electricity or heating bills/expenses for November 2024 and whether the HH includes persons with disabilities (according to the Washington Group Short Set on Functioning)</t>
  </si>
  <si>
    <t>% of non-beneficiary HHs by % of HH expenditure spent on gas, electricity or heating bills/expenses for November 2024 and type of housing tenure</t>
  </si>
  <si>
    <t>Number of non-beneficiary HHs by % of HH expenditure spent on gas, electricity or heating bills/expenses for November 2024 and range of monthly HH income between November 2024 and January 2025</t>
  </si>
  <si>
    <t>% of non-beneficiary HHs by % of HH expenditure spent on gas, electricity or heating bills/expenses for November 2024 and type of settlement</t>
  </si>
  <si>
    <t>% of non-beneficiary HHs by % of total income spent on gas, electricity or heating bills/expenses for December 2024 and type of HH</t>
  </si>
  <si>
    <t>% of non-beneficiary HHs by % of total income spent on gas, electricity or heating bills/expenses for December 2024 and HH size</t>
  </si>
  <si>
    <t>Number of non-beneficiary HHs by % of total income spent on gas, electricity or heating bills/expenses for December 2024 and HH composition</t>
  </si>
  <si>
    <t>% of non-beneficiary HHs by % of total income spent on gas, electricity or heating bills/expenses for December 2024 and whether the HH includes persons with disabilities (according to the Washington Group Short Set on Functioning)</t>
  </si>
  <si>
    <t>% of non-beneficiary HHs by % of total income spent on gas, electricity or heating bills/expenses for December 2024 and type of housing tenure</t>
  </si>
  <si>
    <t>Number of non-beneficiary HHs by % of total income spent on gas, electricity or heating bills/expenses for December 2024 and range of monthly HH income between November 2024 and January 2025</t>
  </si>
  <si>
    <t>% of non-beneficiary HHs by % of total income spent on gas, electricity or heating bills/expenses for December 2024 and type of settlement</t>
  </si>
  <si>
    <t>% of non-beneficiary HHs by % of total income spent on gas, electricity or heating bills/expenses for November 2024 and HH size</t>
  </si>
  <si>
    <t>Number of non-beneficiary HHs by % of total income spent on gas, electricity or heating bills/expenses for November 2024 and HH composition</t>
  </si>
  <si>
    <t>% of non-beneficiary HHs by % of total income spent on gas, electricity or heating bills/expenses for November 2024 and whether the HH includes persons with disabilities (according to the Washington Group Short Set on Functioning)</t>
  </si>
  <si>
    <t>% of non-beneficiary HHs by % of total income spent on gas, electricity or heating bills/expenses for November 2024 and type of housing tenure</t>
  </si>
  <si>
    <t>Number of non-beneficiary HHs by % of total income spent on gas, electricity or heating bills/expenses for November 2024 and range of monthly HH income between November 2024 and January 2025</t>
  </si>
  <si>
    <t>% of non-beneficiary HHs by % of total income spent on gas, electricity or heating bills/expenses for November 2024 and type of HH</t>
  </si>
  <si>
    <t>% of non-beneficiary HHs by % of total income spent on gas, electricity or heating bills/expenses for November 2024 and type of settlement</t>
  </si>
  <si>
    <t>% of non-beneficiary HHs that implemented measures to reduce electricity consumption and cut down costs by type of HH</t>
  </si>
  <si>
    <t>% of non-beneficiary HHs that implemented measures to reduce electricity consumption and cut down costs by HH size</t>
  </si>
  <si>
    <t>Number of non-beneficiary HHs that implemented measures to reduce electricity consumption and cut down costs by HH composition</t>
  </si>
  <si>
    <t>% of non-beneficiary HHs that implemented measures to reduce electricity consumption and cut down costs by whether the HH includes persons with disabilities (according to the Washington Group Short Set on Functioning)</t>
  </si>
  <si>
    <t>Number of non-beneficiary HHs that implemented measures to reduce electricity consumption and cut down costs by range of monthly HH income (in Moldovan lei) between November 2024 and January 2025</t>
  </si>
  <si>
    <t>% of non-beneficiary HHs that implemented measures to reduce electricity consumption and cut down costs by % of HH expenditure spent on gas, electricity or heating bills/expenses for November 2024</t>
  </si>
  <si>
    <t>% of non-beneficiary HHs that implemented measures to reduce electricity consumption and cut down costs by % of HH expenditure spent on gas, electricity or heating bills/expenses for December 2024</t>
  </si>
  <si>
    <t>% of non-beneficiary HHs that implemented measures to reduce electricity consumption and cut down costs by % of total income spent on gas, electricity or heating bills/expenses for November 2024</t>
  </si>
  <si>
    <t>% of non-beneficiary HHs that implemented measures to reduce electricity consumption and cut down costs by % of total income spent on gas, electricity or heating bills/expenses for December 2024</t>
  </si>
  <si>
    <t>% of non-beneficiary HHs that implemented measures to reduce electricity consumption and cut down costs by type of settlement</t>
  </si>
  <si>
    <t>% of HHs by essential expenses they had to cut back on, among non-beneficiary HHs that had to cut down on essential expenses to pay for utility bills this winter</t>
  </si>
  <si>
    <t>Number of HHs by essential expenses they had to cut back on, among non-beneficiary HHs that had to cut down on essential expenses to pay for utility bills this winter, by type of HH</t>
  </si>
  <si>
    <t>% of HHs by essential expenses they had to cut back on, among non-beneficiary HHs that had to cut down on essential expenses to pay for utility bills this winter, by whether the HH includes persons with disabilities (according to the Washington Group Short Set on Functioning)</t>
  </si>
  <si>
    <t>% of HHs by essential expenses they had to cut back on, among non-beneficiary HHs that had to cut down on essential expenses to pay for utility bills this winter, by type of settlement</t>
  </si>
  <si>
    <t>% of non-beneficiary HHs that had to cut down on essential expenses to pay for utility bills this winter by type of HH</t>
  </si>
  <si>
    <t>% of non-beneficiary HHs that had to cut down on essential expenses to pay for utility bills this winter by HH size</t>
  </si>
  <si>
    <t>% of non-beneficiary HHs that had to cut down on essential expenses to pay for utility bills this winter by whether the HH includes persons with disabilities (according to the Washington Group Short Set on Functioning)</t>
  </si>
  <si>
    <t>Number of non-beneficiary HHs that had to cut down on essential expenses to pay for utility bills this winter by range of monthly HH income (in Moldovan lei) between November 2024 and January 2025</t>
  </si>
  <si>
    <t>% of non-beneficiary HHs that had to cut down on essential expenses to pay for utility bills this winter by % of HH expenditure spent on gas, electricity or heating bills/expenses for November 2024</t>
  </si>
  <si>
    <t>% of non-beneficiary HHs that had to cut down on essential expenses to pay for utility bills this winter by % of HH expenditure spent on gas, electricity or heating bills/expenses for December 2024</t>
  </si>
  <si>
    <t>% of non-beneficiary HHs that had to cut down on essential expenses to pay for utility bills this winter by % of total income spent on gas, electricity or heating bills/expenses for November 2024</t>
  </si>
  <si>
    <t>% of non-beneficiary HHs that had to cut down on essential expenses to pay for utility bills this winter by % of total income spent on gas, electricity or heating bills/expenses for December 2024</t>
  </si>
  <si>
    <t>% of non-beneficiary HHs that had to cut down on essential expenses to pay for utility bills this winter by type of settlement</t>
  </si>
  <si>
    <t>% of non-beneficiary HHs that implemented measures to reduce gas consumption and cut down costs by type of HH</t>
  </si>
  <si>
    <t>Number of non-beneficiary HHs that implemented measures to reduce gas consumption and cut down costs by HH composition</t>
  </si>
  <si>
    <t>% of non-beneficiary HHs that implemented measures to reduce gas consumption and cut down costs by whether the HH includes persons with disabilities (according to the Washington Group Short Set on Functioning)</t>
  </si>
  <si>
    <t>Number of non-beneficiary HHs that implemented measures to reduce gas consumption and cut down costs by range of monthly HH income (in Moldovan lei) between November 2024 and January 2025</t>
  </si>
  <si>
    <t>% of non-beneficiary HHs that implemented measures to reduce gas consumption and cut down costs by type of settlement</t>
  </si>
  <si>
    <t>Number of non-beneficiary HHs that implemented measures to reduce heating consumption* and cut down costs by type of HH</t>
  </si>
  <si>
    <t>Number of non-beneficiary HHs that implemented measures to reduce heating consumption* and cut down costs by whether the HH includes persons with disabilities (according to the Washington Group Short Set on Functioning)</t>
  </si>
  <si>
    <t>Number of non-beneficiary HHs that implemented measures to reduce heating consumption* and cut down costs by type of settlement</t>
  </si>
  <si>
    <t>% of non-beneficiary HHs that reduced electricity, gas or heating consumption, by measure implemented and type of HH</t>
  </si>
  <si>
    <t>% of non-beneficiary HHs that reduced electricity, gas or heating consumption, by measure implemented and whether the HH includes persons with disabilities (according to the Washington Group Short Set on Functioning)</t>
  </si>
  <si>
    <t>% of non-beneficiary HHs that reduced electricity, gas or heating consumption, by measure implemented and type of settlement</t>
  </si>
  <si>
    <t>% of non-beneficiary respondents that are refugees from Ukraine*</t>
  </si>
  <si>
    <t>% of non-beneficiary HHs by region and type of HH</t>
  </si>
  <si>
    <t>% of non-beneficiary HHs by financial resources used to cover utility bills and heating costs and type of HH</t>
  </si>
  <si>
    <t>Number of non-beneficiary HHs by financial resources used to cover utility bills and heating costs and HH composition</t>
  </si>
  <si>
    <t>% of non-beneficiary HHs by financial resources used to cover utility bills and heating costs and whether the HH includes persons with disabilities (according to the Washington Group Short Set on Functioning)</t>
  </si>
  <si>
    <t>% of non-beneficiary HHs by financial resources used to cover utility bills and heating costs and type of housing tenure</t>
  </si>
  <si>
    <t>% of non-beneficiary HHs by financial resources used to cover utility bills and heating costs and type of settlement</t>
  </si>
  <si>
    <t>% of non-beneficiary respondents by age group and type of HH (refugee or host community*)</t>
  </si>
  <si>
    <t>% of non-beneficiary respondents by gender</t>
  </si>
  <si>
    <t>% of non-beneficiary HHs by type of settlement and type of HH</t>
  </si>
  <si>
    <t>% of non-beneficiary HHs planning long-term strategies to cope with rising and volatile energy costs by type of HH</t>
  </si>
  <si>
    <t>% of non-beneficiary HHs planning long-term strategies to cope with rising and volatile energy costs by HH size</t>
  </si>
  <si>
    <t>Number of non-beneficiary HHs planning long-term strategies to cope with rising and volatile energy costs by HH composition</t>
  </si>
  <si>
    <t>% of non-beneficiary HHs planning long-term strategies to cope with rising and volatile energy costs by whether the HH includes persons with disabilities (according to the Washington Group Short Set on Functioning)</t>
  </si>
  <si>
    <t>Number of non-beneficiary HHs planning long-term strategies to cope with rising and volatile energy costs by range of monthly HH (in Moldovan lei) between November 2024 and January 2025</t>
  </si>
  <si>
    <t>% of non-beneficiary HHs planning long-term strategies to cope with rising and volatile energy costs by primary type of heating system</t>
  </si>
  <si>
    <t>% of non-beneficiary HHs planning long-term strategies to cope with rising and volatile energy costs by % of HH expenditure spent on gas, electricity or heating bills/expenses for November 2024</t>
  </si>
  <si>
    <t>% of non-beneficiary HHs planning long-term strategies to cope with rising and volatile energy costs by % of HH expenditure spent on gas, electricity or heating bills/expenses for December 2024</t>
  </si>
  <si>
    <t>% of non-beneficiary HHs planning long-term strategies to cope with rising and volatile energy costs by % of total income spent on gas, electricity or heating bills/expenses for November 2024</t>
  </si>
  <si>
    <t>% of non-beneficiary HHs planning long-term strategies to cope with rising and volatile energy costs by % of total income spent on gas, electricity or heating bills/expenses for December 2024</t>
  </si>
  <si>
    <t>% of non-beneficiary HHs planning long-term strategies to cope with rising and volatile energy costs by type of settlement</t>
  </si>
  <si>
    <t>% of non-beneficiary HHs planning long-term strategies to cope with rising and volatile energy costs, by type of strategy and type of HH</t>
  </si>
  <si>
    <t>% of non-beneficiary HHs planning long-term strategies to cope with rising and volatile energy costs, by type of strategy and whether the HH includes persons with disabilities (according to the Washington Group Short Set on Functioning)</t>
  </si>
  <si>
    <t>% of non-beneficiary HHs planning long-term strategies to cope with rising and volatile energy costs, by type of strategy and primary type of heating system</t>
  </si>
  <si>
    <t>% of non-beneficiary HHs planning long-term strategies to cope with rising and volatile energy costs, by type of strategy and type of settlement</t>
  </si>
  <si>
    <t>% of non-beneficiary HHs that applied for EVRF through a social worker, by level of satisfaction with the support received from the social worker and type of HH</t>
  </si>
  <si>
    <t>% of non-beneficiary HHs that applied for EVRF through a social worker, by level of satisfaction with the support received from the social worker and type of settlement</t>
  </si>
  <si>
    <t>% of non-beneficiary respondents by perceived average indoor temperature of their accommodation in December 2024 by type of HH</t>
  </si>
  <si>
    <t>% of non-beneficiary respondents by perceived average indoor temperature of their accommodation in December 2024 by HH size</t>
  </si>
  <si>
    <t>Number of non-beneficiary respondents by perceived average indoor temperature of their accommodation in December 2024 by HH composition</t>
  </si>
  <si>
    <t>% of non-beneficiary respondents by perceived average indoor temperature of their accommodation in December 2024 by whether the HH includes persons with disabilities (according to the Washington Group Short Set on Functioning)</t>
  </si>
  <si>
    <t>Number of non-beneficiary respondents by perceived average indoor temperature of their accommodation in December 2024 by range of monthly HH income (in Moldovan lei) between November 2024 and January 2025</t>
  </si>
  <si>
    <t>% of non-beneficiary respondents by perceived average indoor temperature of their accommodation in December 2024 by % of HH expenditure spent on gas, electricity or heating bills/expenses for December 2024</t>
  </si>
  <si>
    <t>% of non-beneficiary respondents by perceived average indoor temperature of their accommodation in December 2024 by % of total income spent on gas, electricity or heating bills/expenses for December 2024</t>
  </si>
  <si>
    <t>% of non-beneficiary respondents by perceived average indoor temperature of their accommodation in December 2024 by type of settlement</t>
  </si>
  <si>
    <t>% of non-beneficiary respondents by perceived average indoor temperature of their accommodation in November 2024 by type of HH</t>
  </si>
  <si>
    <t>% of non-beneficiary respondents by perceived average indoor temperature of their accommodation in November 2024 by HH size</t>
  </si>
  <si>
    <t>Number of non-beneficiary respondents by perceived average indoor temperature of their accommodation in November 2024 by HH composition</t>
  </si>
  <si>
    <t>% of non-beneficiary respondents by perceived average indoor temperature of their accommodation in November 2024 by whether the HH includes persons with disabilities (according to the Washington Group Short Set on Functioning)</t>
  </si>
  <si>
    <t>Number of non-beneficiary respondents by perceived average indoor temperature of their accommodation in November 2024 by range of monthly HH income (in Moldovan lei) between November 2024 and January 2025</t>
  </si>
  <si>
    <t>% of non-beneficiary respondents by perceived average indoor temperature of their accommodation in November 2024 by % of HH expenditure spent on gas, electricity or heating bills/expenses for November 2024</t>
  </si>
  <si>
    <t>% of non-beneficiary respondents by perceived average indoor temperature of their accommodation in November 2024 by % of total income spent on gas, electricity or heating bills/expenses for November 2024</t>
  </si>
  <si>
    <t>% of non-beneficiary respondents by perceived average indoor temperature of their accommodation in November 2024 by type of settlement</t>
  </si>
  <si>
    <t>Number of non-beneficiary respondents by whether they have lived in Moldova for at least 8 months within the past 12 months and whether the HH includes HH members with a Moldovan disability certificate</t>
  </si>
  <si>
    <t>% of non-beneficiary respondents by whether they have lived in Moldova for at least 8 months within the past 12 months and % of HH expenditure spent on gas, electricity or heating bills/expenses for November 2024</t>
  </si>
  <si>
    <t>% of non-beneficiary respondents by whether they have lived in Moldova for at least 8 months within the past 12 months and % of HH expenditure spent on gas, electricity or heating bills/expenses for December 2024</t>
  </si>
  <si>
    <t>% of non-beneficiary respondents by whether they have lived in Moldova for at least 8 months within the past 12 months and % of total income spent on gas, electricity or heating bills/expenses for November 2024</t>
  </si>
  <si>
    <t>% of non-beneficiary respondents by whether they have lived in Moldova for at least 8 months within the past 12 months and % of total income spent on gas, electricity or heating bills/expenses for December 2024</t>
  </si>
  <si>
    <t>% of non-beneficiary respondents by whether they have lived in Moldova for at least 8 months within the past 12 months and type of HH</t>
  </si>
  <si>
    <t>% of non-beneficiary respondents by whether they have lived in Moldova for at least 8 months within the past 12 months and legal status of respondent</t>
  </si>
  <si>
    <t>% of non-beneficiary respondents by whether they have lived in Moldova for at least 8 months within the past 12 months and whether they are refugees from Ukraine</t>
  </si>
  <si>
    <t>Number of non-beneficiary respondents by whether they have lived in Moldova for at least 8 months within the past 12 months and HH composition</t>
  </si>
  <si>
    <t>% of non-beneficiary respondents by whether they have lived in Moldova for at least 8 months within the past 12 months and whether the HH includes persons with disabilities (according to the Washington Group Short Set on Functioning)</t>
  </si>
  <si>
    <t>Average total energy-related expenses* for December 2024 (in Moldovan lei) of non-beneficiary HHs by type of HH</t>
  </si>
  <si>
    <t>Total energy-related expenses* for December 2024 (in Moldovan lei) of non-beneficiary HHs by type of HH</t>
  </si>
  <si>
    <t>Total energy-related expenses* for December 2024 (in Moldovan lei) of non-beneficiary HHs by HH composition</t>
  </si>
  <si>
    <t>Total energy-related expenses* for December 2024 (in Moldovan lei) of non-beneficiary HHs by whether the HH includes persons with disabilities (according to the Washington Group Short Set on Functioning)</t>
  </si>
  <si>
    <t>Total energy-related expenses* for December 2024 (in Moldovan lei) of non-beneficiary HHs by range of monthly HH income (in Moldovan lei) between November 2024 and January 2025</t>
  </si>
  <si>
    <t>Total energy-related expenses* for December 2024 (in Moldovan lei) of non-beneficiary HHs by primary type of heating system</t>
  </si>
  <si>
    <t>Total energy-related expenses* for December 2024 (in Moldovan lei) of non-beneficiary HHs by type of heating systems used</t>
  </si>
  <si>
    <t>Total energy-related expenses* for December 2024 (in Moldovan lei) of non-beneficiary HHs by type of settlement</t>
  </si>
  <si>
    <t>Average total energy-related expenses* for December 2024 (in Moldovan lei) of non-beneficiary HHs by type of settlement</t>
  </si>
  <si>
    <t>Average total energy-related expenses* for November 2024 (in Moldovan lei) of non-beneficiary HHs by type of HH</t>
  </si>
  <si>
    <t>Total energy-related expenses* for November 2024 (in Moldovan lei) of non-beneficiary HHs by type of HH</t>
  </si>
  <si>
    <t>Total energy-related expenses* for November 2024 (in Moldovan lei) of non-beneficiary HHs by HH composition</t>
  </si>
  <si>
    <t>Total energy-related expenses* for November 2024 (in Moldovan lei) of non-beneficiary HHs by range of monthly HH income (in Moldovan lei) between November 2024 and January 2025</t>
  </si>
  <si>
    <t>Total energy-related expenses* for November 2024 (in Moldovan lei) of non-beneficiary HHs by primary type of heating system</t>
  </si>
  <si>
    <t>Total energy-related expenses* for November 2024 (in Moldovan lei) of non-beneficiary HHs by type of heating systems used</t>
  </si>
  <si>
    <t>Total energy-related expenses* for November 2024 (in Moldovan lei) of non-beneficiary HHs by type of settlement</t>
  </si>
  <si>
    <t>Average total energy-related expenses* for November 2024 (in Moldovan lei) of non-beneficiary HHs by type of settlement</t>
  </si>
  <si>
    <t>% of non-beneficiary HHs by vulnerable groups present in HH* and type of HH</t>
  </si>
  <si>
    <t>% of non-beneficiary HHs by vulnerable groups present in HH* and type of settlement</t>
  </si>
  <si>
    <t>financial_stress_nov</t>
  </si>
  <si>
    <t>financial_stress_dec</t>
  </si>
  <si>
    <t>b_financial_stress_nov</t>
  </si>
  <si>
    <t>b_financial_stress_dec</t>
  </si>
  <si>
    <t>1.	What barriers prevent potentially energy-vulnerable refugee and host community households from accessing the EVRF energy compensation in the winter of 2024-2025?
a.	What is the level of awareness of potentially energy-vulnerable refugee and host community households regarding the EVRF energy compensation?
b.	Are there barriers in the application process and eligibility criteria that prevent potentially energy-vulnerable refugee and host community households from accessing the EVRF energy compensation? 
2.	To what extent are refugee and host community beneficiary households of the EVRF energy compensation able to meet their energy needs for the winter of 2024-2025?
3.	What is the impact of the EVRF energy compensation on the living conditions and well-being of beneficiaries?
a.	How does impact differ between refugee and host community households?
4.	What coping strategies are employed by potentially energy-vulnerable refugee and host community households to meet their energy needs for the winter of 2024-2025?
a.	How do the coping strategies differ between EVRF beneficiaries and non-beneficiaries?
5.	To what extent are refugee and host community beneficiary households satisfied with the amount and mode of distribution of the EVRF energy compensation during the winter of 2024-2025?</t>
  </si>
  <si>
    <t>The EVRF assessment will cover the entirety of the Republic of Moldova, excluding the Transnistrian region. The Transnistrian region is excluded due to households in this region not being eligible for the EVRF energy compensation. The sample for both beneficiary and non-beneficiary households will be stratified according to type of settlement (rural and urban) and region (North, Centre, South). Due to the method of recruiting respondents for this assessment, specific settlements will not be sampled so as to allow all interested and eligible respondents across these three regions to participate in the survey.
The populations of interest for this assessment are refugee and host community households residing in the Republic of Moldova, excluding the Transnistrian region. These populations comprise two key groups that will be assessed:
1.	Beneficiaries of the EVRF energy compensation, who will be surveyed to evaluate the programme's impact on household expenditures and energy vulnerability. A total of 634,008 households (1.2 million individuals) were registered to receive the EVRF energy compensation for the month of November 2024. Households that registered in December 2024 and only began receiving the compensation from the month of December 2024 are excluded from this assessment as it would be too short a time period from when they receive their electricity, gas, or heating bills for the month of December 2024 to the start of data collection for this assessment for them to be able to assess how the compensation has impacted their household.
2.	Non-beneficiaries of the EVRF energy compensation, both those who applied but were not selected and those who did not apply, to identify barriers to accessing the compensation and coping strategies employed during the winter by non-beneficiaries.
As the EVRF energy compensation is distributed at the household level and energy-related bills are also charged at the household level, the unit of measurement for this assessment is the household.</t>
  </si>
  <si>
    <t xml:space="preserve">Primary data was collected via quantitative household surveys of the populations of interest. Interviews were conducted via phone call or in-person. To reach a greater amount and wider spread of households across the Republic of Moldova, an invitation to participate in the survey was advertised in targeted public spaces and social media platforms where the target populations would most likely be reached. Included in the invitations was a consent form that households interested in participating in the survey could fill so that they could be contacted via phone to be interviewed. Due to the limited ability of this method to reach respondents such as older individuals or people with disabilities that are not active on social media and have limited mobility, part of the targeted interviews were conducted in-person. To identify such respondents, members of the IMPACT Moldova Field Team contacted social workers in locations selected according to the estimated population density of refugee households and expected geographical concentration of EVRF energy compensation beneficiaries and/or physically went to those locations to recruit participants. In cases where the Field Team were physically recruiting participants, in-person interviews were conducted directly for the convenience of the respondents and efficiency of data collection.
A purposive sampling approach was used to sample EVRF energy compensation beneficiary households based on available capacity and coverage of the populations of interest. The population was stratified according to households with at least one Moldovan citizen that is a member of the host community (Host community HH), and households composed fully of refugees from Ukraine (Refugee HH). Since households with at least one Moldovan member of the host community are expected to have significant advantages over households composed of only refugees in terms of access to information about the compensation programme and overall ability to access the compensation, these strata were determined to be the most appropriate for answering the research questions of this assessment. Due to the lack of disaggregated data on the total beneficiaries of the EVRF energy compensation programme, certain assumptions were made to allow for stratification of the sample. Based on estimates of the refugees from Ukraine residing in Moldova according to monitoring of border crossings by the Border Police, about 5% of the population in Moldova excluding the Transnistrian region are estimated to be refugees from Ukraine. Assuming that the beneficiaries of the EVRF energy compensation for November 2024 have a similar distribution of the population of Moldova, it is calculated that of the 634,008 beneficiary households of the EVRF energy compensation, 31,700 are refugee households and the remaining 602,308 households include Moldovan members of the host community. Sampling was done at the level of type of settlement to ensure coverage of households living in rural and urban settlements, so that findings for households in these two areas can be compared. It is also assumed that 50% of the beneficiary households are living in rural areas and 50% are in urban areas. The sample was then further divided between regions: North, Centre and South. This was done proportionally based on data on the total usual resident population in Moldova from the National Bureau of Statistics and REACH’s Refugee Population Profiling Assessment which estimates the number of refugees from Ukraine in Moldova in May/June 2024. The sample was stratified by region in order to reflect as much as possible the actual distribution of beneficiary households across the regions in Moldova, but findings are not compared by region due to there being no significant differences expected between the regions in terms of energy vulnerability.
Purposive sampling was also used to sample households in Moldova that are not beneficiaries of the EVRF energy compensation. This was done using the same strata as that used for beneficiary households – households with at least one Moldovan member of the host community, and households composed fully of refugees from Ukraine. The sample size for this population of interest is 120 households, and this was determined based on the selected strata and feasibility. For comparability of findings between the households with at least one Moldovan host community member (Host community HH) and households composed of only refugees (Refugee HH), this sample was then split equally between the geographical strata – by region and type of settlement.
</t>
  </si>
  <si>
    <t>435 household surveys</t>
  </si>
  <si>
    <r>
      <rPr>
        <u/>
        <sz val="10"/>
        <rFont val="Arial Narrow"/>
        <family val="2"/>
      </rPr>
      <t>1.	Findings are not representative and are only indicative</t>
    </r>
    <r>
      <rPr>
        <sz val="10"/>
        <rFont val="Arial Narrow"/>
        <family val="2"/>
      </rPr>
      <t xml:space="preserve">
The sampling approach for this assessment is not representative and the method of scoping for respondents may be impacted by selection bias. The purposive sampling approach used is not representative, although different official data sources were used to inform the targets set for each stratum. 
Additionally, selection bias as a result of the method of recruitment of participants for the household survey may impact the representativeness of the findings. Although the invitation to participate in the survey was shared on various social media channels and posters were put up in several public spaces in order to maximise its reach, these likely only reached a certain portion of the populations of interest that are active on these social media channels or that frequent those public spaces and interact with the advertisement. Such groups may exclude older individuals, people with disabilities, and other marginalised groups that are not active on social media. To mitigate this, the Field Team also reached out to social workers that would have information on these groups, particularly in rural areas, and conduct in-person recruitment and interviews where necessary, but this method also has its own biases based on the locations they go to.
</t>
    </r>
    <r>
      <rPr>
        <u/>
        <sz val="10"/>
        <rFont val="Arial Narrow"/>
        <family val="2"/>
      </rPr>
      <t>2.	Findings may be biased towards more negative experiences of the EVRF programme due to the method of recruitment of participants</t>
    </r>
    <r>
      <rPr>
        <sz val="10"/>
        <rFont val="Arial Narrow"/>
        <family val="2"/>
      </rPr>
      <t xml:space="preserve">
Related to the selection bias described in the previous limitation, the sample of this assessment is likely biased towards respondents that have had more negative experiences and feedback to provide on the EVRF programme. Households that have feedback on the programme are more likely to be interested in being interviewed about it and having their voices heard than those without. As such, those with feedback are more likely to take the time to sign up and fill in the consent form than those without.
</t>
    </r>
    <r>
      <rPr>
        <u/>
        <sz val="10"/>
        <rFont val="Arial Narrow"/>
        <family val="2"/>
      </rPr>
      <t>3.	Findings are only able to capture the experience of households during the early winter period</t>
    </r>
    <r>
      <rPr>
        <sz val="10"/>
        <rFont val="Arial Narrow"/>
        <family val="2"/>
      </rPr>
      <t xml:space="preserve">
Due to limitations in the time available for conducting this assessment, data collection was scheduled shortly after EVRF beneficiaries received the second payment of the compensation in January 2025. As such, beneficiaries only had sufficient time to utilise and experience the impact of the first payment of the compensation. This timing limits the ability of this assessment to capture the impact of the EVRF throughout the 2024-2025 winter season. Similarly, for non-beneficiaries, the assessment only captured their experience during the first few months of this winter season.
</t>
    </r>
    <r>
      <rPr>
        <u/>
        <sz val="10"/>
        <rFont val="Arial Narrow"/>
        <family val="2"/>
      </rPr>
      <t>4.	Assessment of the programme’s impact is based on the perspectives of respondents and therefore is not objective</t>
    </r>
    <r>
      <rPr>
        <sz val="10"/>
        <rFont val="Arial Narrow"/>
        <family val="2"/>
      </rPr>
      <t xml:space="preserve">
Assessing the impact of the EVRF energy compensation objectively is challenging as the compensation is provided simultaneously with rising energy expenses and is capped compared to previous years, making it difficult to isolate the effect of the support. Additionally, beneficiaries may have anticipated receiving the compensation, which may have influenced their reported behaviours and perceptions. A further limitation is the lack of a true control group, as all eligible households may have adjusted their behaviours in anticipation of the program, reducing comparability.
Additionally, responses from respondents that are beneficiaries of the EVRF programme may not be entirely honest and self-censored to reflect more positively on the programme than their actual opinion of it, out of fear of losing access to the compensation. To mitigate this, a clear disclaimer was included in the beginning of the consent form and the beginning of the interview that their responses will not affect their status as beneficiaries, however, there may still be biased responses.
Moreover, households with central heating systems have little control over their heating usage, which may affect the accuracy of self-reported energy consumption data. Other challenges may include potential response bias, the potential inaccuracy of self-reported data, and external factors influencing household energy consumption and economic vulnerability during the assessment period, which would be difficult to objectively capture through a household survey.
Consequently, the assessment will rely heavily on beneficiaries' self-reported experiences and perspectives to evaluate the programme's effectiveness.</t>
    </r>
  </si>
  <si>
    <t>Nadine Frisk - nadine.frisk@impact-initiatives.org
Raluca Stoican - raluca.stoican@impact-initiatives.org
Tara McCoy - tara.mccoy@impact-initiatives.org</t>
  </si>
  <si>
    <t>91.5%</t>
  </si>
  <si>
    <t>93.4%</t>
  </si>
  <si>
    <t>96.1%</t>
  </si>
  <si>
    <t>98.4%</t>
  </si>
  <si>
    <t>65.3%</t>
  </si>
  <si>
    <t>% of beneficiary HHs by the extent to which the compensation reduced their need to resort to risky or harmful activities and type of HH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</si>
</sst>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3" x14ac:knownFonts="1">
    <font>
      <sz val="11"/>
      <color theme="1"/>
      <name val="Calibri"/>
      <family val="2"/>
      <scheme val="minor"/>
    </font>
    <font>
      <b/>
      <sz val="11"/>
      <color theme="1"/>
      <name val="Calibri"/>
      <family val="2"/>
      <scheme val="minor"/>
    </font>
    <font>
      <sz val="11"/>
      <color theme="1"/>
      <name val="Calibri"/>
      <family val="2"/>
      <scheme val="minor"/>
    </font>
    <font>
      <sz val="11"/>
      <color theme="0"/>
      <name val="Calibri"/>
      <family val="2"/>
      <scheme val="minor"/>
    </font>
    <font>
      <u/>
      <sz val="11"/>
      <color theme="10"/>
      <name val="Calibri"/>
      <family val="2"/>
      <scheme val="minor"/>
    </font>
    <font>
      <sz val="11"/>
      <color theme="1"/>
      <name val="Calibri"/>
      <family val="2"/>
      <charset val="238"/>
      <scheme val="minor"/>
    </font>
    <font>
      <b/>
      <sz val="28"/>
      <color rgb="FF000000"/>
      <name val="Arial Narrow"/>
      <family val="2"/>
    </font>
    <font>
      <b/>
      <sz val="11"/>
      <color theme="0"/>
      <name val="Arial Narrow"/>
      <family val="2"/>
    </font>
    <font>
      <b/>
      <sz val="10"/>
      <name val="Arial Narrow"/>
      <family val="2"/>
    </font>
    <font>
      <sz val="10"/>
      <name val="Arial Narrow"/>
      <family val="2"/>
    </font>
    <font>
      <i/>
      <sz val="10"/>
      <name val="Arial Narrow"/>
      <family val="2"/>
    </font>
    <font>
      <u/>
      <sz val="11"/>
      <color theme="10"/>
      <name val="Calibri"/>
      <family val="2"/>
      <charset val="238"/>
      <scheme val="minor"/>
    </font>
    <font>
      <b/>
      <sz val="12"/>
      <color theme="0"/>
      <name val="Arial Narrow"/>
      <family val="2"/>
    </font>
    <font>
      <b/>
      <sz val="12"/>
      <color rgb="FFFFFFFF"/>
      <name val="Arial Narrow"/>
      <family val="2"/>
    </font>
    <font>
      <sz val="10"/>
      <color theme="1"/>
      <name val="Arial Narrow"/>
      <family val="2"/>
    </font>
    <font>
      <sz val="12"/>
      <color theme="0"/>
      <name val="Arial Narrow"/>
      <family val="2"/>
    </font>
    <font>
      <sz val="11"/>
      <color theme="1"/>
      <name val="Arial Narrow"/>
      <family val="2"/>
    </font>
    <font>
      <sz val="11"/>
      <color rgb="FF000000"/>
      <name val="Arial Narrow"/>
      <family val="2"/>
    </font>
    <font>
      <b/>
      <sz val="11"/>
      <color theme="1"/>
      <name val="Arial Narrow"/>
      <family val="2"/>
    </font>
    <font>
      <u/>
      <sz val="10"/>
      <name val="Arial Narrow"/>
      <family val="2"/>
    </font>
    <font>
      <sz val="11"/>
      <color theme="1"/>
      <name val="Aptos Narrow"/>
      <family val="2"/>
    </font>
    <font>
      <b/>
      <sz val="12"/>
      <color theme="0"/>
      <name val="Arial Narrow"/>
    </font>
    <font>
      <u/>
      <sz val="11"/>
      <color theme="10"/>
      <name val="Calibri"/>
    </font>
  </fonts>
  <fills count="1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EE5859"/>
        <bgColor rgb="FFD63F40"/>
      </patternFill>
    </fill>
    <fill>
      <patternFill patternType="solid">
        <fgColor rgb="FFE34443"/>
        <bgColor indexed="64"/>
      </patternFill>
    </fill>
    <fill>
      <patternFill patternType="solid">
        <fgColor rgb="FFD2CBB8"/>
        <bgColor indexed="64"/>
      </patternFill>
    </fill>
    <fill>
      <patternFill patternType="solid">
        <fgColor them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CFF"/>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59999389629810485"/>
        <bgColor indexed="64"/>
      </patternFill>
    </fill>
  </fills>
  <borders count="32">
    <border>
      <left/>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top style="medium">
        <color rgb="FFFFFFFF"/>
      </top>
      <bottom style="medium">
        <color rgb="FFFFFFFF"/>
      </bottom>
      <diagonal/>
    </border>
    <border>
      <left/>
      <right style="medium">
        <color indexed="64"/>
      </right>
      <top style="medium">
        <color rgb="FFFFFFFF"/>
      </top>
      <bottom style="medium">
        <color rgb="FFFFFFFF"/>
      </bottom>
      <diagonal/>
    </border>
    <border>
      <left style="thin">
        <color rgb="FFFFFFFF"/>
      </left>
      <right style="medium">
        <color indexed="64"/>
      </right>
      <top/>
      <bottom/>
      <diagonal/>
    </border>
    <border>
      <left style="medium">
        <color indexed="64"/>
      </left>
      <right style="medium">
        <color rgb="FFFFFFFF"/>
      </right>
      <top style="medium">
        <color rgb="FFFFFFFF"/>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6">
    <xf numFmtId="0" fontId="0" fillId="0" borderId="0"/>
    <xf numFmtId="0" fontId="4" fillId="0" borderId="0" applyNumberFormat="0" applyFill="0" applyBorder="0" applyAlignment="0" applyProtection="0"/>
    <xf numFmtId="0" fontId="5" fillId="0" borderId="0"/>
    <xf numFmtId="0" fontId="11" fillId="0" borderId="0" applyNumberFormat="0" applyFill="0" applyBorder="0" applyAlignment="0" applyProtection="0"/>
    <xf numFmtId="0" fontId="2" fillId="0" borderId="0"/>
    <xf numFmtId="0" fontId="14" fillId="0" borderId="0"/>
  </cellStyleXfs>
  <cellXfs count="111">
    <xf numFmtId="0" fontId="0" fillId="0" borderId="0" xfId="0"/>
    <xf numFmtId="0" fontId="0" fillId="0" borderId="0" xfId="0" applyAlignment="1">
      <alignment wrapText="1"/>
    </xf>
    <xf numFmtId="0" fontId="5" fillId="3" borderId="0" xfId="2" applyFill="1"/>
    <xf numFmtId="0" fontId="7" fillId="4" borderId="3" xfId="2" applyFont="1" applyFill="1" applyBorder="1" applyAlignment="1">
      <alignment vertical="top" wrapText="1"/>
    </xf>
    <xf numFmtId="0" fontId="7" fillId="4" borderId="5" xfId="2" applyFont="1" applyFill="1" applyBorder="1" applyAlignment="1">
      <alignment horizontal="left" vertical="top" wrapText="1"/>
    </xf>
    <xf numFmtId="0" fontId="8" fillId="2" borderId="6" xfId="2" applyFont="1" applyFill="1" applyBorder="1" applyAlignment="1">
      <alignment vertical="top" wrapText="1"/>
    </xf>
    <xf numFmtId="0" fontId="8" fillId="0" borderId="6" xfId="2" applyFont="1" applyBorder="1" applyAlignment="1">
      <alignment vertical="top" wrapText="1"/>
    </xf>
    <xf numFmtId="0" fontId="8" fillId="2" borderId="8" xfId="2" applyFont="1" applyFill="1" applyBorder="1" applyAlignment="1">
      <alignment vertical="top" wrapText="1"/>
    </xf>
    <xf numFmtId="0" fontId="9" fillId="2" borderId="9" xfId="2" applyFont="1" applyFill="1" applyBorder="1" applyAlignment="1">
      <alignment vertical="top" wrapText="1"/>
    </xf>
    <xf numFmtId="0" fontId="7" fillId="4" borderId="10" xfId="2" applyFont="1" applyFill="1" applyBorder="1" applyAlignment="1">
      <alignment horizontal="left" vertical="top" wrapText="1"/>
    </xf>
    <xf numFmtId="0" fontId="5" fillId="0" borderId="0" xfId="2"/>
    <xf numFmtId="0" fontId="8" fillId="2" borderId="6" xfId="0" applyFont="1" applyFill="1" applyBorder="1" applyAlignment="1">
      <alignment vertical="top" wrapText="1"/>
    </xf>
    <xf numFmtId="0" fontId="12" fillId="5" borderId="0" xfId="0" applyFont="1" applyFill="1" applyAlignment="1">
      <alignment horizontal="left" vertical="center" wrapText="1"/>
    </xf>
    <xf numFmtId="0" fontId="10" fillId="2" borderId="4" xfId="2" applyFont="1" applyFill="1" applyBorder="1" applyAlignment="1">
      <alignment horizontal="left" vertical="top" wrapText="1"/>
    </xf>
    <xf numFmtId="0" fontId="4" fillId="2" borderId="6" xfId="1" applyFill="1" applyBorder="1" applyAlignment="1">
      <alignment vertical="top" wrapText="1"/>
    </xf>
    <xf numFmtId="0" fontId="11" fillId="0" borderId="6" xfId="3" applyFill="1" applyBorder="1" applyAlignment="1">
      <alignment vertical="top" wrapText="1"/>
    </xf>
    <xf numFmtId="0" fontId="10" fillId="0" borderId="7" xfId="2" applyFont="1" applyBorder="1" applyAlignment="1">
      <alignment horizontal="left" vertical="top" wrapText="1"/>
    </xf>
    <xf numFmtId="0" fontId="12" fillId="5" borderId="0" xfId="0" applyFont="1" applyFill="1" applyAlignment="1">
      <alignment horizontal="center" vertical="center" wrapText="1"/>
    </xf>
    <xf numFmtId="0" fontId="0" fillId="0" borderId="0" xfId="0" applyAlignment="1">
      <alignment horizontal="center"/>
    </xf>
    <xf numFmtId="0" fontId="12" fillId="5" borderId="0" xfId="2" applyFont="1" applyFill="1" applyAlignment="1">
      <alignment horizontal="left" vertical="center" wrapText="1"/>
    </xf>
    <xf numFmtId="0" fontId="12" fillId="5" borderId="0" xfId="2" applyFont="1" applyFill="1" applyAlignment="1">
      <alignment horizontal="center" vertical="center" wrapText="1"/>
    </xf>
    <xf numFmtId="0" fontId="2" fillId="0" borderId="0" xfId="4"/>
    <xf numFmtId="0" fontId="15" fillId="0" borderId="0" xfId="5" applyFont="1" applyAlignment="1">
      <alignment vertical="center"/>
    </xf>
    <xf numFmtId="0" fontId="16" fillId="0" borderId="0" xfId="5" applyFont="1"/>
    <xf numFmtId="0" fontId="17" fillId="0" borderId="0" xfId="5" applyFont="1"/>
    <xf numFmtId="0" fontId="3" fillId="0" borderId="0" xfId="4" applyFont="1"/>
    <xf numFmtId="0" fontId="18" fillId="0" borderId="0" xfId="5" applyFont="1"/>
    <xf numFmtId="0" fontId="16" fillId="0" borderId="0" xfId="5" applyFont="1" applyAlignment="1">
      <alignment wrapText="1"/>
    </xf>
    <xf numFmtId="0" fontId="4" fillId="0" borderId="3" xfId="1" applyFill="1" applyBorder="1"/>
    <xf numFmtId="0" fontId="13" fillId="5" borderId="0" xfId="2" applyFont="1" applyFill="1" applyAlignment="1">
      <alignment horizontal="center" vertical="center" wrapText="1"/>
    </xf>
    <xf numFmtId="0" fontId="5" fillId="0" borderId="0" xfId="2" applyAlignment="1">
      <alignment horizontal="center"/>
    </xf>
    <xf numFmtId="0" fontId="1" fillId="0" borderId="0" xfId="2" applyFont="1"/>
    <xf numFmtId="0" fontId="9" fillId="2" borderId="4" xfId="0" applyFont="1" applyFill="1" applyBorder="1" applyAlignment="1">
      <alignment horizontal="left" vertical="top" wrapText="1"/>
    </xf>
    <xf numFmtId="0" fontId="9" fillId="0" borderId="7" xfId="0" applyFont="1" applyBorder="1" applyAlignment="1">
      <alignment horizontal="left" vertical="top" wrapText="1"/>
    </xf>
    <xf numFmtId="0" fontId="9" fillId="0" borderId="7" xfId="4" applyFont="1" applyBorder="1" applyAlignment="1">
      <alignment horizontal="left" vertical="top" wrapText="1"/>
    </xf>
    <xf numFmtId="0" fontId="9" fillId="2" borderId="9" xfId="4" applyFont="1" applyFill="1" applyBorder="1" applyAlignment="1">
      <alignment vertical="top" wrapText="1"/>
    </xf>
    <xf numFmtId="0" fontId="4" fillId="0" borderId="11" xfId="1" applyFill="1" applyBorder="1" applyAlignment="1">
      <alignment vertical="top" wrapText="1"/>
    </xf>
    <xf numFmtId="0" fontId="10" fillId="0" borderId="12" xfId="2" applyFont="1" applyBorder="1" applyAlignment="1">
      <alignment horizontal="left" vertical="top" wrapText="1"/>
    </xf>
    <xf numFmtId="0" fontId="4" fillId="0" borderId="6" xfId="1" applyFill="1" applyBorder="1" applyAlignment="1">
      <alignment vertical="top" wrapText="1"/>
    </xf>
    <xf numFmtId="0" fontId="0" fillId="0" borderId="0" xfId="0" applyAlignment="1">
      <alignment vertical="top" wrapText="1"/>
    </xf>
    <xf numFmtId="0" fontId="12" fillId="5" borderId="15" xfId="0" applyFont="1" applyFill="1" applyBorder="1" applyAlignment="1">
      <alignment horizontal="center" vertical="center" wrapText="1"/>
    </xf>
    <xf numFmtId="0" fontId="12" fillId="5" borderId="16" xfId="0" applyFont="1" applyFill="1" applyBorder="1" applyAlignment="1">
      <alignment horizontal="center" vertical="center" wrapText="1"/>
    </xf>
    <xf numFmtId="0" fontId="12" fillId="5" borderId="17" xfId="0" applyFont="1" applyFill="1" applyBorder="1" applyAlignment="1">
      <alignment horizontal="center"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8" fillId="2" borderId="26" xfId="0" applyFont="1" applyFill="1" applyBorder="1" applyAlignment="1">
      <alignment horizontal="left" vertical="top" wrapText="1"/>
    </xf>
    <xf numFmtId="0" fontId="8" fillId="0" borderId="20" xfId="0" applyFont="1" applyBorder="1" applyAlignment="1">
      <alignment horizontal="center" vertical="top" wrapText="1"/>
    </xf>
    <xf numFmtId="0" fontId="9" fillId="0" borderId="20" xfId="0" applyFont="1" applyBorder="1" applyAlignment="1">
      <alignment horizontal="center" vertical="top" wrapText="1"/>
    </xf>
    <xf numFmtId="0" fontId="9" fillId="0" borderId="20" xfId="0" applyFont="1" applyBorder="1" applyAlignment="1">
      <alignment vertical="top" wrapText="1"/>
    </xf>
    <xf numFmtId="0" fontId="10" fillId="0" borderId="20" xfId="0" applyFont="1" applyBorder="1" applyAlignment="1">
      <alignment vertical="top"/>
    </xf>
    <xf numFmtId="0" fontId="9" fillId="0" borderId="22" xfId="0" applyFont="1" applyBorder="1" applyAlignment="1">
      <alignment vertical="top" wrapText="1"/>
    </xf>
    <xf numFmtId="0" fontId="10" fillId="0" borderId="20" xfId="0" applyFont="1" applyBorder="1" applyAlignment="1">
      <alignment vertical="top" wrapText="1"/>
    </xf>
    <xf numFmtId="0" fontId="9" fillId="0" borderId="21" xfId="0" applyFont="1" applyBorder="1" applyAlignment="1">
      <alignment vertical="top" wrapText="1"/>
    </xf>
    <xf numFmtId="0" fontId="8" fillId="2" borderId="27" xfId="0" applyFont="1" applyFill="1" applyBorder="1" applyAlignment="1">
      <alignment horizontal="left" vertical="top" wrapText="1"/>
    </xf>
    <xf numFmtId="0" fontId="8" fillId="2" borderId="20" xfId="0" applyFont="1" applyFill="1" applyBorder="1" applyAlignment="1">
      <alignment horizontal="center" vertical="top" wrapText="1"/>
    </xf>
    <xf numFmtId="0" fontId="9" fillId="8" borderId="20" xfId="0" applyFont="1" applyFill="1" applyBorder="1" applyAlignment="1">
      <alignment horizontal="center" vertical="top" wrapText="1"/>
    </xf>
    <xf numFmtId="0" fontId="8" fillId="0" borderId="20" xfId="0" applyFont="1" applyBorder="1" applyAlignment="1">
      <alignment horizontal="center" vertical="top"/>
    </xf>
    <xf numFmtId="0" fontId="8" fillId="8" borderId="26" xfId="0" applyFont="1" applyFill="1" applyBorder="1" applyAlignment="1">
      <alignment horizontal="left" vertical="top" wrapText="1"/>
    </xf>
    <xf numFmtId="0" fontId="20" fillId="0" borderId="0" xfId="0" applyFont="1" applyAlignment="1">
      <alignment wrapText="1"/>
    </xf>
    <xf numFmtId="0" fontId="8" fillId="8" borderId="27" xfId="0" applyFont="1" applyFill="1" applyBorder="1" applyAlignment="1">
      <alignment horizontal="left" vertical="top" wrapText="1"/>
    </xf>
    <xf numFmtId="0" fontId="8" fillId="8" borderId="29" xfId="0" applyFont="1" applyFill="1" applyBorder="1" applyAlignment="1">
      <alignment horizontal="left" vertical="top" wrapText="1"/>
    </xf>
    <xf numFmtId="0" fontId="8" fillId="9" borderId="26" xfId="0" applyFont="1" applyFill="1" applyBorder="1" applyAlignment="1">
      <alignment horizontal="left" vertical="top" wrapText="1"/>
    </xf>
    <xf numFmtId="0" fontId="8" fillId="9" borderId="27" xfId="0" applyFont="1" applyFill="1" applyBorder="1" applyAlignment="1">
      <alignment horizontal="left" vertical="top" wrapText="1"/>
    </xf>
    <xf numFmtId="0" fontId="9" fillId="10" borderId="20" xfId="0" applyFont="1" applyFill="1" applyBorder="1" applyAlignment="1">
      <alignment horizontal="center" vertical="top" wrapText="1"/>
    </xf>
    <xf numFmtId="0" fontId="8" fillId="11" borderId="26" xfId="0" applyFont="1" applyFill="1" applyBorder="1" applyAlignment="1">
      <alignment horizontal="left" vertical="top" wrapText="1"/>
    </xf>
    <xf numFmtId="0" fontId="8" fillId="9" borderId="29" xfId="0" applyFont="1" applyFill="1" applyBorder="1" applyAlignment="1">
      <alignment horizontal="left" vertical="top" wrapText="1"/>
    </xf>
    <xf numFmtId="0" fontId="8" fillId="11" borderId="27" xfId="0" applyFont="1" applyFill="1" applyBorder="1" applyAlignment="1">
      <alignment horizontal="left" vertical="top" wrapText="1"/>
    </xf>
    <xf numFmtId="0" fontId="8" fillId="12" borderId="26" xfId="0" applyFont="1" applyFill="1" applyBorder="1" applyAlignment="1">
      <alignment horizontal="left" vertical="top" wrapText="1"/>
    </xf>
    <xf numFmtId="0" fontId="8" fillId="12" borderId="27" xfId="0" applyFont="1" applyFill="1" applyBorder="1" applyAlignment="1">
      <alignment horizontal="left" vertical="top" wrapText="1"/>
    </xf>
    <xf numFmtId="0" fontId="8" fillId="12" borderId="29" xfId="0" applyFont="1" applyFill="1" applyBorder="1" applyAlignment="1">
      <alignment horizontal="left" vertical="top" wrapText="1"/>
    </xf>
    <xf numFmtId="0" fontId="8" fillId="11" borderId="29" xfId="0" applyFont="1" applyFill="1" applyBorder="1" applyAlignment="1">
      <alignment horizontal="left" vertical="top" wrapText="1"/>
    </xf>
    <xf numFmtId="0" fontId="8" fillId="2" borderId="24" xfId="0" applyFont="1" applyFill="1" applyBorder="1" applyAlignment="1">
      <alignment horizontal="center" vertical="top" wrapText="1"/>
    </xf>
    <xf numFmtId="0" fontId="9" fillId="10" borderId="24" xfId="0" applyFont="1" applyFill="1" applyBorder="1" applyAlignment="1">
      <alignment horizontal="center" vertical="top" wrapText="1"/>
    </xf>
    <xf numFmtId="0" fontId="9" fillId="0" borderId="24" xfId="0" applyFont="1" applyBorder="1" applyAlignment="1">
      <alignment vertical="top" wrapText="1"/>
    </xf>
    <xf numFmtId="0" fontId="10" fillId="0" borderId="24" xfId="0" applyFont="1" applyBorder="1" applyAlignment="1">
      <alignment vertical="top"/>
    </xf>
    <xf numFmtId="0" fontId="9" fillId="0" borderId="24" xfId="0" applyFont="1" applyBorder="1" applyAlignment="1">
      <alignment vertical="top"/>
    </xf>
    <xf numFmtId="0" fontId="9" fillId="0" borderId="25" xfId="0" applyFont="1" applyBorder="1" applyAlignment="1">
      <alignment vertical="top"/>
    </xf>
    <xf numFmtId="0" fontId="10" fillId="0" borderId="24" xfId="0" applyFont="1" applyBorder="1" applyAlignment="1">
      <alignment vertical="top" wrapText="1"/>
    </xf>
    <xf numFmtId="0" fontId="16" fillId="0" borderId="0" xfId="5" applyFont="1" applyAlignment="1">
      <alignment horizontal="left"/>
    </xf>
    <xf numFmtId="0" fontId="2" fillId="0" borderId="0" xfId="4" applyAlignment="1">
      <alignment horizontal="left"/>
    </xf>
    <xf numFmtId="0" fontId="17" fillId="0" borderId="0" xfId="5" applyFont="1" applyAlignment="1">
      <alignment wrapText="1"/>
    </xf>
    <xf numFmtId="0" fontId="17" fillId="0" borderId="0" xfId="5" applyFont="1" applyAlignment="1">
      <alignment vertical="center" wrapText="1"/>
    </xf>
    <xf numFmtId="0" fontId="16" fillId="0" borderId="0" xfId="5" applyFont="1" applyAlignment="1">
      <alignment vertical="center" wrapText="1"/>
    </xf>
    <xf numFmtId="0" fontId="16" fillId="0" borderId="0" xfId="5" applyFont="1" applyAlignment="1">
      <alignment horizontal="left" vertical="top"/>
    </xf>
    <xf numFmtId="0" fontId="16" fillId="0" borderId="0" xfId="5" applyFont="1" applyAlignment="1">
      <alignment vertical="top"/>
    </xf>
    <xf numFmtId="0" fontId="17" fillId="0" borderId="0" xfId="5" applyFont="1" applyAlignment="1">
      <alignment vertical="top" wrapText="1"/>
    </xf>
    <xf numFmtId="0" fontId="16" fillId="0" borderId="0" xfId="5" applyFont="1" applyAlignment="1">
      <alignment vertical="top" wrapText="1"/>
    </xf>
    <xf numFmtId="0" fontId="2" fillId="0" borderId="0" xfId="4" applyAlignment="1">
      <alignment vertical="top"/>
    </xf>
    <xf numFmtId="0" fontId="12" fillId="5" borderId="0" xfId="2" applyFont="1" applyFill="1" applyAlignment="1">
      <alignment horizontal="left" vertical="center"/>
    </xf>
    <xf numFmtId="0" fontId="0" fillId="13" borderId="0" xfId="0" applyFill="1"/>
    <xf numFmtId="0" fontId="21" fillId="5" borderId="0" xfId="2" applyFont="1" applyFill="1" applyAlignment="1">
      <alignment horizontal="left" vertical="center"/>
    </xf>
    <xf numFmtId="0" fontId="6" fillId="0" borderId="13" xfId="2" applyFont="1" applyBorder="1" applyAlignment="1">
      <alignment horizontal="left" vertical="top" wrapText="1"/>
    </xf>
    <xf numFmtId="0" fontId="6" fillId="0" borderId="14" xfId="2" applyFont="1" applyBorder="1" applyAlignment="1">
      <alignment horizontal="left" vertical="top" wrapText="1"/>
    </xf>
    <xf numFmtId="0" fontId="12" fillId="5" borderId="1" xfId="2" applyFont="1" applyFill="1" applyBorder="1" applyAlignment="1">
      <alignment horizontal="center" vertical="center" wrapText="1"/>
    </xf>
    <xf numFmtId="0" fontId="12" fillId="5" borderId="2" xfId="2" applyFont="1" applyFill="1" applyBorder="1" applyAlignment="1">
      <alignment horizontal="center" vertical="center" wrapText="1"/>
    </xf>
    <xf numFmtId="0" fontId="9" fillId="0" borderId="19" xfId="0" applyFont="1" applyBorder="1" applyAlignment="1">
      <alignment horizontal="left" vertical="top" wrapText="1"/>
    </xf>
    <xf numFmtId="0" fontId="9" fillId="0" borderId="28" xfId="0" applyFont="1" applyBorder="1" applyAlignment="1">
      <alignment horizontal="left" vertical="top" wrapText="1"/>
    </xf>
    <xf numFmtId="0" fontId="9" fillId="0" borderId="31" xfId="0" applyFont="1" applyBorder="1" applyAlignment="1">
      <alignment horizontal="left" vertical="top" wrapText="1"/>
    </xf>
    <xf numFmtId="0" fontId="8" fillId="7" borderId="26" xfId="0" applyFont="1" applyFill="1" applyBorder="1" applyAlignment="1">
      <alignment horizontal="left" vertical="top" wrapText="1"/>
    </xf>
    <xf numFmtId="0" fontId="8" fillId="7" borderId="27" xfId="0" applyFont="1" applyFill="1" applyBorder="1" applyAlignment="1">
      <alignment horizontal="left" vertical="top" wrapText="1"/>
    </xf>
    <xf numFmtId="0" fontId="8" fillId="7" borderId="30" xfId="0" applyFont="1" applyFill="1" applyBorder="1" applyAlignment="1">
      <alignment horizontal="left" vertical="top" wrapText="1"/>
    </xf>
    <xf numFmtId="0" fontId="1" fillId="7" borderId="23" xfId="0" applyFont="1" applyFill="1" applyBorder="1" applyAlignment="1">
      <alignment horizontal="center" vertical="center"/>
    </xf>
    <xf numFmtId="0" fontId="1" fillId="7" borderId="24" xfId="0" applyFont="1" applyFill="1" applyBorder="1" applyAlignment="1">
      <alignment horizontal="center" vertical="center"/>
    </xf>
    <xf numFmtId="0" fontId="1" fillId="6" borderId="18" xfId="0" applyFont="1" applyFill="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0" xfId="0" applyBorder="1" applyAlignment="1">
      <alignment horizontal="center" vertical="center"/>
    </xf>
    <xf numFmtId="0" fontId="22" fillId="0" borderId="0" xfId="0" applyFont="1"/>
  </cellXfs>
  <cellStyles count="6">
    <cellStyle name="Hyperlink" xfId="1" builtinId="8"/>
    <cellStyle name="Hyperlink 2" xfId="3" xr:uid="{B244DB48-A280-4DBC-8F5F-3448BA7FC567}"/>
    <cellStyle name="Normal" xfId="0" builtinId="0"/>
    <cellStyle name="Normal 2" xfId="2" xr:uid="{C2C42AC3-E4B3-4D34-AC2F-1B3C8304CBA1}"/>
    <cellStyle name="Normal 2 2" xfId="4" xr:uid="{317973FA-7A5A-40D2-9C27-468FF4B6DA26}"/>
    <cellStyle name="Normal 5" xfId="5" xr:uid="{B8F3562B-890C-4B7A-B6D6-ABE0AC623853}"/>
  </cellStyles>
  <dxfs count="7">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0" tint="-0.34998626667073579"/>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6"/>
      <tableStyleElement type="headerRow" dxfId="5"/>
    </tableStyle>
  </tableStyles>
  <colors>
    <mruColors>
      <color rgb="FFE34443"/>
      <color rgb="FFA4181B"/>
      <color rgb="FFEE8E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F9872-CAC5-4B48-A4F9-C6FB8B4EE4C7}">
  <sheetPr>
    <tabColor rgb="FFEE5859"/>
  </sheetPr>
  <dimension ref="A1:B24"/>
  <sheetViews>
    <sheetView zoomScale="90" zoomScaleNormal="90" workbookViewId="0">
      <pane ySplit="1" topLeftCell="A2" activePane="bottomLeft" state="frozen"/>
      <selection pane="bottomLeft" activeCell="E14" sqref="E14"/>
    </sheetView>
  </sheetViews>
  <sheetFormatPr defaultColWidth="8.5703125" defaultRowHeight="15" x14ac:dyDescent="0.25"/>
  <cols>
    <col min="1" max="1" width="34.5703125" style="10" customWidth="1"/>
    <col min="2" max="2" width="154.5703125" style="10" customWidth="1"/>
    <col min="3" max="16384" width="8.5703125" style="2"/>
  </cols>
  <sheetData>
    <row r="1" spans="1:2" ht="34.700000000000003" customHeight="1" x14ac:dyDescent="0.25">
      <c r="A1" s="94" t="s">
        <v>901</v>
      </c>
      <c r="B1" s="95"/>
    </row>
    <row r="2" spans="1:2" ht="17.25" thickBot="1" x14ac:dyDescent="0.3">
      <c r="A2" s="3" t="s">
        <v>0</v>
      </c>
      <c r="B2" s="4" t="s">
        <v>1</v>
      </c>
    </row>
    <row r="3" spans="1:2" ht="194.45" customHeight="1" thickBot="1" x14ac:dyDescent="0.3">
      <c r="A3" s="11" t="s">
        <v>13</v>
      </c>
      <c r="B3" s="32" t="s">
        <v>4392</v>
      </c>
    </row>
    <row r="4" spans="1:2" ht="169.5" customHeight="1" thickBot="1" x14ac:dyDescent="0.3">
      <c r="A4" s="6" t="s">
        <v>16</v>
      </c>
      <c r="B4" s="33" t="s">
        <v>7512</v>
      </c>
    </row>
    <row r="5" spans="1:2" ht="15.75" thickBot="1" x14ac:dyDescent="0.3">
      <c r="A5" s="11" t="s">
        <v>14</v>
      </c>
      <c r="B5" s="32" t="s">
        <v>61</v>
      </c>
    </row>
    <row r="6" spans="1:2" ht="293.45" customHeight="1" thickBot="1" x14ac:dyDescent="0.3">
      <c r="A6" s="6" t="s">
        <v>12</v>
      </c>
      <c r="B6" s="33" t="s">
        <v>7514</v>
      </c>
    </row>
    <row r="7" spans="1:2" ht="204.75" thickBot="1" x14ac:dyDescent="0.3">
      <c r="A7" s="11" t="s">
        <v>15</v>
      </c>
      <c r="B7" s="32" t="s">
        <v>7513</v>
      </c>
    </row>
    <row r="8" spans="1:2" ht="26.25" thickBot="1" x14ac:dyDescent="0.3">
      <c r="A8" s="6" t="s">
        <v>17</v>
      </c>
      <c r="B8" s="34" t="s">
        <v>7515</v>
      </c>
    </row>
    <row r="9" spans="1:2" ht="15.75" thickBot="1" x14ac:dyDescent="0.3">
      <c r="A9" s="7" t="s">
        <v>18</v>
      </c>
      <c r="B9" s="8" t="s">
        <v>62</v>
      </c>
    </row>
    <row r="10" spans="1:2" ht="356.1" customHeight="1" thickBot="1" x14ac:dyDescent="0.3">
      <c r="A10" s="6" t="s">
        <v>11</v>
      </c>
      <c r="B10" s="34" t="s">
        <v>7516</v>
      </c>
    </row>
    <row r="11" spans="1:2" ht="39" thickBot="1" x14ac:dyDescent="0.3">
      <c r="A11" s="5" t="s">
        <v>6</v>
      </c>
      <c r="B11" s="35" t="s">
        <v>7517</v>
      </c>
    </row>
    <row r="12" spans="1:2" ht="17.25" thickBot="1" x14ac:dyDescent="0.3">
      <c r="A12" s="3" t="s">
        <v>2</v>
      </c>
      <c r="B12" s="9" t="s">
        <v>1</v>
      </c>
    </row>
    <row r="13" spans="1:2" ht="15.75" thickBot="1" x14ac:dyDescent="0.3">
      <c r="A13" s="14" t="s">
        <v>47</v>
      </c>
      <c r="B13" s="13" t="s">
        <v>49</v>
      </c>
    </row>
    <row r="14" spans="1:2" ht="15.75" thickBot="1" x14ac:dyDescent="0.3">
      <c r="A14" s="28" t="s">
        <v>48</v>
      </c>
      <c r="B14" s="16" t="s">
        <v>50</v>
      </c>
    </row>
    <row r="15" spans="1:2" ht="15.75" thickBot="1" x14ac:dyDescent="0.3">
      <c r="A15" s="14" t="s">
        <v>53</v>
      </c>
      <c r="B15" s="13" t="s">
        <v>51</v>
      </c>
    </row>
    <row r="16" spans="1:2" ht="15.75" thickBot="1" x14ac:dyDescent="0.3">
      <c r="A16" s="28" t="s">
        <v>54</v>
      </c>
      <c r="B16" s="16" t="s">
        <v>52</v>
      </c>
    </row>
    <row r="17" spans="1:2" ht="15.75" thickBot="1" x14ac:dyDescent="0.3">
      <c r="A17" s="14" t="s">
        <v>34</v>
      </c>
      <c r="B17" s="13" t="s">
        <v>35</v>
      </c>
    </row>
    <row r="18" spans="1:2" ht="15.75" thickBot="1" x14ac:dyDescent="0.3">
      <c r="A18" s="15" t="s">
        <v>7</v>
      </c>
      <c r="B18" s="16" t="s">
        <v>8</v>
      </c>
    </row>
    <row r="19" spans="1:2" ht="26.25" thickBot="1" x14ac:dyDescent="0.3">
      <c r="A19" s="14" t="s">
        <v>19</v>
      </c>
      <c r="B19" s="13" t="s">
        <v>20</v>
      </c>
    </row>
    <row r="20" spans="1:2" ht="15.75" thickBot="1" x14ac:dyDescent="0.3">
      <c r="A20" s="28" t="s">
        <v>21</v>
      </c>
      <c r="B20" s="16" t="s">
        <v>22</v>
      </c>
    </row>
    <row r="21" spans="1:2" ht="15.75" thickBot="1" x14ac:dyDescent="0.3">
      <c r="A21" s="14" t="s">
        <v>9</v>
      </c>
      <c r="B21" s="13" t="s">
        <v>10</v>
      </c>
    </row>
    <row r="22" spans="1:2" ht="15.75" thickBot="1" x14ac:dyDescent="0.3">
      <c r="A22" s="38" t="s">
        <v>55</v>
      </c>
      <c r="B22" s="16" t="s">
        <v>57</v>
      </c>
    </row>
    <row r="23" spans="1:2" ht="15.75" thickBot="1" x14ac:dyDescent="0.3">
      <c r="A23" s="14" t="s">
        <v>56</v>
      </c>
      <c r="B23" s="13" t="s">
        <v>58</v>
      </c>
    </row>
    <row r="24" spans="1:2" s="10" customFormat="1" ht="15.75" thickBot="1" x14ac:dyDescent="0.3">
      <c r="A24" s="36" t="s">
        <v>59</v>
      </c>
      <c r="B24" s="37" t="s">
        <v>60</v>
      </c>
    </row>
  </sheetData>
  <mergeCells count="1">
    <mergeCell ref="A1:B1"/>
  </mergeCells>
  <hyperlinks>
    <hyperlink ref="A22" location="Clean_data_main_level!A1" display="Clean_data_main_level" xr:uid="{09E55363-C1B1-4360-976A-158DA04BB8A9}"/>
    <hyperlink ref="A24" location="Clean_data_nonBNF!A1" display="Clean_data_nonBNF" xr:uid="{9FB5D1EC-D102-4A80-A0D5-0FFE8FCEB381}"/>
    <hyperlink ref="A18" location="R_file_directory!A1" display="R_file_directory" xr:uid="{44F6FDCA-2D25-4FCB-AE8C-DF777C6A1BCE}"/>
    <hyperlink ref="A21" location="Sampling!A1" display="Sampling!A1" xr:uid="{9F83D33A-6A96-4B94-B78D-48E14E51EB5C}"/>
    <hyperlink ref="A19" location="Deviations_from_ToR!A1" display="Deviations_from_ToR" xr:uid="{A25A0B1F-F8B4-4A3E-8B0F-84A43D1365FD}"/>
    <hyperlink ref="A20" location="Extended_DAP!A1" display="Extended_DAP" xr:uid="{711BF611-B7D4-4B8F-A933-734F2D163016}"/>
    <hyperlink ref="A13" location="Table_of_contents_BNF!A1" display="Table_of_contents_BNF" xr:uid="{B6DFD198-1EB4-4A94-8BE4-2434D799775C}"/>
    <hyperlink ref="A14" location="Data_Analysis_BNF!A1" display="Data_Analysis_BNF" xr:uid="{9995F373-0BCE-449B-9C96-516B3FD637A6}"/>
    <hyperlink ref="A17" location="Analysis_variables!A1" display="Analysis_variables" xr:uid="{C538096D-C9F5-4828-956A-5251024BD1BA}"/>
    <hyperlink ref="A15" location="Table_of_contents_nonBNF!A1" display="Table_of_contents_nonBNF" xr:uid="{ABFCC052-CB9E-49FF-B5AC-FEB4C1E66E74}"/>
    <hyperlink ref="A16" location="Data_Analysis_nonBNF!A1" display="Data_Analysis_nonBNF" xr:uid="{B940D1F4-3F57-49F7-A919-D419A47892C6}"/>
    <hyperlink ref="A23" location="Clean_data_BNF!A1" display="Clean_data_BNF" xr:uid="{0431491C-CE6C-47B7-9867-75BE76B6651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24495-58BF-44AA-9BEC-1E38B1356FEA}">
  <sheetPr>
    <tabColor theme="0" tint="-0.249977111117893"/>
  </sheetPr>
  <dimension ref="A1:C605"/>
  <sheetViews>
    <sheetView tabSelected="1" workbookViewId="0">
      <pane ySplit="1" topLeftCell="A2" activePane="bottomLeft" state="frozen"/>
      <selection activeCell="A367" sqref="A367"/>
      <selection pane="bottomLeft" activeCell="C14" sqref="C14"/>
    </sheetView>
  </sheetViews>
  <sheetFormatPr defaultColWidth="11.42578125" defaultRowHeight="15" x14ac:dyDescent="0.25"/>
  <cols>
    <col min="1" max="1" width="13.7109375" bestFit="1" customWidth="1"/>
    <col min="2" max="2" width="98.85546875" bestFit="1" customWidth="1"/>
    <col min="3" max="3" width="92.28515625" customWidth="1"/>
  </cols>
  <sheetData>
    <row r="1" spans="1:3" ht="15.75" x14ac:dyDescent="0.25">
      <c r="A1" s="19" t="s">
        <v>6515</v>
      </c>
      <c r="B1" s="19" t="s">
        <v>4393</v>
      </c>
      <c r="C1" s="19" t="s">
        <v>6516</v>
      </c>
    </row>
    <row r="2" spans="1:3" x14ac:dyDescent="0.25">
      <c r="A2" t="s">
        <v>137</v>
      </c>
      <c r="B2" s="110" t="str">
        <f>HYPERLINK("#'Data_Analysis_BNF'!A1", "accommodation_ownership_overall_D_25_by_b_hh_type")</f>
        <v>accommodation_ownership_overall_D_25_by_b_hh_type</v>
      </c>
      <c r="C2" t="s">
        <v>6528</v>
      </c>
    </row>
    <row r="3" spans="1:3" x14ac:dyDescent="0.25">
      <c r="A3" t="s">
        <v>137</v>
      </c>
      <c r="B3" s="110" t="str">
        <f>HYPERLINK("#'Data_Analysis_BNF'!A7", "accommodation_ownership_overall_D_27_by_b_refugee")</f>
        <v>accommodation_ownership_overall_D_27_by_b_refugee</v>
      </c>
      <c r="C3" t="s">
        <v>6529</v>
      </c>
    </row>
    <row r="4" spans="1:3" x14ac:dyDescent="0.25">
      <c r="A4" t="s">
        <v>137</v>
      </c>
      <c r="B4" s="110" t="str">
        <f>HYPERLINK("#'Data_Analysis_BNF'!A13", "accommodation_ownership_rural_urban_26")</f>
        <v>accommodation_ownership_rural_urban_26</v>
      </c>
      <c r="C4" t="s">
        <v>6530</v>
      </c>
    </row>
    <row r="5" spans="1:3" x14ac:dyDescent="0.25">
      <c r="A5" t="s">
        <v>6517</v>
      </c>
      <c r="B5" s="110" t="str">
        <f>HYPERLINK("#'Data_Analysis_BNF'!A19", "amount_evrf_dec_overall_D_255_by_b_hh_type")</f>
        <v>amount_evrf_dec_overall_D_255_by_b_hh_type</v>
      </c>
      <c r="C5" t="s">
        <v>6531</v>
      </c>
    </row>
    <row r="6" spans="1:3" x14ac:dyDescent="0.25">
      <c r="A6" t="s">
        <v>6517</v>
      </c>
      <c r="B6" s="110" t="str">
        <f>HYPERLINK("#'Data_Analysis_BNF'!A24", "amount_evrf_dec_range_overall_D_257_by_b_hh_type")</f>
        <v>amount_evrf_dec_range_overall_D_257_by_b_hh_type</v>
      </c>
      <c r="C6" t="s">
        <v>6532</v>
      </c>
    </row>
    <row r="7" spans="1:3" x14ac:dyDescent="0.25">
      <c r="A7" t="s">
        <v>6517</v>
      </c>
      <c r="B7" s="110" t="str">
        <f>HYPERLINK("#'Data_Analysis_BNF'!A30", "amount_evrf_dec_range_overall_D_259_by_b_hh_size_range")</f>
        <v>amount_evrf_dec_range_overall_D_259_by_b_hh_size_range</v>
      </c>
      <c r="C7" t="s">
        <v>6533</v>
      </c>
    </row>
    <row r="8" spans="1:3" x14ac:dyDescent="0.25">
      <c r="A8" t="s">
        <v>6517</v>
      </c>
      <c r="B8" s="110" t="str">
        <f>HYPERLINK("#'Data_Analysis_BNF'!A37", "amount_evrf_dec_range_overall_D_260_by_b_hh_composition")</f>
        <v>amount_evrf_dec_range_overall_D_260_by_b_hh_composition</v>
      </c>
      <c r="C8" t="s">
        <v>6534</v>
      </c>
    </row>
    <row r="9" spans="1:3" x14ac:dyDescent="0.25">
      <c r="A9" t="s">
        <v>6517</v>
      </c>
      <c r="B9" s="110" t="str">
        <f>HYPERLINK("#'Data_Analysis_BNF'!A48", "amount_evrf_dec_range_overall_D_261_by_b_hh_with_pwd")</f>
        <v>amount_evrf_dec_range_overall_D_261_by_b_hh_with_pwd</v>
      </c>
      <c r="C9" t="s">
        <v>6535</v>
      </c>
    </row>
    <row r="10" spans="1:3" x14ac:dyDescent="0.25">
      <c r="A10" t="s">
        <v>6517</v>
      </c>
      <c r="B10" s="110" t="str">
        <f>HYPERLINK("#'Data_Analysis_BNF'!A54", "amount_evrf_dec_range_overall_D_262_by_accommodation_ownership")</f>
        <v>amount_evrf_dec_range_overall_D_262_by_accommodation_ownership</v>
      </c>
      <c r="C10" t="s">
        <v>6536</v>
      </c>
    </row>
    <row r="11" spans="1:3" x14ac:dyDescent="0.25">
      <c r="A11" t="s">
        <v>6517</v>
      </c>
      <c r="B11" s="110" t="str">
        <f>HYPERLINK("#'Data_Analysis_BNF'!A63", "amount_evrf_dec_range_overall_D_263_by_b_aver_monthly_income_range")</f>
        <v>amount_evrf_dec_range_overall_D_263_by_b_aver_monthly_income_range</v>
      </c>
      <c r="C11" t="s">
        <v>6537</v>
      </c>
    </row>
    <row r="12" spans="1:3" x14ac:dyDescent="0.25">
      <c r="A12" t="s">
        <v>6517</v>
      </c>
      <c r="B12" s="110" t="str">
        <f>HYPERLINK("#'Data_Analysis_BNF'!A74", "amount_evrf_dec_range_overall_D_264_by_b_heat_system_primary")</f>
        <v>amount_evrf_dec_range_overall_D_264_by_b_heat_system_primary</v>
      </c>
      <c r="C12" t="s">
        <v>6538</v>
      </c>
    </row>
    <row r="13" spans="1:3" x14ac:dyDescent="0.25">
      <c r="A13" t="s">
        <v>6517</v>
      </c>
      <c r="B13" s="110" t="str">
        <f>HYPERLINK("#'Data_Analysis_BNF'!A83", "amount_evrf_dec_range_overall_D_265_by_b_hh_heating_systems")</f>
        <v>amount_evrf_dec_range_overall_D_265_by_b_hh_heating_systems</v>
      </c>
      <c r="C13" t="s">
        <v>6539</v>
      </c>
    </row>
    <row r="14" spans="1:3" x14ac:dyDescent="0.25">
      <c r="A14" t="s">
        <v>6517</v>
      </c>
      <c r="B14" s="110" t="str">
        <f>HYPERLINK("#'Data_Analysis_BNF'!A93", "amount_evrf_dec_range_overall_D_266_by_b_perc_expenditure_spent_on_energy_dec")</f>
        <v>amount_evrf_dec_range_overall_D_266_by_b_perc_expenditure_spent_on_energy_dec</v>
      </c>
      <c r="C14" t="s">
        <v>6540</v>
      </c>
    </row>
    <row r="15" spans="1:3" x14ac:dyDescent="0.25">
      <c r="A15" t="s">
        <v>6517</v>
      </c>
      <c r="B15" s="110" t="str">
        <f>HYPERLINK("#'Data_Analysis_BNF'!A103", "amount_evrf_dec_range_overall_D_267_by_b_perc_income_spent_on_energy_dec")</f>
        <v>amount_evrf_dec_range_overall_D_267_by_b_perc_income_spent_on_energy_dec</v>
      </c>
      <c r="C15" t="s">
        <v>6541</v>
      </c>
    </row>
    <row r="16" spans="1:3" x14ac:dyDescent="0.25">
      <c r="A16" t="s">
        <v>6517</v>
      </c>
      <c r="B16" s="110" t="str">
        <f>HYPERLINK("#'Data_Analysis_BNF'!A113", "amount_evrf_dec_range_rural_urban_258")</f>
        <v>amount_evrf_dec_range_rural_urban_258</v>
      </c>
      <c r="C16" t="s">
        <v>6542</v>
      </c>
    </row>
    <row r="17" spans="1:3" x14ac:dyDescent="0.25">
      <c r="A17" t="s">
        <v>6517</v>
      </c>
      <c r="B17" s="110" t="str">
        <f>HYPERLINK("#'Data_Analysis_BNF'!A119", "amount_evrf_dec_rural_urban_256")</f>
        <v>amount_evrf_dec_rural_urban_256</v>
      </c>
      <c r="C17" t="s">
        <v>6543</v>
      </c>
    </row>
    <row r="18" spans="1:3" x14ac:dyDescent="0.25">
      <c r="A18" t="s">
        <v>6518</v>
      </c>
      <c r="B18" s="110" t="str">
        <f>HYPERLINK("#'Data_Analysis_BNF'!A125", "amount_evrf_nov_overall_D_234_by_b_hh_type")</f>
        <v>amount_evrf_nov_overall_D_234_by_b_hh_type</v>
      </c>
      <c r="C18" t="s">
        <v>6544</v>
      </c>
    </row>
    <row r="19" spans="1:3" x14ac:dyDescent="0.25">
      <c r="A19" t="s">
        <v>6518</v>
      </c>
      <c r="B19" s="110" t="str">
        <f>HYPERLINK("#'Data_Analysis_BNF'!A130", "amount_evrf_nov_range_overall_D_236_by_b_hh_type")</f>
        <v>amount_evrf_nov_range_overall_D_236_by_b_hh_type</v>
      </c>
      <c r="C19" t="s">
        <v>6545</v>
      </c>
    </row>
    <row r="20" spans="1:3" x14ac:dyDescent="0.25">
      <c r="A20" t="s">
        <v>6518</v>
      </c>
      <c r="B20" s="110" t="str">
        <f>HYPERLINK("#'Data_Analysis_BNF'!A136", "amount_evrf_nov_range_overall_D_238_by_b_hh_size_range")</f>
        <v>amount_evrf_nov_range_overall_D_238_by_b_hh_size_range</v>
      </c>
      <c r="C20" t="s">
        <v>6546</v>
      </c>
    </row>
    <row r="21" spans="1:3" x14ac:dyDescent="0.25">
      <c r="A21" t="s">
        <v>6518</v>
      </c>
      <c r="B21" s="110" t="str">
        <f>HYPERLINK("#'Data_Analysis_BNF'!A143", "amount_evrf_nov_range_overall_D_239_by_b_hh_composition")</f>
        <v>amount_evrf_nov_range_overall_D_239_by_b_hh_composition</v>
      </c>
      <c r="C21" t="s">
        <v>6547</v>
      </c>
    </row>
    <row r="22" spans="1:3" x14ac:dyDescent="0.25">
      <c r="A22" t="s">
        <v>6518</v>
      </c>
      <c r="B22" s="110" t="str">
        <f>HYPERLINK("#'Data_Analysis_BNF'!A154", "amount_evrf_nov_range_overall_D_240_by_b_hh_with_pwd")</f>
        <v>amount_evrf_nov_range_overall_D_240_by_b_hh_with_pwd</v>
      </c>
      <c r="C22" t="s">
        <v>6548</v>
      </c>
    </row>
    <row r="23" spans="1:3" x14ac:dyDescent="0.25">
      <c r="A23" t="s">
        <v>6518</v>
      </c>
      <c r="B23" s="110" t="str">
        <f>HYPERLINK("#'Data_Analysis_BNF'!A160", "amount_evrf_nov_range_overall_D_241_by_accommodation_ownership")</f>
        <v>amount_evrf_nov_range_overall_D_241_by_accommodation_ownership</v>
      </c>
      <c r="C23" t="s">
        <v>6549</v>
      </c>
    </row>
    <row r="24" spans="1:3" x14ac:dyDescent="0.25">
      <c r="A24" t="s">
        <v>6518</v>
      </c>
      <c r="B24" s="110" t="str">
        <f>HYPERLINK("#'Data_Analysis_BNF'!A169", "amount_evrf_nov_range_overall_D_242_by_b_aver_monthly_income_range")</f>
        <v>amount_evrf_nov_range_overall_D_242_by_b_aver_monthly_income_range</v>
      </c>
      <c r="C24" t="s">
        <v>6550</v>
      </c>
    </row>
    <row r="25" spans="1:3" x14ac:dyDescent="0.25">
      <c r="A25" t="s">
        <v>6518</v>
      </c>
      <c r="B25" s="110" t="str">
        <f>HYPERLINK("#'Data_Analysis_BNF'!A180", "amount_evrf_nov_range_overall_D_243_by_b_heat_system_primary")</f>
        <v>amount_evrf_nov_range_overall_D_243_by_b_heat_system_primary</v>
      </c>
      <c r="C25" t="s">
        <v>6551</v>
      </c>
    </row>
    <row r="26" spans="1:3" x14ac:dyDescent="0.25">
      <c r="A26" t="s">
        <v>6518</v>
      </c>
      <c r="B26" s="110" t="str">
        <f>HYPERLINK("#'Data_Analysis_BNF'!A189", "amount_evrf_nov_range_overall_D_244_by_b_hh_heating_systems")</f>
        <v>amount_evrf_nov_range_overall_D_244_by_b_hh_heating_systems</v>
      </c>
      <c r="C26" t="s">
        <v>6552</v>
      </c>
    </row>
    <row r="27" spans="1:3" x14ac:dyDescent="0.25">
      <c r="A27" t="s">
        <v>6518</v>
      </c>
      <c r="B27" s="110" t="str">
        <f>HYPERLINK("#'Data_Analysis_BNF'!A199", "amount_evrf_nov_range_overall_D_245_by_b_perc_expenditure_spent_on_energy_nov")</f>
        <v>amount_evrf_nov_range_overall_D_245_by_b_perc_expenditure_spent_on_energy_nov</v>
      </c>
      <c r="C27" t="s">
        <v>6553</v>
      </c>
    </row>
    <row r="28" spans="1:3" x14ac:dyDescent="0.25">
      <c r="A28" t="s">
        <v>6518</v>
      </c>
      <c r="B28" s="110" t="str">
        <f>HYPERLINK("#'Data_Analysis_BNF'!A208", "amount_evrf_nov_range_overall_D_246_by_b_perc_income_spent_on_energy_nov")</f>
        <v>amount_evrf_nov_range_overall_D_246_by_b_perc_income_spent_on_energy_nov</v>
      </c>
      <c r="C28" t="s">
        <v>6554</v>
      </c>
    </row>
    <row r="29" spans="1:3" x14ac:dyDescent="0.25">
      <c r="A29" t="s">
        <v>6518</v>
      </c>
      <c r="B29" s="110" t="str">
        <f>HYPERLINK("#'Data_Analysis_BNF'!A218", "amount_evrf_nov_range_rural_urban_237")</f>
        <v>amount_evrf_nov_range_rural_urban_237</v>
      </c>
      <c r="C29" t="s">
        <v>6555</v>
      </c>
    </row>
    <row r="30" spans="1:3" x14ac:dyDescent="0.25">
      <c r="A30" t="s">
        <v>6518</v>
      </c>
      <c r="B30" s="110" t="str">
        <f>HYPERLINK("#'Data_Analysis_BNF'!A224", "amount_evrf_nov_rural_urban_235")</f>
        <v>amount_evrf_nov_rural_urban_235</v>
      </c>
      <c r="C30" t="s">
        <v>6556</v>
      </c>
    </row>
    <row r="31" spans="1:3" x14ac:dyDescent="0.25">
      <c r="A31" t="s">
        <v>6519</v>
      </c>
      <c r="B31" s="110" t="str">
        <f>HYPERLINK("#'Data_Analysis_BNF'!A230", "amount_satisfaction_overall_D_588_by_b_hh_type")</f>
        <v>amount_satisfaction_overall_D_588_by_b_hh_type</v>
      </c>
      <c r="C31" t="s">
        <v>6557</v>
      </c>
    </row>
    <row r="32" spans="1:3" x14ac:dyDescent="0.25">
      <c r="A32" t="s">
        <v>6519</v>
      </c>
      <c r="B32" s="110" t="str">
        <f>HYPERLINK("#'Data_Analysis_BNF'!A236", "amount_satisfaction_overall_D_590_by_b_hh_size_range")</f>
        <v>amount_satisfaction_overall_D_590_by_b_hh_size_range</v>
      </c>
      <c r="C32" t="s">
        <v>6558</v>
      </c>
    </row>
    <row r="33" spans="1:3" x14ac:dyDescent="0.25">
      <c r="A33" t="s">
        <v>6519</v>
      </c>
      <c r="B33" s="110" t="str">
        <f>HYPERLINK("#'Data_Analysis_BNF'!A243", "amount_satisfaction_overall_D_591_by_b_hh_composition")</f>
        <v>amount_satisfaction_overall_D_591_by_b_hh_composition</v>
      </c>
      <c r="C33" t="s">
        <v>6559</v>
      </c>
    </row>
    <row r="34" spans="1:3" x14ac:dyDescent="0.25">
      <c r="A34" t="s">
        <v>6519</v>
      </c>
      <c r="B34" s="110" t="str">
        <f>HYPERLINK("#'Data_Analysis_BNF'!A254", "amount_satisfaction_overall_D_592_by_b_hh_with_pwd")</f>
        <v>amount_satisfaction_overall_D_592_by_b_hh_with_pwd</v>
      </c>
      <c r="C34" t="s">
        <v>6560</v>
      </c>
    </row>
    <row r="35" spans="1:3" x14ac:dyDescent="0.25">
      <c r="A35" t="s">
        <v>6519</v>
      </c>
      <c r="B35" s="110" t="str">
        <f>HYPERLINK("#'Data_Analysis_BNF'!A260", "amount_satisfaction_overall_D_593_by_b_aver_monthly_income_range")</f>
        <v>amount_satisfaction_overall_D_593_by_b_aver_monthly_income_range</v>
      </c>
      <c r="C35" t="s">
        <v>6561</v>
      </c>
    </row>
    <row r="36" spans="1:3" x14ac:dyDescent="0.25">
      <c r="A36" t="s">
        <v>6519</v>
      </c>
      <c r="B36" s="110" t="str">
        <f>HYPERLINK("#'Data_Analysis_BNF'!A271", "amount_satisfaction_overall_D_594_by_b_perc_expenditure_spent_on_energy_nov")</f>
        <v>amount_satisfaction_overall_D_594_by_b_perc_expenditure_spent_on_energy_nov</v>
      </c>
      <c r="C36" t="s">
        <v>6562</v>
      </c>
    </row>
    <row r="37" spans="1:3" x14ac:dyDescent="0.25">
      <c r="A37" t="s">
        <v>6519</v>
      </c>
      <c r="B37" s="110" t="str">
        <f>HYPERLINK("#'Data_Analysis_BNF'!A280", "amount_satisfaction_overall_D_595_by_b_perc_expenditure_spent_on_energy_dec")</f>
        <v>amount_satisfaction_overall_D_595_by_b_perc_expenditure_spent_on_energy_dec</v>
      </c>
      <c r="C37" t="s">
        <v>6563</v>
      </c>
    </row>
    <row r="38" spans="1:3" x14ac:dyDescent="0.25">
      <c r="A38" t="s">
        <v>6519</v>
      </c>
      <c r="B38" s="110" t="str">
        <f>HYPERLINK("#'Data_Analysis_BNF'!A290", "amount_satisfaction_overall_D_596_by_b_perc_income_spent_on_energy_nov")</f>
        <v>amount_satisfaction_overall_D_596_by_b_perc_income_spent_on_energy_nov</v>
      </c>
      <c r="C38" t="s">
        <v>6564</v>
      </c>
    </row>
    <row r="39" spans="1:3" x14ac:dyDescent="0.25">
      <c r="A39" t="s">
        <v>6519</v>
      </c>
      <c r="B39" s="110" t="str">
        <f>HYPERLINK("#'Data_Analysis_BNF'!A300", "amount_satisfaction_overall_D_597_by_b_perc_income_spent_on_energy_dec")</f>
        <v>amount_satisfaction_overall_D_597_by_b_perc_income_spent_on_energy_dec</v>
      </c>
      <c r="C39" t="s">
        <v>6565</v>
      </c>
    </row>
    <row r="40" spans="1:3" x14ac:dyDescent="0.25">
      <c r="A40" t="s">
        <v>6519</v>
      </c>
      <c r="B40" s="110" t="str">
        <f>HYPERLINK("#'Data_Analysis_BNF'!A310", "amount_satisfaction_overall_D_598_by_amount_evrf_nov_range")</f>
        <v>amount_satisfaction_overall_D_598_by_amount_evrf_nov_range</v>
      </c>
      <c r="C40" t="s">
        <v>6566</v>
      </c>
    </row>
    <row r="41" spans="1:3" x14ac:dyDescent="0.25">
      <c r="A41" t="s">
        <v>6519</v>
      </c>
      <c r="B41" s="110" t="str">
        <f>HYPERLINK("#'Data_Analysis_BNF'!A318", "amount_satisfaction_overall_D_599_by_amount_evrf_dec_range")</f>
        <v>amount_satisfaction_overall_D_599_by_amount_evrf_dec_range</v>
      </c>
      <c r="C41" t="s">
        <v>6567</v>
      </c>
    </row>
    <row r="42" spans="1:3" x14ac:dyDescent="0.25">
      <c r="A42" t="s">
        <v>6519</v>
      </c>
      <c r="B42" s="110" t="str">
        <f>HYPERLINK("#'Data_Analysis_BNF'!A326", "amount_satisfaction_rural_urban_589")</f>
        <v>amount_satisfaction_rural_urban_589</v>
      </c>
      <c r="C42" t="s">
        <v>6568</v>
      </c>
    </row>
    <row r="43" spans="1:3" x14ac:dyDescent="0.25">
      <c r="A43" t="s">
        <v>137</v>
      </c>
      <c r="B43" s="110" t="str">
        <f>HYPERLINK("#'Data_Analysis_BNF'!A332", "b_accommodation_type_overall_D_23_by_b_hh_type")</f>
        <v>b_accommodation_type_overall_D_23_by_b_hh_type</v>
      </c>
      <c r="C43" t="s">
        <v>6569</v>
      </c>
    </row>
    <row r="44" spans="1:3" x14ac:dyDescent="0.25">
      <c r="A44" t="s">
        <v>137</v>
      </c>
      <c r="B44" s="110" t="str">
        <f>HYPERLINK("#'Data_Analysis_BNF'!A338", "b_accommodation_type_rural_urban_24")</f>
        <v>b_accommodation_type_rural_urban_24</v>
      </c>
      <c r="C44" t="s">
        <v>6570</v>
      </c>
    </row>
    <row r="45" spans="1:3" x14ac:dyDescent="0.25">
      <c r="A45" t="s">
        <v>6519</v>
      </c>
      <c r="B45" s="110" t="str">
        <f>HYPERLINK("#'Data_Analysis_BNF'!A344", "b_add_assistance_overall_D_600_by_b_hh_type")</f>
        <v>b_add_assistance_overall_D_600_by_b_hh_type</v>
      </c>
      <c r="C45" t="s">
        <v>6571</v>
      </c>
    </row>
    <row r="46" spans="1:3" x14ac:dyDescent="0.25">
      <c r="A46" t="s">
        <v>6519</v>
      </c>
      <c r="B46" s="110" t="str">
        <f>HYPERLINK("#'Data_Analysis_BNF'!A350", "b_add_assistance_overall_D_602_by_b_hh_composition")</f>
        <v>b_add_assistance_overall_D_602_by_b_hh_composition</v>
      </c>
      <c r="C46" t="s">
        <v>6572</v>
      </c>
    </row>
    <row r="47" spans="1:3" x14ac:dyDescent="0.25">
      <c r="A47" t="s">
        <v>6519</v>
      </c>
      <c r="B47" s="110" t="str">
        <f>HYPERLINK("#'Data_Analysis_BNF'!A361", "b_add_assistance_overall_D_603_by_b_hh_with_pwd")</f>
        <v>b_add_assistance_overall_D_603_by_b_hh_with_pwd</v>
      </c>
      <c r="C47" t="s">
        <v>6573</v>
      </c>
    </row>
    <row r="48" spans="1:3" x14ac:dyDescent="0.25">
      <c r="A48" t="s">
        <v>6519</v>
      </c>
      <c r="B48" s="110" t="str">
        <f>HYPERLINK("#'Data_Analysis_BNF'!A367", "b_add_assistance_overall_D_604_by_b_hh_heating_systems")</f>
        <v>b_add_assistance_overall_D_604_by_b_hh_heating_systems</v>
      </c>
      <c r="C48" t="s">
        <v>6574</v>
      </c>
    </row>
    <row r="49" spans="1:3" x14ac:dyDescent="0.25">
      <c r="A49" t="s">
        <v>6519</v>
      </c>
      <c r="B49" s="110" t="str">
        <f>HYPERLINK("#'Data_Analysis_BNF'!A377", "b_add_assistance_rural_urban_601")</f>
        <v>b_add_assistance_rural_urban_601</v>
      </c>
      <c r="C49" t="s">
        <v>6575</v>
      </c>
    </row>
    <row r="50" spans="1:3" x14ac:dyDescent="0.25">
      <c r="A50" t="s">
        <v>6520</v>
      </c>
      <c r="B50" s="110" t="str">
        <f>HYPERLINK("#'Data_Analysis_BNF'!A383", "b_affected_health_how_overall_D_390_by_b_hh_type")</f>
        <v>b_affected_health_how_overall_D_390_by_b_hh_type</v>
      </c>
      <c r="C50" t="s">
        <v>6576</v>
      </c>
    </row>
    <row r="51" spans="1:3" x14ac:dyDescent="0.25">
      <c r="A51" t="s">
        <v>6520</v>
      </c>
      <c r="B51" s="110" t="str">
        <f>HYPERLINK("#'Data_Analysis_BNF'!A389", "b_affected_health_how_overall_D_392_by_b_hh_composition")</f>
        <v>b_affected_health_how_overall_D_392_by_b_hh_composition</v>
      </c>
      <c r="C51" t="s">
        <v>6577</v>
      </c>
    </row>
    <row r="52" spans="1:3" x14ac:dyDescent="0.25">
      <c r="A52" t="s">
        <v>6520</v>
      </c>
      <c r="B52" s="110" t="str">
        <f>HYPERLINK("#'Data_Analysis_BNF'!A399", "b_affected_health_how_overall_D_393_by_b_hh_with_pwd")</f>
        <v>b_affected_health_how_overall_D_393_by_b_hh_with_pwd</v>
      </c>
      <c r="C52" t="s">
        <v>6578</v>
      </c>
    </row>
    <row r="53" spans="1:3" x14ac:dyDescent="0.25">
      <c r="A53" t="s">
        <v>6520</v>
      </c>
      <c r="B53" s="110" t="str">
        <f>HYPERLINK("#'Data_Analysis_BNF'!A405", "b_affected_health_how_rural_urban_391")</f>
        <v>b_affected_health_how_rural_urban_391</v>
      </c>
      <c r="C53" t="s">
        <v>6579</v>
      </c>
    </row>
    <row r="54" spans="1:3" x14ac:dyDescent="0.25">
      <c r="A54" t="s">
        <v>6520</v>
      </c>
      <c r="B54" s="110" t="str">
        <f>HYPERLINK("#'Data_Analysis_BNF'!A411", "b_affected_health_overall_D_378_by_b_hh_type")</f>
        <v>b_affected_health_overall_D_378_by_b_hh_type</v>
      </c>
      <c r="C54" t="s">
        <v>6580</v>
      </c>
    </row>
    <row r="55" spans="1:3" x14ac:dyDescent="0.25">
      <c r="A55" t="s">
        <v>6520</v>
      </c>
      <c r="B55" s="110" t="str">
        <f>HYPERLINK("#'Data_Analysis_BNF'!A417", "b_affected_health_overall_D_380_by_b_hh_composition")</f>
        <v>b_affected_health_overall_D_380_by_b_hh_composition</v>
      </c>
      <c r="C55" t="s">
        <v>6581</v>
      </c>
    </row>
    <row r="56" spans="1:3" x14ac:dyDescent="0.25">
      <c r="A56" t="s">
        <v>6520</v>
      </c>
      <c r="B56" s="110" t="str">
        <f>HYPERLINK("#'Data_Analysis_BNF'!A428", "b_affected_health_overall_D_381_by_b_hh_with_pwd")</f>
        <v>b_affected_health_overall_D_381_by_b_hh_with_pwd</v>
      </c>
      <c r="C56" t="s">
        <v>6582</v>
      </c>
    </row>
    <row r="57" spans="1:3" x14ac:dyDescent="0.25">
      <c r="A57" t="s">
        <v>6520</v>
      </c>
      <c r="B57" s="110" t="str">
        <f>HYPERLINK("#'Data_Analysis_BNF'!A434", "b_affected_health_overall_D_382_by_b_aver_monthly_income_range")</f>
        <v>b_affected_health_overall_D_382_by_b_aver_monthly_income_range</v>
      </c>
      <c r="C57" t="s">
        <v>6583</v>
      </c>
    </row>
    <row r="58" spans="1:3" x14ac:dyDescent="0.25">
      <c r="A58" t="s">
        <v>6520</v>
      </c>
      <c r="B58" s="110" t="str">
        <f>HYPERLINK("#'Data_Analysis_BNF'!A444", "b_affected_health_overall_D_383_by_b_heat_system_primary")</f>
        <v>b_affected_health_overall_D_383_by_b_heat_system_primary</v>
      </c>
      <c r="C58" t="s">
        <v>6584</v>
      </c>
    </row>
    <row r="59" spans="1:3" x14ac:dyDescent="0.25">
      <c r="A59" t="s">
        <v>6520</v>
      </c>
      <c r="B59" s="110" t="str">
        <f>HYPERLINK("#'Data_Analysis_BNF'!A452", "b_affected_health_overall_D_384_by_b_perc_income_spent_on_energy_nov")</f>
        <v>b_affected_health_overall_D_384_by_b_perc_income_spent_on_energy_nov</v>
      </c>
      <c r="C59" t="s">
        <v>6585</v>
      </c>
    </row>
    <row r="60" spans="1:3" x14ac:dyDescent="0.25">
      <c r="A60" t="s">
        <v>6520</v>
      </c>
      <c r="B60" s="110" t="str">
        <f>HYPERLINK("#'Data_Analysis_BNF'!A462", "b_affected_health_overall_D_385_by_b_perc_income_spent_on_energy_dec")</f>
        <v>b_affected_health_overall_D_385_by_b_perc_income_spent_on_energy_dec</v>
      </c>
      <c r="C60" t="s">
        <v>6586</v>
      </c>
    </row>
    <row r="61" spans="1:3" x14ac:dyDescent="0.25">
      <c r="A61" t="s">
        <v>6520</v>
      </c>
      <c r="B61" s="110" t="str">
        <f>HYPERLINK("#'Data_Analysis_BNF'!A472", "b_affected_health_overall_D_386_by_b_perc_expenditure_spent_on_energy_nov")</f>
        <v>b_affected_health_overall_D_386_by_b_perc_expenditure_spent_on_energy_nov</v>
      </c>
      <c r="C61" t="s">
        <v>6587</v>
      </c>
    </row>
    <row r="62" spans="1:3" x14ac:dyDescent="0.25">
      <c r="A62" t="s">
        <v>6520</v>
      </c>
      <c r="B62" s="110" t="str">
        <f>HYPERLINK("#'Data_Analysis_BNF'!A481", "b_affected_health_overall_D_387_by_b_perc_expenditure_spent_on_energy_dec")</f>
        <v>b_affected_health_overall_D_387_by_b_perc_expenditure_spent_on_energy_dec</v>
      </c>
      <c r="C62" t="s">
        <v>6588</v>
      </c>
    </row>
    <row r="63" spans="1:3" x14ac:dyDescent="0.25">
      <c r="A63" t="s">
        <v>6520</v>
      </c>
      <c r="B63" s="110" t="str">
        <f>HYPERLINK("#'Data_Analysis_BNF'!A490", "b_affected_health_overall_D_388_by_amount_evrf_nov_range")</f>
        <v>b_affected_health_overall_D_388_by_amount_evrf_nov_range</v>
      </c>
      <c r="C63" t="s">
        <v>6589</v>
      </c>
    </row>
    <row r="64" spans="1:3" x14ac:dyDescent="0.25">
      <c r="A64" t="s">
        <v>6520</v>
      </c>
      <c r="B64" s="110" t="str">
        <f>HYPERLINK("#'Data_Analysis_BNF'!A497", "b_affected_health_overall_D_389_by_amount_evrf_dec_range")</f>
        <v>b_affected_health_overall_D_389_by_amount_evrf_dec_range</v>
      </c>
      <c r="C64" t="s">
        <v>6590</v>
      </c>
    </row>
    <row r="65" spans="1:3" x14ac:dyDescent="0.25">
      <c r="A65" t="s">
        <v>6520</v>
      </c>
      <c r="B65" s="110" t="str">
        <f>HYPERLINK("#'Data_Analysis_BNF'!A505", "b_affected_health_rural_urban_379")</f>
        <v>b_affected_health_rural_urban_379</v>
      </c>
      <c r="C65" t="s">
        <v>6584</v>
      </c>
    </row>
    <row r="66" spans="1:3" x14ac:dyDescent="0.25">
      <c r="A66" t="s">
        <v>6521</v>
      </c>
      <c r="B66" s="110" t="str">
        <f>HYPERLINK("#'Data_Analysis_BNF'!A511", "b_application_dissatisfaction_overall_D_205_by_b_hh_type")</f>
        <v>b_application_dissatisfaction_overall_D_205_by_b_hh_type</v>
      </c>
      <c r="C66" t="s">
        <v>6591</v>
      </c>
    </row>
    <row r="67" spans="1:3" x14ac:dyDescent="0.25">
      <c r="A67" t="s">
        <v>6521</v>
      </c>
      <c r="B67" s="110" t="str">
        <f>HYPERLINK("#'Data_Analysis_BNF'!A516", "b_application_satisfaction_overall_D_198_by_b_hh_type")</f>
        <v>b_application_satisfaction_overall_D_198_by_b_hh_type</v>
      </c>
      <c r="C67" t="s">
        <v>6592</v>
      </c>
    </row>
    <row r="68" spans="1:3" x14ac:dyDescent="0.25">
      <c r="A68" t="s">
        <v>6521</v>
      </c>
      <c r="B68" s="110" t="str">
        <f>HYPERLINK("#'Data_Analysis_BNF'!A522", "b_application_satisfaction_overall_D_200_by_b_applied_evrf_how")</f>
        <v>b_application_satisfaction_overall_D_200_by_b_applied_evrf_how</v>
      </c>
      <c r="C68" t="s">
        <v>6593</v>
      </c>
    </row>
    <row r="69" spans="1:3" x14ac:dyDescent="0.25">
      <c r="A69" t="s">
        <v>6521</v>
      </c>
      <c r="B69" s="110" t="str">
        <f>HYPERLINK("#'Data_Analysis_BNF'!A529", "b_application_satisfaction_overall_D_201_by_b_hh_composition")</f>
        <v>b_application_satisfaction_overall_D_201_by_b_hh_composition</v>
      </c>
      <c r="C69" t="s">
        <v>6594</v>
      </c>
    </row>
    <row r="70" spans="1:3" x14ac:dyDescent="0.25">
      <c r="A70" t="s">
        <v>6521</v>
      </c>
      <c r="B70" s="110" t="str">
        <f>HYPERLINK("#'Data_Analysis_BNF'!A540", "b_application_satisfaction_overall_D_202_by_b_hh_with_pwd")</f>
        <v>b_application_satisfaction_overall_D_202_by_b_hh_with_pwd</v>
      </c>
      <c r="C70" t="s">
        <v>6595</v>
      </c>
    </row>
    <row r="71" spans="1:3" x14ac:dyDescent="0.25">
      <c r="A71" t="s">
        <v>6521</v>
      </c>
      <c r="B71" s="110" t="str">
        <f>HYPERLINK("#'Data_Analysis_BNF'!A546", "b_application_satisfaction_overall_D_203_by_accommodation_ownership")</f>
        <v>b_application_satisfaction_overall_D_203_by_accommodation_ownership</v>
      </c>
      <c r="C71" t="s">
        <v>6596</v>
      </c>
    </row>
    <row r="72" spans="1:3" x14ac:dyDescent="0.25">
      <c r="A72" t="s">
        <v>6521</v>
      </c>
      <c r="B72" s="110" t="str">
        <f>HYPERLINK("#'Data_Analysis_BNF'!A555", "b_application_satisfaction_overall_D_204_by_b_aver_monthly_income_range")</f>
        <v>b_application_satisfaction_overall_D_204_by_b_aver_monthly_income_range</v>
      </c>
      <c r="C72" t="s">
        <v>6597</v>
      </c>
    </row>
    <row r="73" spans="1:3" x14ac:dyDescent="0.25">
      <c r="A73" t="s">
        <v>6521</v>
      </c>
      <c r="B73" s="110" t="str">
        <f>HYPERLINK("#'Data_Analysis_BNF'!A566", "b_application_satisfaction_rural_urban_199")</f>
        <v>b_application_satisfaction_rural_urban_199</v>
      </c>
      <c r="C73" t="s">
        <v>6598</v>
      </c>
    </row>
    <row r="74" spans="1:3" x14ac:dyDescent="0.25">
      <c r="A74" t="s">
        <v>6521</v>
      </c>
      <c r="B74" s="110" t="str">
        <f>HYPERLINK("#'Data_Analysis_BNF'!A572", "b_applied_evrf_how_overall_D_193_by_b_hh_type")</f>
        <v>b_applied_evrf_how_overall_D_193_by_b_hh_type</v>
      </c>
      <c r="C74" t="s">
        <v>6599</v>
      </c>
    </row>
    <row r="75" spans="1:3" x14ac:dyDescent="0.25">
      <c r="A75" t="s">
        <v>6521</v>
      </c>
      <c r="B75" s="110" t="str">
        <f>HYPERLINK("#'Data_Analysis_BNF'!A578", "b_applied_evrf_how_overall_D_195_by_b_hh_composition")</f>
        <v>b_applied_evrf_how_overall_D_195_by_b_hh_composition</v>
      </c>
      <c r="C75" t="s">
        <v>6600</v>
      </c>
    </row>
    <row r="76" spans="1:3" x14ac:dyDescent="0.25">
      <c r="A76" t="s">
        <v>6521</v>
      </c>
      <c r="B76" s="110" t="str">
        <f>HYPERLINK("#'Data_Analysis_BNF'!A589", "b_applied_evrf_how_overall_D_196_by_b_hh_with_pwd")</f>
        <v>b_applied_evrf_how_overall_D_196_by_b_hh_with_pwd</v>
      </c>
      <c r="C76" t="s">
        <v>6601</v>
      </c>
    </row>
    <row r="77" spans="1:3" x14ac:dyDescent="0.25">
      <c r="A77" t="s">
        <v>6521</v>
      </c>
      <c r="B77" s="110" t="str">
        <f>HYPERLINK("#'Data_Analysis_BNF'!A595", "b_applied_evrf_how_overall_D_197_by_b_heat_system_primary")</f>
        <v>b_applied_evrf_how_overall_D_197_by_b_heat_system_primary</v>
      </c>
      <c r="C77" t="s">
        <v>6602</v>
      </c>
    </row>
    <row r="78" spans="1:3" x14ac:dyDescent="0.25">
      <c r="A78" t="s">
        <v>6521</v>
      </c>
      <c r="B78" s="110" t="str">
        <f>HYPERLINK("#'Data_Analysis_BNF'!A604", "b_applied_evrf_how_rural_urban_194")</f>
        <v>b_applied_evrf_how_rural_urban_194</v>
      </c>
      <c r="C78" t="s">
        <v>6603</v>
      </c>
    </row>
    <row r="79" spans="1:3" x14ac:dyDescent="0.25">
      <c r="A79" t="s">
        <v>6522</v>
      </c>
      <c r="B79" s="110" t="str">
        <f>HYPERLINK("#'Data_Analysis_BNF'!A610", "b_aver_monthly_expense_overall_D_40_by_b_hh_type")</f>
        <v>b_aver_monthly_expense_overall_D_40_by_b_hh_type</v>
      </c>
      <c r="C79" t="s">
        <v>6604</v>
      </c>
    </row>
    <row r="80" spans="1:3" x14ac:dyDescent="0.25">
      <c r="A80" t="s">
        <v>6522</v>
      </c>
      <c r="B80" s="110" t="str">
        <f>HYPERLINK("#'Data_Analysis_BNF'!A615", "b_aver_monthly_expense_overall_D_42_by_accommodation_ownership")</f>
        <v>b_aver_monthly_expense_overall_D_42_by_accommodation_ownership</v>
      </c>
      <c r="C80" t="s">
        <v>6605</v>
      </c>
    </row>
    <row r="81" spans="1:3" x14ac:dyDescent="0.25">
      <c r="A81" t="s">
        <v>6522</v>
      </c>
      <c r="B81" s="110" t="str">
        <f>HYPERLINK("#'Data_Analysis_BNF'!A623", "b_aver_monthly_expense_rural_urban_41")</f>
        <v>b_aver_monthly_expense_rural_urban_41</v>
      </c>
      <c r="C81" t="s">
        <v>6606</v>
      </c>
    </row>
    <row r="82" spans="1:3" x14ac:dyDescent="0.25">
      <c r="A82" t="s">
        <v>6522</v>
      </c>
      <c r="B82" s="110" t="str">
        <f>HYPERLINK("#'Data_Analysis_BNF'!A629", "b_aver_monthly_income_overall_D_32_by_b_hh_type")</f>
        <v>b_aver_monthly_income_overall_D_32_by_b_hh_type</v>
      </c>
      <c r="C82" t="s">
        <v>6607</v>
      </c>
    </row>
    <row r="83" spans="1:3" x14ac:dyDescent="0.25">
      <c r="A83" t="s">
        <v>6522</v>
      </c>
      <c r="B83" s="110" t="str">
        <f>HYPERLINK("#'Data_Analysis_BNF'!A634", "b_aver_monthly_income_range_overall_D_34_by_b_hh_type")</f>
        <v>b_aver_monthly_income_range_overall_D_34_by_b_hh_type</v>
      </c>
      <c r="C83" t="s">
        <v>6608</v>
      </c>
    </row>
    <row r="84" spans="1:3" x14ac:dyDescent="0.25">
      <c r="A84" t="s">
        <v>6522</v>
      </c>
      <c r="B84" s="110" t="str">
        <f>HYPERLINK("#'Data_Analysis_BNF'!A640", "b_aver_monthly_income_range_overall_D_36_by_b_hh_size_range")</f>
        <v>b_aver_monthly_income_range_overall_D_36_by_b_hh_size_range</v>
      </c>
      <c r="C84" t="s">
        <v>6609</v>
      </c>
    </row>
    <row r="85" spans="1:3" x14ac:dyDescent="0.25">
      <c r="A85" t="s">
        <v>6522</v>
      </c>
      <c r="B85" s="110" t="str">
        <f>HYPERLINK("#'Data_Analysis_BNF'!A647", "b_aver_monthly_income_range_overall_D_37_by_b_hh_composition")</f>
        <v>b_aver_monthly_income_range_overall_D_37_by_b_hh_composition</v>
      </c>
      <c r="C85" t="s">
        <v>6610</v>
      </c>
    </row>
    <row r="86" spans="1:3" x14ac:dyDescent="0.25">
      <c r="A86" t="s">
        <v>6522</v>
      </c>
      <c r="B86" s="110" t="str">
        <f>HYPERLINK("#'Data_Analysis_BNF'!A658", "b_aver_monthly_income_range_overall_D_38_by_b_hh_with_pwd")</f>
        <v>b_aver_monthly_income_range_overall_D_38_by_b_hh_with_pwd</v>
      </c>
      <c r="C86" t="s">
        <v>6611</v>
      </c>
    </row>
    <row r="87" spans="1:3" x14ac:dyDescent="0.25">
      <c r="A87" t="s">
        <v>6522</v>
      </c>
      <c r="B87" s="110" t="str">
        <f>HYPERLINK("#'Data_Analysis_BNF'!A664", "b_aver_monthly_income_range_overall_D_39_by_b_nr_ppl_earning_income_range")</f>
        <v>b_aver_monthly_income_range_overall_D_39_by_b_nr_ppl_earning_income_range</v>
      </c>
      <c r="C87" t="s">
        <v>6612</v>
      </c>
    </row>
    <row r="88" spans="1:3" x14ac:dyDescent="0.25">
      <c r="A88" t="s">
        <v>6522</v>
      </c>
      <c r="B88" s="110" t="str">
        <f>HYPERLINK("#'Data_Analysis_BNF'!A672", "b_aver_monthly_income_range_rural_urban_35")</f>
        <v>b_aver_monthly_income_range_rural_urban_35</v>
      </c>
      <c r="C88" t="s">
        <v>6613</v>
      </c>
    </row>
    <row r="89" spans="1:3" x14ac:dyDescent="0.25">
      <c r="A89" t="s">
        <v>6522</v>
      </c>
      <c r="B89" s="110" t="str">
        <f>HYPERLINK("#'Data_Analysis_BNF'!A678", "b_aver_monthly_income_rural_urban_33")</f>
        <v>b_aver_monthly_income_rural_urban_33</v>
      </c>
      <c r="C89" t="s">
        <v>6614</v>
      </c>
    </row>
    <row r="90" spans="1:3" x14ac:dyDescent="0.25">
      <c r="A90" t="s">
        <v>6521</v>
      </c>
      <c r="B90" s="110" t="str">
        <f>HYPERLINK("#'Data_Analysis_BNF'!A684", "b_aware_of_evrf_how_overall_D_189_by_b_hh_type")</f>
        <v>b_aware_of_evrf_how_overall_D_189_by_b_hh_type</v>
      </c>
      <c r="C90" t="s">
        <v>6615</v>
      </c>
    </row>
    <row r="91" spans="1:3" x14ac:dyDescent="0.25">
      <c r="A91" t="s">
        <v>6521</v>
      </c>
      <c r="B91" s="110" t="str">
        <f>HYPERLINK("#'Data_Analysis_BNF'!A690", "b_aware_of_evrf_how_overall_D_191_by_resp_age_range")</f>
        <v>b_aware_of_evrf_how_overall_D_191_by_resp_age_range</v>
      </c>
      <c r="C91" t="s">
        <v>6616</v>
      </c>
    </row>
    <row r="92" spans="1:3" x14ac:dyDescent="0.25">
      <c r="A92" t="s">
        <v>6521</v>
      </c>
      <c r="B92" s="110" t="str">
        <f>HYPERLINK("#'Data_Analysis_BNF'!A697", "b_aware_of_evrf_how_overall_D_192_by_b_hh_with_pwd")</f>
        <v>b_aware_of_evrf_how_overall_D_192_by_b_hh_with_pwd</v>
      </c>
      <c r="C92" t="s">
        <v>6617</v>
      </c>
    </row>
    <row r="93" spans="1:3" x14ac:dyDescent="0.25">
      <c r="A93" t="s">
        <v>6521</v>
      </c>
      <c r="B93" s="110" t="str">
        <f>HYPERLINK("#'Data_Analysis_BNF'!A703", "b_aware_of_evrf_how_rural_urban_190")</f>
        <v>b_aware_of_evrf_how_rural_urban_190</v>
      </c>
      <c r="C93" t="s">
        <v>6618</v>
      </c>
    </row>
    <row r="94" spans="1:3" x14ac:dyDescent="0.25">
      <c r="A94" t="s">
        <v>779</v>
      </c>
      <c r="B94" s="110" t="str">
        <f>HYPERLINK("#'Data_Analysis_BNF'!A709", "b_cannot_meet_needs_overall_D_561_by_b_hh_type")</f>
        <v>b_cannot_meet_needs_overall_D_561_by_b_hh_type</v>
      </c>
      <c r="C94" t="s">
        <v>6619</v>
      </c>
    </row>
    <row r="95" spans="1:3" x14ac:dyDescent="0.25">
      <c r="A95" t="s">
        <v>779</v>
      </c>
      <c r="B95" s="110" t="str">
        <f>HYPERLINK("#'Data_Analysis_BNF'!A715", "b_cannot_meet_needs_overall_D_563_by_b_hh_composition")</f>
        <v>b_cannot_meet_needs_overall_D_563_by_b_hh_composition</v>
      </c>
      <c r="C95" t="s">
        <v>6620</v>
      </c>
    </row>
    <row r="96" spans="1:3" x14ac:dyDescent="0.25">
      <c r="A96" t="s">
        <v>779</v>
      </c>
      <c r="B96" s="110" t="str">
        <f>HYPERLINK("#'Data_Analysis_BNF'!A726", "b_cannot_meet_needs_overall_D_564_by_b_hh_with_pwd")</f>
        <v>b_cannot_meet_needs_overall_D_564_by_b_hh_with_pwd</v>
      </c>
      <c r="C96" t="s">
        <v>6621</v>
      </c>
    </row>
    <row r="97" spans="1:3" x14ac:dyDescent="0.25">
      <c r="A97" t="s">
        <v>779</v>
      </c>
      <c r="B97" s="110" t="str">
        <f>HYPERLINK("#'Data_Analysis_BNF'!A732", "b_cannot_meet_needs_overall_D_565_by_accommodation_ownership")</f>
        <v>b_cannot_meet_needs_overall_D_565_by_accommodation_ownership</v>
      </c>
      <c r="C97" t="s">
        <v>6622</v>
      </c>
    </row>
    <row r="98" spans="1:3" x14ac:dyDescent="0.25">
      <c r="A98" t="s">
        <v>779</v>
      </c>
      <c r="B98" s="110" t="str">
        <f>HYPERLINK("#'Data_Analysis_BNF'!A740", "b_cannot_meet_needs_overall_D_566_by_b_aver_monthly_income_range")</f>
        <v>b_cannot_meet_needs_overall_D_566_by_b_aver_monthly_income_range</v>
      </c>
      <c r="C98" t="s">
        <v>6623</v>
      </c>
    </row>
    <row r="99" spans="1:3" x14ac:dyDescent="0.25">
      <c r="A99" t="s">
        <v>779</v>
      </c>
      <c r="B99" s="110" t="str">
        <f>HYPERLINK("#'Data_Analysis_BNF'!A751", "b_cannot_meet_needs_overall_D_567_by_b_perc_expenditure_spent_on_energy_nov")</f>
        <v>b_cannot_meet_needs_overall_D_567_by_b_perc_expenditure_spent_on_energy_nov</v>
      </c>
      <c r="C99" t="s">
        <v>6624</v>
      </c>
    </row>
    <row r="100" spans="1:3" x14ac:dyDescent="0.25">
      <c r="A100" t="s">
        <v>779</v>
      </c>
      <c r="B100" s="110" t="str">
        <f>HYPERLINK("#'Data_Analysis_BNF'!A760", "b_cannot_meet_needs_overall_D_568_by_b_perc_expenditure_spent_on_energy_dec")</f>
        <v>b_cannot_meet_needs_overall_D_568_by_b_perc_expenditure_spent_on_energy_dec</v>
      </c>
      <c r="C100" t="s">
        <v>6625</v>
      </c>
    </row>
    <row r="101" spans="1:3" x14ac:dyDescent="0.25">
      <c r="A101" t="s">
        <v>779</v>
      </c>
      <c r="B101" s="110" t="str">
        <f>HYPERLINK("#'Data_Analysis_BNF'!A769", "b_cannot_meet_needs_overall_D_569_by_b_perc_income_spent_on_energy_nov")</f>
        <v>b_cannot_meet_needs_overall_D_569_by_b_perc_income_spent_on_energy_nov</v>
      </c>
      <c r="C101" t="s">
        <v>6626</v>
      </c>
    </row>
    <row r="102" spans="1:3" x14ac:dyDescent="0.25">
      <c r="A102" t="s">
        <v>779</v>
      </c>
      <c r="B102" s="110" t="str">
        <f>HYPERLINK("#'Data_Analysis_BNF'!A779", "b_cannot_meet_needs_overall_D_570_by_b_perc_income_spent_on_energy_dec")</f>
        <v>b_cannot_meet_needs_overall_D_570_by_b_perc_income_spent_on_energy_dec</v>
      </c>
      <c r="C102" t="s">
        <v>6627</v>
      </c>
    </row>
    <row r="103" spans="1:3" x14ac:dyDescent="0.25">
      <c r="A103" t="s">
        <v>779</v>
      </c>
      <c r="B103" s="110" t="str">
        <f>HYPERLINK("#'Data_Analysis_BNF'!A789", "b_cannot_meet_needs_overall_D_571_by_amount_evrf_nov_range")</f>
        <v>b_cannot_meet_needs_overall_D_571_by_amount_evrf_nov_range</v>
      </c>
      <c r="C103" t="s">
        <v>6628</v>
      </c>
    </row>
    <row r="104" spans="1:3" x14ac:dyDescent="0.25">
      <c r="A104" t="s">
        <v>779</v>
      </c>
      <c r="B104" s="110" t="str">
        <f>HYPERLINK("#'Data_Analysis_BNF'!A797", "b_cannot_meet_needs_overall_D_572_by_amount_evrf_dec_range")</f>
        <v>b_cannot_meet_needs_overall_D_572_by_amount_evrf_dec_range</v>
      </c>
      <c r="C104" t="s">
        <v>6629</v>
      </c>
    </row>
    <row r="105" spans="1:3" x14ac:dyDescent="0.25">
      <c r="A105" t="s">
        <v>779</v>
      </c>
      <c r="B105" s="110" t="str">
        <f>HYPERLINK("#'Data_Analysis_BNF'!A805", "b_cannot_meet_needs_rural_urban_562")</f>
        <v>b_cannot_meet_needs_rural_urban_562</v>
      </c>
      <c r="C105" t="s">
        <v>6630</v>
      </c>
    </row>
    <row r="106" spans="1:3" x14ac:dyDescent="0.25">
      <c r="A106" t="s">
        <v>6523</v>
      </c>
      <c r="B106" s="110" t="str">
        <f>HYPERLINK("#'Data_Analysis_BNF'!A811", "b_cost_energy_dec_overall_D_169_by_b_hh_type")</f>
        <v>b_cost_energy_dec_overall_D_169_by_b_hh_type</v>
      </c>
      <c r="C106" t="s">
        <v>6631</v>
      </c>
    </row>
    <row r="107" spans="1:3" x14ac:dyDescent="0.25">
      <c r="A107" t="s">
        <v>6523</v>
      </c>
      <c r="B107" s="110" t="str">
        <f>HYPERLINK("#'Data_Analysis_BNF'!A816", "b_cost_energy_dec_overall_D_171_by_b_hh_size_range")</f>
        <v>b_cost_energy_dec_overall_D_171_by_b_hh_size_range</v>
      </c>
      <c r="C107" t="s">
        <v>6632</v>
      </c>
    </row>
    <row r="108" spans="1:3" x14ac:dyDescent="0.25">
      <c r="A108" t="s">
        <v>6523</v>
      </c>
      <c r="B108" s="110" t="str">
        <f>HYPERLINK("#'Data_Analysis_BNF'!A822", "b_cost_energy_dec_overall_D_172_by_b_hh_composition")</f>
        <v>b_cost_energy_dec_overall_D_172_by_b_hh_composition</v>
      </c>
      <c r="C108" t="s">
        <v>6633</v>
      </c>
    </row>
    <row r="109" spans="1:3" x14ac:dyDescent="0.25">
      <c r="A109" t="s">
        <v>6523</v>
      </c>
      <c r="B109" s="110" t="str">
        <f>HYPERLINK("#'Data_Analysis_BNF'!A832", "b_cost_energy_dec_overall_D_173_by_b_hh_with_pwd")</f>
        <v>b_cost_energy_dec_overall_D_173_by_b_hh_with_pwd</v>
      </c>
      <c r="C109" t="s">
        <v>6634</v>
      </c>
    </row>
    <row r="110" spans="1:3" x14ac:dyDescent="0.25">
      <c r="A110" t="s">
        <v>6523</v>
      </c>
      <c r="B110" s="110" t="str">
        <f>HYPERLINK("#'Data_Analysis_BNF'!A837", "b_cost_energy_dec_overall_D_174_by_b_aver_monthly_income_range")</f>
        <v>b_cost_energy_dec_overall_D_174_by_b_aver_monthly_income_range</v>
      </c>
      <c r="C110" t="s">
        <v>6635</v>
      </c>
    </row>
    <row r="111" spans="1:3" x14ac:dyDescent="0.25">
      <c r="A111" t="s">
        <v>6523</v>
      </c>
      <c r="B111" s="110" t="str">
        <f>HYPERLINK("#'Data_Analysis_BNF'!A847", "b_cost_energy_dec_overall_D_175_by_b_heat_system_primary")</f>
        <v>b_cost_energy_dec_overall_D_175_by_b_heat_system_primary</v>
      </c>
      <c r="C111" t="s">
        <v>6636</v>
      </c>
    </row>
    <row r="112" spans="1:3" x14ac:dyDescent="0.25">
      <c r="A112" t="s">
        <v>6523</v>
      </c>
      <c r="B112" s="110" t="str">
        <f>HYPERLINK("#'Data_Analysis_BNF'!A855", "b_cost_energy_dec_overall_D_176_by_b_hh_heating_systems")</f>
        <v>b_cost_energy_dec_overall_D_176_by_b_hh_heating_systems</v>
      </c>
      <c r="C112" t="s">
        <v>6637</v>
      </c>
    </row>
    <row r="113" spans="1:3" x14ac:dyDescent="0.25">
      <c r="A113" t="s">
        <v>6523</v>
      </c>
      <c r="B113" s="110" t="str">
        <f>HYPERLINK("#'Data_Analysis_BNF'!A864", "b_cost_energy_dec_rural_urban_170")</f>
        <v>b_cost_energy_dec_rural_urban_170</v>
      </c>
      <c r="C113" t="s">
        <v>6638</v>
      </c>
    </row>
    <row r="114" spans="1:3" x14ac:dyDescent="0.25">
      <c r="A114" t="s">
        <v>6524</v>
      </c>
      <c r="B114" s="110" t="str">
        <f>HYPERLINK("#'Data_Analysis_BNF'!A870", "b_cost_energy_nov_overall_D_117_by_b_hh_type")</f>
        <v>b_cost_energy_nov_overall_D_117_by_b_hh_type</v>
      </c>
      <c r="C114" t="s">
        <v>6639</v>
      </c>
    </row>
    <row r="115" spans="1:3" x14ac:dyDescent="0.25">
      <c r="A115" t="s">
        <v>6524</v>
      </c>
      <c r="B115" s="110" t="str">
        <f>HYPERLINK("#'Data_Analysis_BNF'!A875", "b_cost_energy_nov_overall_D_119_by_b_hh_size_range")</f>
        <v>b_cost_energy_nov_overall_D_119_by_b_hh_size_range</v>
      </c>
      <c r="C115" t="s">
        <v>6640</v>
      </c>
    </row>
    <row r="116" spans="1:3" x14ac:dyDescent="0.25">
      <c r="A116" t="s">
        <v>6524</v>
      </c>
      <c r="B116" s="110" t="str">
        <f>HYPERLINK("#'Data_Analysis_BNF'!A881", "b_cost_energy_nov_overall_D_120_by_b_hh_composition")</f>
        <v>b_cost_energy_nov_overall_D_120_by_b_hh_composition</v>
      </c>
      <c r="C116" t="s">
        <v>6641</v>
      </c>
    </row>
    <row r="117" spans="1:3" x14ac:dyDescent="0.25">
      <c r="A117" t="s">
        <v>6524</v>
      </c>
      <c r="B117" s="110" t="str">
        <f>HYPERLINK("#'Data_Analysis_BNF'!A891", "b_cost_energy_nov_overall_D_121_by_b_hh_with_pwd")</f>
        <v>b_cost_energy_nov_overall_D_121_by_b_hh_with_pwd</v>
      </c>
      <c r="C117" t="s">
        <v>6642</v>
      </c>
    </row>
    <row r="118" spans="1:3" x14ac:dyDescent="0.25">
      <c r="A118" t="s">
        <v>6524</v>
      </c>
      <c r="B118" s="110" t="str">
        <f>HYPERLINK("#'Data_Analysis_BNF'!A896", "b_cost_energy_nov_overall_D_122_by_b_aver_monthly_income_range")</f>
        <v>b_cost_energy_nov_overall_D_122_by_b_aver_monthly_income_range</v>
      </c>
      <c r="C118" t="s">
        <v>6643</v>
      </c>
    </row>
    <row r="119" spans="1:3" x14ac:dyDescent="0.25">
      <c r="A119" t="s">
        <v>6524</v>
      </c>
      <c r="B119" s="110" t="str">
        <f>HYPERLINK("#'Data_Analysis_BNF'!A906", "b_cost_energy_nov_overall_D_123_by_b_heat_system_primary")</f>
        <v>b_cost_energy_nov_overall_D_123_by_b_heat_system_primary</v>
      </c>
      <c r="C119" t="s">
        <v>6644</v>
      </c>
    </row>
    <row r="120" spans="1:3" x14ac:dyDescent="0.25">
      <c r="A120" t="s">
        <v>6524</v>
      </c>
      <c r="B120" s="110" t="str">
        <f>HYPERLINK("#'Data_Analysis_BNF'!A914", "b_cost_energy_nov_overall_D_124_by_b_hh_heating_systems")</f>
        <v>b_cost_energy_nov_overall_D_124_by_b_hh_heating_systems</v>
      </c>
      <c r="C120" t="s">
        <v>6645</v>
      </c>
    </row>
    <row r="121" spans="1:3" x14ac:dyDescent="0.25">
      <c r="A121" t="s">
        <v>6524</v>
      </c>
      <c r="B121" s="110" t="str">
        <f>HYPERLINK("#'Data_Analysis_BNF'!A923", "b_cost_energy_nov_rural_urban_118")</f>
        <v>b_cost_energy_nov_rural_urban_118</v>
      </c>
      <c r="C121" t="s">
        <v>6646</v>
      </c>
    </row>
    <row r="122" spans="1:3" x14ac:dyDescent="0.25">
      <c r="A122" t="s">
        <v>6523</v>
      </c>
      <c r="B122" s="110" t="str">
        <f>HYPERLINK("#'Data_Analysis_BNF'!A929", "b_cost_gas_dec_overall_D_152_by_b_hh_type")</f>
        <v>b_cost_gas_dec_overall_D_152_by_b_hh_type</v>
      </c>
      <c r="C122" t="s">
        <v>6647</v>
      </c>
    </row>
    <row r="123" spans="1:3" x14ac:dyDescent="0.25">
      <c r="A123" t="s">
        <v>6523</v>
      </c>
      <c r="B123" s="110" t="str">
        <f>HYPERLINK("#'Data_Analysis_BNF'!A934", "b_cost_gas_dec_overall_D_154_by_b_hh_size_range")</f>
        <v>b_cost_gas_dec_overall_D_154_by_b_hh_size_range</v>
      </c>
      <c r="C123" t="s">
        <v>6648</v>
      </c>
    </row>
    <row r="124" spans="1:3" x14ac:dyDescent="0.25">
      <c r="A124" t="s">
        <v>6523</v>
      </c>
      <c r="B124" s="110" t="str">
        <f>HYPERLINK("#'Data_Analysis_BNF'!A940", "b_cost_gas_dec_overall_D_155_by_b_hh_composition")</f>
        <v>b_cost_gas_dec_overall_D_155_by_b_hh_composition</v>
      </c>
      <c r="C124" t="s">
        <v>6649</v>
      </c>
    </row>
    <row r="125" spans="1:3" x14ac:dyDescent="0.25">
      <c r="A125" t="s">
        <v>6523</v>
      </c>
      <c r="B125" s="110" t="str">
        <f>HYPERLINK("#'Data_Analysis_BNF'!A950", "b_cost_gas_dec_overall_D_156_by_b_hh_with_pwd")</f>
        <v>b_cost_gas_dec_overall_D_156_by_b_hh_with_pwd</v>
      </c>
      <c r="C125" t="s">
        <v>6650</v>
      </c>
    </row>
    <row r="126" spans="1:3" x14ac:dyDescent="0.25">
      <c r="A126" t="s">
        <v>6523</v>
      </c>
      <c r="B126" s="110" t="str">
        <f>HYPERLINK("#'Data_Analysis_BNF'!A955", "b_cost_gas_dec_overall_D_157_by_b_aver_monthly_income_range")</f>
        <v>b_cost_gas_dec_overall_D_157_by_b_aver_monthly_income_range</v>
      </c>
      <c r="C126" t="s">
        <v>6651</v>
      </c>
    </row>
    <row r="127" spans="1:3" x14ac:dyDescent="0.25">
      <c r="A127" t="s">
        <v>6523</v>
      </c>
      <c r="B127" s="110" t="str">
        <f>HYPERLINK("#'Data_Analysis_BNF'!A965", "b_cost_gas_dec_overall_D_158_by_b_heat_system_primary")</f>
        <v>b_cost_gas_dec_overall_D_158_by_b_heat_system_primary</v>
      </c>
      <c r="C127" t="s">
        <v>6652</v>
      </c>
    </row>
    <row r="128" spans="1:3" x14ac:dyDescent="0.25">
      <c r="A128" t="s">
        <v>6523</v>
      </c>
      <c r="B128" s="110" t="str">
        <f>HYPERLINK("#'Data_Analysis_BNF'!A973", "b_cost_gas_dec_overall_D_159_by_b_hh_heating_systems")</f>
        <v>b_cost_gas_dec_overall_D_159_by_b_hh_heating_systems</v>
      </c>
      <c r="C128" t="s">
        <v>6653</v>
      </c>
    </row>
    <row r="129" spans="1:3" x14ac:dyDescent="0.25">
      <c r="A129" t="s">
        <v>6523</v>
      </c>
      <c r="B129" s="110" t="str">
        <f>HYPERLINK("#'Data_Analysis_BNF'!A982", "b_cost_gas_dec_rural_urban_153")</f>
        <v>b_cost_gas_dec_rural_urban_153</v>
      </c>
      <c r="C129" t="s">
        <v>6654</v>
      </c>
    </row>
    <row r="130" spans="1:3" x14ac:dyDescent="0.25">
      <c r="A130" t="s">
        <v>6524</v>
      </c>
      <c r="B130" s="110" t="str">
        <f>HYPERLINK("#'Data_Analysis_BNF'!A988", "b_cost_gas_nov_overall_D_100_by_b_hh_type")</f>
        <v>b_cost_gas_nov_overall_D_100_by_b_hh_type</v>
      </c>
      <c r="C130" t="s">
        <v>6655</v>
      </c>
    </row>
    <row r="131" spans="1:3" x14ac:dyDescent="0.25">
      <c r="A131" t="s">
        <v>6524</v>
      </c>
      <c r="B131" s="110" t="str">
        <f>HYPERLINK("#'Data_Analysis_BNF'!A993", "b_cost_gas_nov_overall_D_102_by_b_hh_size_range")</f>
        <v>b_cost_gas_nov_overall_D_102_by_b_hh_size_range</v>
      </c>
      <c r="C131" t="s">
        <v>6656</v>
      </c>
    </row>
    <row r="132" spans="1:3" x14ac:dyDescent="0.25">
      <c r="A132" t="s">
        <v>6524</v>
      </c>
      <c r="B132" s="110" t="str">
        <f>HYPERLINK("#'Data_Analysis_BNF'!A999", "b_cost_gas_nov_overall_D_103_by_b_hh_composition")</f>
        <v>b_cost_gas_nov_overall_D_103_by_b_hh_composition</v>
      </c>
      <c r="C132" t="s">
        <v>6657</v>
      </c>
    </row>
    <row r="133" spans="1:3" x14ac:dyDescent="0.25">
      <c r="A133" t="s">
        <v>6524</v>
      </c>
      <c r="B133" s="110" t="str">
        <f>HYPERLINK("#'Data_Analysis_BNF'!A1009", "b_cost_gas_nov_overall_D_104_by_b_hh_with_pwd")</f>
        <v>b_cost_gas_nov_overall_D_104_by_b_hh_with_pwd</v>
      </c>
      <c r="C133" t="s">
        <v>6658</v>
      </c>
    </row>
    <row r="134" spans="1:3" x14ac:dyDescent="0.25">
      <c r="A134" t="s">
        <v>6524</v>
      </c>
      <c r="B134" s="110" t="str">
        <f>HYPERLINK("#'Data_Analysis_BNF'!A1014", "b_cost_gas_nov_overall_D_105_by_b_aver_monthly_income_range")</f>
        <v>b_cost_gas_nov_overall_D_105_by_b_aver_monthly_income_range</v>
      </c>
      <c r="C134" t="s">
        <v>6659</v>
      </c>
    </row>
    <row r="135" spans="1:3" x14ac:dyDescent="0.25">
      <c r="A135" t="s">
        <v>6524</v>
      </c>
      <c r="B135" s="110" t="str">
        <f>HYPERLINK("#'Data_Analysis_BNF'!A1024", "b_cost_gas_nov_overall_D_106_by_b_heat_system_primary")</f>
        <v>b_cost_gas_nov_overall_D_106_by_b_heat_system_primary</v>
      </c>
      <c r="C135" t="s">
        <v>6660</v>
      </c>
    </row>
    <row r="136" spans="1:3" x14ac:dyDescent="0.25">
      <c r="A136" t="s">
        <v>6524</v>
      </c>
      <c r="B136" s="110" t="str">
        <f>HYPERLINK("#'Data_Analysis_BNF'!A1032", "b_cost_gas_nov_overall_D_107_by_b_hh_heating_systems")</f>
        <v>b_cost_gas_nov_overall_D_107_by_b_hh_heating_systems</v>
      </c>
      <c r="C136" t="s">
        <v>6661</v>
      </c>
    </row>
    <row r="137" spans="1:3" x14ac:dyDescent="0.25">
      <c r="A137" t="s">
        <v>6524</v>
      </c>
      <c r="B137" s="110" t="str">
        <f>HYPERLINK("#'Data_Analysis_BNF'!A1041", "b_cost_gas_nov_rural_urban_101")</f>
        <v>b_cost_gas_nov_rural_urban_101</v>
      </c>
      <c r="C137" t="s">
        <v>6662</v>
      </c>
    </row>
    <row r="138" spans="1:3" x14ac:dyDescent="0.25">
      <c r="A138" t="s">
        <v>6523</v>
      </c>
      <c r="B138" s="110" t="str">
        <f>HYPERLINK("#'Data_Analysis_BNF'!A1047", "b_cost_heat_dec_overall_D_161_by_b_hh_type")</f>
        <v>b_cost_heat_dec_overall_D_161_by_b_hh_type</v>
      </c>
      <c r="C138" t="s">
        <v>6663</v>
      </c>
    </row>
    <row r="139" spans="1:3" x14ac:dyDescent="0.25">
      <c r="A139" t="s">
        <v>6523</v>
      </c>
      <c r="B139" s="110" t="str">
        <f>HYPERLINK("#'Data_Analysis_BNF'!A1052", "b_cost_heat_dec_overall_D_163_by_b_hh_size_range")</f>
        <v>b_cost_heat_dec_overall_D_163_by_b_hh_size_range</v>
      </c>
      <c r="C139" t="s">
        <v>6664</v>
      </c>
    </row>
    <row r="140" spans="1:3" x14ac:dyDescent="0.25">
      <c r="A140" t="s">
        <v>6523</v>
      </c>
      <c r="B140" s="110" t="str">
        <f>HYPERLINK("#'Data_Analysis_BNF'!A1058", "b_cost_heat_dec_overall_D_164_by_b_hh_composition")</f>
        <v>b_cost_heat_dec_overall_D_164_by_b_hh_composition</v>
      </c>
      <c r="C140" t="s">
        <v>6665</v>
      </c>
    </row>
    <row r="141" spans="1:3" x14ac:dyDescent="0.25">
      <c r="A141" t="s">
        <v>6523</v>
      </c>
      <c r="B141" s="110" t="str">
        <f>HYPERLINK("#'Data_Analysis_BNF'!A1068", "b_cost_heat_dec_overall_D_165_by_b_hh_with_pwd")</f>
        <v>b_cost_heat_dec_overall_D_165_by_b_hh_with_pwd</v>
      </c>
      <c r="C141" t="s">
        <v>6666</v>
      </c>
    </row>
    <row r="142" spans="1:3" x14ac:dyDescent="0.25">
      <c r="A142" t="s">
        <v>6523</v>
      </c>
      <c r="B142" s="110" t="str">
        <f>HYPERLINK("#'Data_Analysis_BNF'!A1073", "b_cost_heat_dec_overall_D_166_by_b_aver_monthly_income_range")</f>
        <v>b_cost_heat_dec_overall_D_166_by_b_aver_monthly_income_range</v>
      </c>
      <c r="C142" t="s">
        <v>6667</v>
      </c>
    </row>
    <row r="143" spans="1:3" x14ac:dyDescent="0.25">
      <c r="A143" t="s">
        <v>6523</v>
      </c>
      <c r="B143" s="110" t="str">
        <f>HYPERLINK("#'Data_Analysis_BNF'!A1083", "b_cost_heat_dec_overall_D_167_by_b_heat_system_primary")</f>
        <v>b_cost_heat_dec_overall_D_167_by_b_heat_system_primary</v>
      </c>
      <c r="C143" t="s">
        <v>6668</v>
      </c>
    </row>
    <row r="144" spans="1:3" x14ac:dyDescent="0.25">
      <c r="A144" t="s">
        <v>6523</v>
      </c>
      <c r="B144" s="110" t="str">
        <f>HYPERLINK("#'Data_Analysis_BNF'!A1089", "b_cost_heat_dec_overall_D_168_by_b_hh_heating_systems")</f>
        <v>b_cost_heat_dec_overall_D_168_by_b_hh_heating_systems</v>
      </c>
      <c r="C144" t="s">
        <v>6669</v>
      </c>
    </row>
    <row r="145" spans="1:3" x14ac:dyDescent="0.25">
      <c r="A145" t="s">
        <v>6523</v>
      </c>
      <c r="B145" s="110" t="str">
        <f>HYPERLINK("#'Data_Analysis_BNF'!A1095", "b_cost_heat_dec_rural_urban_162")</f>
        <v>b_cost_heat_dec_rural_urban_162</v>
      </c>
      <c r="C145" t="s">
        <v>6670</v>
      </c>
    </row>
    <row r="146" spans="1:3" x14ac:dyDescent="0.25">
      <c r="A146" t="s">
        <v>6524</v>
      </c>
      <c r="B146" s="110" t="str">
        <f>HYPERLINK("#'Data_Analysis_BNF'!A1101", "b_cost_heat_nov_overall_D_109_by_b_hh_type")</f>
        <v>b_cost_heat_nov_overall_D_109_by_b_hh_type</v>
      </c>
      <c r="C146" t="s">
        <v>6671</v>
      </c>
    </row>
    <row r="147" spans="1:3" x14ac:dyDescent="0.25">
      <c r="A147" t="s">
        <v>6524</v>
      </c>
      <c r="B147" s="110" t="str">
        <f>HYPERLINK("#'Data_Analysis_BNF'!A1106", "b_cost_heat_nov_overall_D_111_by_b_hh_size_range")</f>
        <v>b_cost_heat_nov_overall_D_111_by_b_hh_size_range</v>
      </c>
      <c r="C147" t="s">
        <v>6672</v>
      </c>
    </row>
    <row r="148" spans="1:3" x14ac:dyDescent="0.25">
      <c r="A148" t="s">
        <v>6524</v>
      </c>
      <c r="B148" s="110" t="str">
        <f>HYPERLINK("#'Data_Analysis_BNF'!A1112", "b_cost_heat_nov_overall_D_112_by_b_hh_composition")</f>
        <v>b_cost_heat_nov_overall_D_112_by_b_hh_composition</v>
      </c>
      <c r="C148" t="s">
        <v>6673</v>
      </c>
    </row>
    <row r="149" spans="1:3" x14ac:dyDescent="0.25">
      <c r="A149" t="s">
        <v>6524</v>
      </c>
      <c r="B149" s="110" t="str">
        <f>HYPERLINK("#'Data_Analysis_BNF'!A1122", "b_cost_heat_nov_overall_D_113_by_b_hh_with_pwd")</f>
        <v>b_cost_heat_nov_overall_D_113_by_b_hh_with_pwd</v>
      </c>
      <c r="C149" t="s">
        <v>6672</v>
      </c>
    </row>
    <row r="150" spans="1:3" x14ac:dyDescent="0.25">
      <c r="A150" t="s">
        <v>6524</v>
      </c>
      <c r="B150" s="110" t="str">
        <f>HYPERLINK("#'Data_Analysis_BNF'!A1127", "b_cost_heat_nov_overall_D_114_by_b_aver_monthly_income_range")</f>
        <v>b_cost_heat_nov_overall_D_114_by_b_aver_monthly_income_range</v>
      </c>
      <c r="C150" t="s">
        <v>6674</v>
      </c>
    </row>
    <row r="151" spans="1:3" x14ac:dyDescent="0.25">
      <c r="A151" t="s">
        <v>6524</v>
      </c>
      <c r="B151" s="110" t="str">
        <f>HYPERLINK("#'Data_Analysis_BNF'!A1137", "b_cost_heat_nov_overall_D_115_by_b_heat_system_primary")</f>
        <v>b_cost_heat_nov_overall_D_115_by_b_heat_system_primary</v>
      </c>
      <c r="C151" t="s">
        <v>6675</v>
      </c>
    </row>
    <row r="152" spans="1:3" x14ac:dyDescent="0.25">
      <c r="A152" t="s">
        <v>6524</v>
      </c>
      <c r="B152" s="110" t="str">
        <f>HYPERLINK("#'Data_Analysis_BNF'!A1143", "b_cost_heat_nov_overall_D_116_by_b_hh_heating_systems")</f>
        <v>b_cost_heat_nov_overall_D_116_by_b_hh_heating_systems</v>
      </c>
      <c r="C152" t="s">
        <v>6676</v>
      </c>
    </row>
    <row r="153" spans="1:3" x14ac:dyDescent="0.25">
      <c r="A153" t="s">
        <v>6524</v>
      </c>
      <c r="B153" s="110" t="str">
        <f>HYPERLINK("#'Data_Analysis_BNF'!A1149", "b_cost_heat_nov_rural_urban_110")</f>
        <v>b_cost_heat_nov_rural_urban_110</v>
      </c>
      <c r="C153" t="s">
        <v>6677</v>
      </c>
    </row>
    <row r="154" spans="1:3" x14ac:dyDescent="0.25">
      <c r="A154" t="s">
        <v>6520</v>
      </c>
      <c r="B154" s="110" t="str">
        <f>HYPERLINK("#'Data_Analysis_BNF'!A1155", "b_cover_bills_dec_overall_D_326_by_b_hh_type")</f>
        <v>b_cover_bills_dec_overall_D_326_by_b_hh_type</v>
      </c>
      <c r="C154" t="s">
        <v>6678</v>
      </c>
    </row>
    <row r="155" spans="1:3" x14ac:dyDescent="0.25">
      <c r="A155" t="s">
        <v>6520</v>
      </c>
      <c r="B155" s="110" t="str">
        <f>HYPERLINK("#'Data_Analysis_BNF'!A1161", "b_cover_bills_dec_overall_D_328_by_b_hh_size_range")</f>
        <v>b_cover_bills_dec_overall_D_328_by_b_hh_size_range</v>
      </c>
      <c r="C155" t="s">
        <v>6679</v>
      </c>
    </row>
    <row r="156" spans="1:3" x14ac:dyDescent="0.25">
      <c r="A156" t="s">
        <v>6520</v>
      </c>
      <c r="B156" s="110" t="str">
        <f>HYPERLINK("#'Data_Analysis_BNF'!A1168", "b_cover_bills_dec_overall_D_329_by_b_hh_composition")</f>
        <v>b_cover_bills_dec_overall_D_329_by_b_hh_composition</v>
      </c>
      <c r="C156" t="s">
        <v>6680</v>
      </c>
    </row>
    <row r="157" spans="1:3" x14ac:dyDescent="0.25">
      <c r="A157" t="s">
        <v>6520</v>
      </c>
      <c r="B157" s="110" t="str">
        <f>HYPERLINK("#'Data_Analysis_BNF'!A1179", "b_cover_bills_dec_overall_D_330_by_b_hh_with_pwd")</f>
        <v>b_cover_bills_dec_overall_D_330_by_b_hh_with_pwd</v>
      </c>
      <c r="C157" t="s">
        <v>6681</v>
      </c>
    </row>
    <row r="158" spans="1:3" x14ac:dyDescent="0.25">
      <c r="A158" t="s">
        <v>6520</v>
      </c>
      <c r="B158" s="110" t="str">
        <f>HYPERLINK("#'Data_Analysis_BNF'!A1185", "b_cover_bills_dec_overall_D_331_by_accommodation_ownership")</f>
        <v>b_cover_bills_dec_overall_D_331_by_accommodation_ownership</v>
      </c>
      <c r="C158" t="s">
        <v>6682</v>
      </c>
    </row>
    <row r="159" spans="1:3" x14ac:dyDescent="0.25">
      <c r="A159" t="s">
        <v>6520</v>
      </c>
      <c r="B159" s="110" t="str">
        <f>HYPERLINK("#'Data_Analysis_BNF'!A1194", "b_cover_bills_dec_overall_D_332_by_b_aver_monthly_income_range")</f>
        <v>b_cover_bills_dec_overall_D_332_by_b_aver_monthly_income_range</v>
      </c>
      <c r="C159" t="s">
        <v>6683</v>
      </c>
    </row>
    <row r="160" spans="1:3" x14ac:dyDescent="0.25">
      <c r="A160" t="s">
        <v>6520</v>
      </c>
      <c r="B160" s="110" t="str">
        <f>HYPERLINK("#'Data_Analysis_BNF'!A1205", "b_cover_bills_dec_overall_D_333_by_b_heat_system_primary")</f>
        <v>b_cover_bills_dec_overall_D_333_by_b_heat_system_primary</v>
      </c>
      <c r="C160" t="s">
        <v>6684</v>
      </c>
    </row>
    <row r="161" spans="1:3" x14ac:dyDescent="0.25">
      <c r="A161" t="s">
        <v>6520</v>
      </c>
      <c r="B161" s="110" t="str">
        <f>HYPERLINK("#'Data_Analysis_BNF'!A1214", "b_cover_bills_dec_overall_D_334_by_b_hh_heating_systems")</f>
        <v>b_cover_bills_dec_overall_D_334_by_b_hh_heating_systems</v>
      </c>
      <c r="C161" t="s">
        <v>6685</v>
      </c>
    </row>
    <row r="162" spans="1:3" x14ac:dyDescent="0.25">
      <c r="A162" t="s">
        <v>6520</v>
      </c>
      <c r="B162" s="110" t="str">
        <f>HYPERLINK("#'Data_Analysis_BNF'!A1224", "b_cover_bills_dec_overall_D_335_by_b_gas_usage_full")</f>
        <v>b_cover_bills_dec_overall_D_335_by_b_gas_usage_full</v>
      </c>
      <c r="C162" t="s">
        <v>6686</v>
      </c>
    </row>
    <row r="163" spans="1:3" x14ac:dyDescent="0.25">
      <c r="A163" t="s">
        <v>6520</v>
      </c>
      <c r="B163" s="110" t="str">
        <f>HYPERLINK("#'Data_Analysis_BNF'!A1230", "b_cover_bills_dec_overall_D_336_by_b_perc_expenditure_spent_on_energy_dec")</f>
        <v>b_cover_bills_dec_overall_D_336_by_b_perc_expenditure_spent_on_energy_dec</v>
      </c>
      <c r="C163" t="s">
        <v>6687</v>
      </c>
    </row>
    <row r="164" spans="1:3" x14ac:dyDescent="0.25">
      <c r="A164" t="s">
        <v>6520</v>
      </c>
      <c r="B164" s="110" t="str">
        <f>HYPERLINK("#'Data_Analysis_BNF'!A1240", "b_cover_bills_dec_overall_D_337_by_b_perc_income_spent_on_energy_dec")</f>
        <v>b_cover_bills_dec_overall_D_337_by_b_perc_income_spent_on_energy_dec</v>
      </c>
      <c r="C164" t="s">
        <v>6688</v>
      </c>
    </row>
    <row r="165" spans="1:3" x14ac:dyDescent="0.25">
      <c r="A165" t="s">
        <v>6520</v>
      </c>
      <c r="B165" s="110" t="str">
        <f>HYPERLINK("#'Data_Analysis_BNF'!A1250", "b_cover_bills_dec_overall_D_338_by_amount_evrf_dec_range")</f>
        <v>b_cover_bills_dec_overall_D_338_by_amount_evrf_dec_range</v>
      </c>
      <c r="C165" t="s">
        <v>6689</v>
      </c>
    </row>
    <row r="166" spans="1:3" x14ac:dyDescent="0.25">
      <c r="A166" t="s">
        <v>6520</v>
      </c>
      <c r="B166" s="110" t="str">
        <f>HYPERLINK("#'Data_Analysis_BNF'!A1258", "b_cover_bills_dec_rural_urban_327")</f>
        <v>b_cover_bills_dec_rural_urban_327</v>
      </c>
      <c r="C166" t="s">
        <v>6690</v>
      </c>
    </row>
    <row r="167" spans="1:3" x14ac:dyDescent="0.25">
      <c r="A167" t="s">
        <v>6520</v>
      </c>
      <c r="B167" s="110" t="str">
        <f>HYPERLINK("#'Data_Analysis_BNF'!A1264", "b_cover_bills_nov_overall_D_313_by_b_hh_type")</f>
        <v>b_cover_bills_nov_overall_D_313_by_b_hh_type</v>
      </c>
      <c r="C167" t="s">
        <v>6691</v>
      </c>
    </row>
    <row r="168" spans="1:3" x14ac:dyDescent="0.25">
      <c r="A168" t="s">
        <v>6520</v>
      </c>
      <c r="B168" s="110" t="str">
        <f>HYPERLINK("#'Data_Analysis_BNF'!A1270", "b_cover_bills_nov_overall_D_315_by_b_hh_size_range")</f>
        <v>b_cover_bills_nov_overall_D_315_by_b_hh_size_range</v>
      </c>
      <c r="C168" t="s">
        <v>6692</v>
      </c>
    </row>
    <row r="169" spans="1:3" x14ac:dyDescent="0.25">
      <c r="A169" t="s">
        <v>6520</v>
      </c>
      <c r="B169" s="110" t="str">
        <f>HYPERLINK("#'Data_Analysis_BNF'!A1277", "b_cover_bills_nov_overall_D_316_by_b_hh_composition")</f>
        <v>b_cover_bills_nov_overall_D_316_by_b_hh_composition</v>
      </c>
      <c r="C169" t="s">
        <v>6693</v>
      </c>
    </row>
    <row r="170" spans="1:3" x14ac:dyDescent="0.25">
      <c r="A170" t="s">
        <v>6520</v>
      </c>
      <c r="B170" s="110" t="str">
        <f>HYPERLINK("#'Data_Analysis_BNF'!A1288", "b_cover_bills_nov_overall_D_317_by_b_hh_with_pwd")</f>
        <v>b_cover_bills_nov_overall_D_317_by_b_hh_with_pwd</v>
      </c>
      <c r="C170" t="s">
        <v>6694</v>
      </c>
    </row>
    <row r="171" spans="1:3" x14ac:dyDescent="0.25">
      <c r="A171" t="s">
        <v>6520</v>
      </c>
      <c r="B171" s="110" t="str">
        <f>HYPERLINK("#'Data_Analysis_BNF'!A1294", "b_cover_bills_nov_overall_D_318_by_accommodation_ownership")</f>
        <v>b_cover_bills_nov_overall_D_318_by_accommodation_ownership</v>
      </c>
      <c r="C171" t="s">
        <v>6695</v>
      </c>
    </row>
    <row r="172" spans="1:3" x14ac:dyDescent="0.25">
      <c r="A172" t="s">
        <v>6520</v>
      </c>
      <c r="B172" s="110" t="str">
        <f>HYPERLINK("#'Data_Analysis_BNF'!A1303", "b_cover_bills_nov_overall_D_319_by_b_aver_monthly_income_range")</f>
        <v>b_cover_bills_nov_overall_D_319_by_b_aver_monthly_income_range</v>
      </c>
      <c r="C172" t="s">
        <v>6696</v>
      </c>
    </row>
    <row r="173" spans="1:3" x14ac:dyDescent="0.25">
      <c r="A173" t="s">
        <v>6520</v>
      </c>
      <c r="B173" s="110" t="str">
        <f>HYPERLINK("#'Data_Analysis_BNF'!A1314", "b_cover_bills_nov_overall_D_320_by_b_heat_system_primary")</f>
        <v>b_cover_bills_nov_overall_D_320_by_b_heat_system_primary</v>
      </c>
      <c r="C173" t="s">
        <v>6697</v>
      </c>
    </row>
    <row r="174" spans="1:3" x14ac:dyDescent="0.25">
      <c r="A174" t="s">
        <v>6520</v>
      </c>
      <c r="B174" s="110" t="str">
        <f>HYPERLINK("#'Data_Analysis_BNF'!A1323", "b_cover_bills_nov_overall_D_321_by_b_hh_heating_systems")</f>
        <v>b_cover_bills_nov_overall_D_321_by_b_hh_heating_systems</v>
      </c>
      <c r="C174" t="s">
        <v>6698</v>
      </c>
    </row>
    <row r="175" spans="1:3" x14ac:dyDescent="0.25">
      <c r="A175" t="s">
        <v>6520</v>
      </c>
      <c r="B175" s="110" t="str">
        <f>HYPERLINK("#'Data_Analysis_BNF'!A1333", "b_cover_bills_nov_overall_D_322_by_b_gas_usage_full")</f>
        <v>b_cover_bills_nov_overall_D_322_by_b_gas_usage_full</v>
      </c>
      <c r="C175" t="s">
        <v>6699</v>
      </c>
    </row>
    <row r="176" spans="1:3" x14ac:dyDescent="0.25">
      <c r="A176" t="s">
        <v>6520</v>
      </c>
      <c r="B176" s="110" t="str">
        <f>HYPERLINK("#'Data_Analysis_BNF'!A1339", "b_cover_bills_nov_overall_D_323_by_b_perc_expenditure_spent_on_energy_nov")</f>
        <v>b_cover_bills_nov_overall_D_323_by_b_perc_expenditure_spent_on_energy_nov</v>
      </c>
      <c r="C176" t="s">
        <v>6700</v>
      </c>
    </row>
    <row r="177" spans="1:3" x14ac:dyDescent="0.25">
      <c r="A177" t="s">
        <v>6520</v>
      </c>
      <c r="B177" s="110" t="str">
        <f>HYPERLINK("#'Data_Analysis_BNF'!A1348", "b_cover_bills_nov_overall_D_324_by_b_perc_income_spent_on_energy_nov")</f>
        <v>b_cover_bills_nov_overall_D_324_by_b_perc_income_spent_on_energy_nov</v>
      </c>
      <c r="C177" t="s">
        <v>6701</v>
      </c>
    </row>
    <row r="178" spans="1:3" x14ac:dyDescent="0.25">
      <c r="A178" t="s">
        <v>6520</v>
      </c>
      <c r="B178" s="110" t="str">
        <f>HYPERLINK("#'Data_Analysis_BNF'!A1358", "b_cover_bills_nov_overall_D_325_by_amount_evrf_nov_range")</f>
        <v>b_cover_bills_nov_overall_D_325_by_amount_evrf_nov_range</v>
      </c>
      <c r="C178" t="s">
        <v>6702</v>
      </c>
    </row>
    <row r="179" spans="1:3" x14ac:dyDescent="0.25">
      <c r="A179" t="s">
        <v>6520</v>
      </c>
      <c r="B179" s="110" t="str">
        <f>HYPERLINK("#'Data_Analysis_BNF'!A1366", "b_cover_bills_nov_rural_urban_314")</f>
        <v>b_cover_bills_nov_rural_urban_314</v>
      </c>
      <c r="C179" t="s">
        <v>6703</v>
      </c>
    </row>
    <row r="180" spans="1:3" x14ac:dyDescent="0.25">
      <c r="A180" t="s">
        <v>6525</v>
      </c>
      <c r="B180" s="110" t="str">
        <f>HYPERLINK("#'Data_Analysis_BNF'!A1372", "b_evrf_23_24_overall_D_293_by_b_hh_type")</f>
        <v>b_evrf_23_24_overall_D_293_by_b_hh_type</v>
      </c>
      <c r="C180" t="s">
        <v>6704</v>
      </c>
    </row>
    <row r="181" spans="1:3" x14ac:dyDescent="0.25">
      <c r="A181" t="s">
        <v>6525</v>
      </c>
      <c r="B181" s="110" t="str">
        <f>HYPERLINK("#'Data_Analysis_BNF'!A1378", "b_evrf_23_24_overall_D_295_by_b_hh_composition")</f>
        <v>b_evrf_23_24_overall_D_295_by_b_hh_composition</v>
      </c>
      <c r="C181" t="s">
        <v>6705</v>
      </c>
    </row>
    <row r="182" spans="1:3" x14ac:dyDescent="0.25">
      <c r="A182" t="s">
        <v>6525</v>
      </c>
      <c r="B182" s="110" t="str">
        <f>HYPERLINK("#'Data_Analysis_BNF'!A1389", "b_evrf_23_24_overall_D_296_by_b_hh_with_pwd")</f>
        <v>b_evrf_23_24_overall_D_296_by_b_hh_with_pwd</v>
      </c>
      <c r="C182" t="s">
        <v>6706</v>
      </c>
    </row>
    <row r="183" spans="1:3" x14ac:dyDescent="0.25">
      <c r="A183" t="s">
        <v>6525</v>
      </c>
      <c r="B183" s="110" t="str">
        <f>HYPERLINK("#'Data_Analysis_BNF'!A1395", "b_evrf_23_24_overall_D_297_by_b_applied_evrf_how")</f>
        <v>b_evrf_23_24_overall_D_297_by_b_applied_evrf_how</v>
      </c>
      <c r="C183" t="s">
        <v>6707</v>
      </c>
    </row>
    <row r="184" spans="1:3" x14ac:dyDescent="0.25">
      <c r="A184" t="s">
        <v>6525</v>
      </c>
      <c r="B184" s="110" t="str">
        <f>HYPERLINK("#'Data_Analysis_BNF'!A1402", "b_evrf_23_24_overall_D_298_by_b_aware_of_evrf_how")</f>
        <v>b_evrf_23_24_overall_D_298_by_b_aware_of_evrf_how</v>
      </c>
      <c r="C184" t="s">
        <v>6708</v>
      </c>
    </row>
    <row r="185" spans="1:3" x14ac:dyDescent="0.25">
      <c r="A185" t="s">
        <v>6525</v>
      </c>
      <c r="B185" s="110" t="str">
        <f>HYPERLINK("#'Data_Analysis_BNF'!A1412", "b_evrf_23_24_rural_urban_294")</f>
        <v>b_evrf_23_24_rural_urban_294</v>
      </c>
      <c r="C185" t="s">
        <v>6709</v>
      </c>
    </row>
    <row r="186" spans="1:3" x14ac:dyDescent="0.25">
      <c r="A186" t="s">
        <v>6521</v>
      </c>
      <c r="B186" s="110" t="str">
        <f>HYPERLINK("#'Data_Analysis_BNF'!A1418", "b_evrf_changes_overall_D_224_by_b_hh_type")</f>
        <v>b_evrf_changes_overall_D_224_by_b_hh_type</v>
      </c>
      <c r="C186" t="s">
        <v>6710</v>
      </c>
    </row>
    <row r="187" spans="1:3" x14ac:dyDescent="0.25">
      <c r="A187" t="s">
        <v>6521</v>
      </c>
      <c r="B187" s="110" t="str">
        <f>HYPERLINK("#'Data_Analysis_BNF'!A1424", "b_evrf_changes_overall_D_226_by_resp_age_range")</f>
        <v>b_evrf_changes_overall_D_226_by_resp_age_range</v>
      </c>
      <c r="C187" t="s">
        <v>6711</v>
      </c>
    </row>
    <row r="188" spans="1:3" x14ac:dyDescent="0.25">
      <c r="A188" t="s">
        <v>6521</v>
      </c>
      <c r="B188" s="110" t="str">
        <f>HYPERLINK("#'Data_Analysis_BNF'!A1431", "b_evrf_changes_overall_D_227_by_b_hh_composition")</f>
        <v>b_evrf_changes_overall_D_227_by_b_hh_composition</v>
      </c>
      <c r="C188" t="s">
        <v>6712</v>
      </c>
    </row>
    <row r="189" spans="1:3" x14ac:dyDescent="0.25">
      <c r="A189" t="s">
        <v>6521</v>
      </c>
      <c r="B189" s="110" t="str">
        <f>HYPERLINK("#'Data_Analysis_BNF'!A1442", "b_evrf_changes_overall_D_228_by_b_hh_with_pwd")</f>
        <v>b_evrf_changes_overall_D_228_by_b_hh_with_pwd</v>
      </c>
      <c r="C189" t="s">
        <v>6713</v>
      </c>
    </row>
    <row r="190" spans="1:3" x14ac:dyDescent="0.25">
      <c r="A190" t="s">
        <v>6521</v>
      </c>
      <c r="B190" s="110" t="str">
        <f>HYPERLINK("#'Data_Analysis_BNF'!A1448", "b_evrf_changes_overall_D_229_by_accommodation_ownership")</f>
        <v>b_evrf_changes_overall_D_229_by_accommodation_ownership</v>
      </c>
      <c r="C190" t="s">
        <v>6714</v>
      </c>
    </row>
    <row r="191" spans="1:3" x14ac:dyDescent="0.25">
      <c r="A191" t="s">
        <v>6521</v>
      </c>
      <c r="B191" s="110" t="str">
        <f>HYPERLINK("#'Data_Analysis_BNF'!A1457", "b_evrf_changes_overall_D_230_by_b_aver_monthly_income_range")</f>
        <v>b_evrf_changes_overall_D_230_by_b_aver_monthly_income_range</v>
      </c>
      <c r="C191" t="s">
        <v>6715</v>
      </c>
    </row>
    <row r="192" spans="1:3" x14ac:dyDescent="0.25">
      <c r="A192" t="s">
        <v>6521</v>
      </c>
      <c r="B192" s="110" t="str">
        <f>HYPERLINK("#'Data_Analysis_BNF'!A1468", "b_evrf_changes_overall_D_231_by_b_heat_system_primary")</f>
        <v>b_evrf_changes_overall_D_231_by_b_heat_system_primary</v>
      </c>
      <c r="C192" t="s">
        <v>6716</v>
      </c>
    </row>
    <row r="193" spans="1:3" x14ac:dyDescent="0.25">
      <c r="A193" t="s">
        <v>6521</v>
      </c>
      <c r="B193" s="110" t="str">
        <f>HYPERLINK("#'Data_Analysis_BNF'!A1477", "b_evrf_changes_overall_D_232_by_b_legal_status")</f>
        <v>b_evrf_changes_overall_D_232_by_b_legal_status</v>
      </c>
      <c r="C193" t="s">
        <v>6717</v>
      </c>
    </row>
    <row r="194" spans="1:3" x14ac:dyDescent="0.25">
      <c r="A194" t="s">
        <v>6521</v>
      </c>
      <c r="B194" s="110" t="str">
        <f>HYPERLINK("#'Data_Analysis_BNF'!A1487", "b_evrf_changes_overall_D_233_by_b_applied_evrf_how")</f>
        <v>b_evrf_changes_overall_D_233_by_b_applied_evrf_how</v>
      </c>
      <c r="C194" t="s">
        <v>6718</v>
      </c>
    </row>
    <row r="195" spans="1:3" x14ac:dyDescent="0.25">
      <c r="A195" t="s">
        <v>6521</v>
      </c>
      <c r="B195" s="110" t="str">
        <f>HYPERLINK("#'Data_Analysis_BNF'!A1494", "b_evrf_changes_rural_urban_225")</f>
        <v>b_evrf_changes_rural_urban_225</v>
      </c>
      <c r="C195" t="s">
        <v>6719</v>
      </c>
    </row>
    <row r="196" spans="1:3" x14ac:dyDescent="0.25">
      <c r="A196" t="s">
        <v>6522</v>
      </c>
      <c r="B196" s="110" t="str">
        <f>HYPERLINK("#'Data_Analysis_BNF'!A1500", "b_financial_stress_dec_overall_D_50_by_b_hh_type")</f>
        <v>b_financial_stress_dec_overall_D_50_by_b_hh_type</v>
      </c>
      <c r="C196" t="s">
        <v>6720</v>
      </c>
    </row>
    <row r="197" spans="1:3" x14ac:dyDescent="0.25">
      <c r="A197" t="s">
        <v>6522</v>
      </c>
      <c r="B197" s="110" t="str">
        <f>HYPERLINK("#'Data_Analysis_BNF'!A1506", "b_financial_stress_dec_overall_D_52_by_b_hh_size_range")</f>
        <v>b_financial_stress_dec_overall_D_52_by_b_hh_size_range</v>
      </c>
      <c r="C197" t="s">
        <v>6721</v>
      </c>
    </row>
    <row r="198" spans="1:3" x14ac:dyDescent="0.25">
      <c r="A198" t="s">
        <v>6522</v>
      </c>
      <c r="B198" s="110" t="str">
        <f>HYPERLINK("#'Data_Analysis_BNF'!A1513", "b_financial_stress_dec_overall_D_53_by_b_hh_composition")</f>
        <v>b_financial_stress_dec_overall_D_53_by_b_hh_composition</v>
      </c>
      <c r="C198" t="s">
        <v>6722</v>
      </c>
    </row>
    <row r="199" spans="1:3" x14ac:dyDescent="0.25">
      <c r="A199" t="s">
        <v>6522</v>
      </c>
      <c r="B199" s="110" t="str">
        <f>HYPERLINK("#'Data_Analysis_BNF'!A1524", "b_financial_stress_dec_overall_D_54_by_b_hh_with_pwd")</f>
        <v>b_financial_stress_dec_overall_D_54_by_b_hh_with_pwd</v>
      </c>
      <c r="C199" t="s">
        <v>6723</v>
      </c>
    </row>
    <row r="200" spans="1:3" x14ac:dyDescent="0.25">
      <c r="A200" t="s">
        <v>6522</v>
      </c>
      <c r="B200" s="110" t="str">
        <f>HYPERLINK("#'Data_Analysis_BNF'!A1530", "b_financial_stress_dec_overall_D_55_by_accommodation_ownership")</f>
        <v>b_financial_stress_dec_overall_D_55_by_accommodation_ownership</v>
      </c>
      <c r="C200" t="s">
        <v>6724</v>
      </c>
    </row>
    <row r="201" spans="1:3" x14ac:dyDescent="0.25">
      <c r="A201" t="s">
        <v>6522</v>
      </c>
      <c r="B201" s="110" t="str">
        <f>HYPERLINK("#'Data_Analysis_BNF'!A1539", "b_financial_stress_dec_overall_D_56_by_b_aver_monthly_income_range")</f>
        <v>b_financial_stress_dec_overall_D_56_by_b_aver_monthly_income_range</v>
      </c>
      <c r="C201" t="s">
        <v>6725</v>
      </c>
    </row>
    <row r="202" spans="1:3" x14ac:dyDescent="0.25">
      <c r="A202" t="s">
        <v>6522</v>
      </c>
      <c r="B202" s="110" t="str">
        <f>HYPERLINK("#'Data_Analysis_BNF'!A1549", "b_financial_stress_dec_rural_urban_51")</f>
        <v>b_financial_stress_dec_rural_urban_51</v>
      </c>
      <c r="C202" t="s">
        <v>6726</v>
      </c>
    </row>
    <row r="203" spans="1:3" x14ac:dyDescent="0.25">
      <c r="A203" t="s">
        <v>6522</v>
      </c>
      <c r="B203" s="110" t="str">
        <f>HYPERLINK("#'Data_Analysis_BNF'!A1555", "b_financial_stress_nov_overall_D_43_by_b_hh_type")</f>
        <v>b_financial_stress_nov_overall_D_43_by_b_hh_type</v>
      </c>
      <c r="C203" t="s">
        <v>6727</v>
      </c>
    </row>
    <row r="204" spans="1:3" x14ac:dyDescent="0.25">
      <c r="A204" t="s">
        <v>6522</v>
      </c>
      <c r="B204" s="110" t="str">
        <f>HYPERLINK("#'Data_Analysis_BNF'!A1561", "b_financial_stress_nov_overall_D_45_by_b_hh_size_range")</f>
        <v>b_financial_stress_nov_overall_D_45_by_b_hh_size_range</v>
      </c>
      <c r="C204" t="s">
        <v>6728</v>
      </c>
    </row>
    <row r="205" spans="1:3" x14ac:dyDescent="0.25">
      <c r="A205" t="s">
        <v>6522</v>
      </c>
      <c r="B205" s="110" t="str">
        <f>HYPERLINK("#'Data_Analysis_BNF'!A1568", "b_financial_stress_nov_overall_D_46_by_b_hh_composition")</f>
        <v>b_financial_stress_nov_overall_D_46_by_b_hh_composition</v>
      </c>
      <c r="C205" t="s">
        <v>6729</v>
      </c>
    </row>
    <row r="206" spans="1:3" x14ac:dyDescent="0.25">
      <c r="A206" t="s">
        <v>6522</v>
      </c>
      <c r="B206" s="110" t="str">
        <f>HYPERLINK("#'Data_Analysis_BNF'!A1579", "b_financial_stress_nov_overall_D_47_by_b_hh_with_pwd")</f>
        <v>b_financial_stress_nov_overall_D_47_by_b_hh_with_pwd</v>
      </c>
      <c r="C206" t="s">
        <v>6730</v>
      </c>
    </row>
    <row r="207" spans="1:3" x14ac:dyDescent="0.25">
      <c r="A207" t="s">
        <v>6522</v>
      </c>
      <c r="B207" s="110" t="str">
        <f>HYPERLINK("#'Data_Analysis_BNF'!A1585", "b_financial_stress_nov_overall_D_48_by_accommodation_ownership")</f>
        <v>b_financial_stress_nov_overall_D_48_by_accommodation_ownership</v>
      </c>
      <c r="C207" t="s">
        <v>6731</v>
      </c>
    </row>
    <row r="208" spans="1:3" x14ac:dyDescent="0.25">
      <c r="A208" t="s">
        <v>6522</v>
      </c>
      <c r="B208" s="110" t="str">
        <f>HYPERLINK("#'Data_Analysis_BNF'!A1594", "b_financial_stress_nov_overall_D_49_by_b_aver_monthly_income_range")</f>
        <v>b_financial_stress_nov_overall_D_49_by_b_aver_monthly_income_range</v>
      </c>
      <c r="C208" t="s">
        <v>6732</v>
      </c>
    </row>
    <row r="209" spans="1:3" x14ac:dyDescent="0.25">
      <c r="A209" t="s">
        <v>6522</v>
      </c>
      <c r="B209" s="110" t="str">
        <f>HYPERLINK("#'Data_Analysis_BNF'!A1604", "b_financial_stress_nov_rural_urban_44")</f>
        <v>b_financial_stress_nov_rural_urban_44</v>
      </c>
      <c r="C209" t="s">
        <v>6733</v>
      </c>
    </row>
    <row r="210" spans="1:3" x14ac:dyDescent="0.25">
      <c r="A210" t="s">
        <v>6526</v>
      </c>
      <c r="B210" s="110" t="str">
        <f>HYPERLINK("#'Data_Analysis_BNF'!A1610", "b_gas_usage_full_overall_D_76_by_b_hh_type")</f>
        <v>b_gas_usage_full_overall_D_76_by_b_hh_type</v>
      </c>
      <c r="C210" t="s">
        <v>6734</v>
      </c>
    </row>
    <row r="211" spans="1:3" x14ac:dyDescent="0.25">
      <c r="A211" t="s">
        <v>6526</v>
      </c>
      <c r="B211" s="110" t="str">
        <f>HYPERLINK("#'Data_Analysis_BNF'!A1616", "b_gas_usage_full_overall_D_78_by_b_aver_monthly_income_range")</f>
        <v>b_gas_usage_full_overall_D_78_by_b_aver_monthly_income_range</v>
      </c>
      <c r="C211" t="s">
        <v>6735</v>
      </c>
    </row>
    <row r="212" spans="1:3" x14ac:dyDescent="0.25">
      <c r="A212" t="s">
        <v>6526</v>
      </c>
      <c r="B212" s="110" t="str">
        <f>HYPERLINK("#'Data_Analysis_BNF'!A1627", "b_gas_usage_full_overall_D_79_by_b_perc_expenditure_spent_on_energy_nov")</f>
        <v>b_gas_usage_full_overall_D_79_by_b_perc_expenditure_spent_on_energy_nov</v>
      </c>
      <c r="C212" t="s">
        <v>6736</v>
      </c>
    </row>
    <row r="213" spans="1:3" x14ac:dyDescent="0.25">
      <c r="A213" t="s">
        <v>6526</v>
      </c>
      <c r="B213" s="110" t="str">
        <f>HYPERLINK("#'Data_Analysis_BNF'!A1636", "b_gas_usage_full_overall_D_80_by_b_perc_expenditure_spent_on_energy_dec")</f>
        <v>b_gas_usage_full_overall_D_80_by_b_perc_expenditure_spent_on_energy_dec</v>
      </c>
      <c r="C213" t="s">
        <v>6737</v>
      </c>
    </row>
    <row r="214" spans="1:3" x14ac:dyDescent="0.25">
      <c r="A214" t="s">
        <v>6526</v>
      </c>
      <c r="B214" s="110" t="str">
        <f>HYPERLINK("#'Data_Analysis_BNF'!A1646", "b_gas_usage_full_overall_D_81_by_b_perc_income_spent_on_energy_nov")</f>
        <v>b_gas_usage_full_overall_D_81_by_b_perc_income_spent_on_energy_nov</v>
      </c>
      <c r="C214" t="s">
        <v>6738</v>
      </c>
    </row>
    <row r="215" spans="1:3" x14ac:dyDescent="0.25">
      <c r="A215" t="s">
        <v>6526</v>
      </c>
      <c r="B215" s="110" t="str">
        <f>HYPERLINK("#'Data_Analysis_BNF'!A1656", "b_gas_usage_full_overall_D_82_by_b_perc_income_spent_on_energy_dec")</f>
        <v>b_gas_usage_full_overall_D_82_by_b_perc_income_spent_on_energy_dec</v>
      </c>
      <c r="C215" t="s">
        <v>6739</v>
      </c>
    </row>
    <row r="216" spans="1:3" x14ac:dyDescent="0.25">
      <c r="A216" t="s">
        <v>6526</v>
      </c>
      <c r="B216" s="110" t="str">
        <f>HYPERLINK("#'Data_Analysis_BNF'!A1666", "b_gas_usage_full_overall_D_83_by_amount_evrf_nov_range")</f>
        <v>b_gas_usage_full_overall_D_83_by_amount_evrf_nov_range</v>
      </c>
      <c r="C216" t="s">
        <v>6740</v>
      </c>
    </row>
    <row r="217" spans="1:3" x14ac:dyDescent="0.25">
      <c r="A217" t="s">
        <v>6526</v>
      </c>
      <c r="B217" s="110" t="str">
        <f>HYPERLINK("#'Data_Analysis_BNF'!A1674", "b_gas_usage_full_overall_D_84_by_amount_evrf_dec_range")</f>
        <v>b_gas_usage_full_overall_D_84_by_amount_evrf_dec_range</v>
      </c>
      <c r="C217" t="s">
        <v>6741</v>
      </c>
    </row>
    <row r="218" spans="1:3" x14ac:dyDescent="0.25">
      <c r="A218" t="s">
        <v>6526</v>
      </c>
      <c r="B218" s="110" t="str">
        <f>HYPERLINK("#'Data_Analysis_BNF'!A1682", "b_gas_usage_full_rural_urban_77")</f>
        <v>b_gas_usage_full_rural_urban_77</v>
      </c>
      <c r="C218" t="s">
        <v>6742</v>
      </c>
    </row>
    <row r="219" spans="1:3" x14ac:dyDescent="0.25">
      <c r="A219" t="s">
        <v>6526</v>
      </c>
      <c r="B219" s="110" t="str">
        <f>HYPERLINK("#'Data_Analysis_BNF'!A1688", "b_heat_system_primary_overall_D_57_by_b_hh_type")</f>
        <v>b_heat_system_primary_overall_D_57_by_b_hh_type</v>
      </c>
      <c r="C219" t="s">
        <v>6743</v>
      </c>
    </row>
    <row r="220" spans="1:3" x14ac:dyDescent="0.25">
      <c r="A220" t="s">
        <v>6526</v>
      </c>
      <c r="B220" s="110" t="str">
        <f>HYPERLINK("#'Data_Analysis_BNF'!A1694", "b_heat_system_primary_overall_D_59_by_b_hh_size_range")</f>
        <v>b_heat_system_primary_overall_D_59_by_b_hh_size_range</v>
      </c>
      <c r="C220" t="s">
        <v>6744</v>
      </c>
    </row>
    <row r="221" spans="1:3" x14ac:dyDescent="0.25">
      <c r="A221" t="s">
        <v>6526</v>
      </c>
      <c r="B221" s="110" t="str">
        <f>HYPERLINK("#'Data_Analysis_BNF'!A1701", "b_heat_system_primary_overall_D_60_by_b_perc_expenditure_spent_on_energy_nov")</f>
        <v>b_heat_system_primary_overall_D_60_by_b_perc_expenditure_spent_on_energy_nov</v>
      </c>
      <c r="C221" t="s">
        <v>6745</v>
      </c>
    </row>
    <row r="222" spans="1:3" x14ac:dyDescent="0.25">
      <c r="A222" t="s">
        <v>6526</v>
      </c>
      <c r="B222" s="110" t="str">
        <f>HYPERLINK("#'Data_Analysis_BNF'!A1710", "b_heat_system_primary_overall_D_61_by_b_perc_expenditure_spent_on_energy_dec")</f>
        <v>b_heat_system_primary_overall_D_61_by_b_perc_expenditure_spent_on_energy_dec</v>
      </c>
      <c r="C222" t="s">
        <v>6746</v>
      </c>
    </row>
    <row r="223" spans="1:3" x14ac:dyDescent="0.25">
      <c r="A223" t="s">
        <v>6526</v>
      </c>
      <c r="B223" s="110" t="str">
        <f>HYPERLINK("#'Data_Analysis_BNF'!A1720", "b_heat_system_primary_overall_D_62_by_b_perc_income_spent_on_energy_nov")</f>
        <v>b_heat_system_primary_overall_D_62_by_b_perc_income_spent_on_energy_nov</v>
      </c>
      <c r="C223" t="s">
        <v>6747</v>
      </c>
    </row>
    <row r="224" spans="1:3" x14ac:dyDescent="0.25">
      <c r="A224" t="s">
        <v>6526</v>
      </c>
      <c r="B224" s="110" t="str">
        <f>HYPERLINK("#'Data_Analysis_BNF'!A1730", "b_heat_system_primary_overall_D_63_by_b_perc_income_spent_on_energy_dec")</f>
        <v>b_heat_system_primary_overall_D_63_by_b_perc_income_spent_on_energy_dec</v>
      </c>
      <c r="C224" t="s">
        <v>6748</v>
      </c>
    </row>
    <row r="225" spans="1:3" x14ac:dyDescent="0.25">
      <c r="A225" t="s">
        <v>6526</v>
      </c>
      <c r="B225" s="110" t="str">
        <f>HYPERLINK("#'Data_Analysis_BNF'!A1740", "b_heat_system_primary_rural_urban_58")</f>
        <v>b_heat_system_primary_rural_urban_58</v>
      </c>
      <c r="C225" t="s">
        <v>6749</v>
      </c>
    </row>
    <row r="226" spans="1:3" x14ac:dyDescent="0.25">
      <c r="A226" t="s">
        <v>6526</v>
      </c>
      <c r="B226" s="110" t="str">
        <f>HYPERLINK("#'Data_Analysis_BNF'!A1746", "b_heat_system_secondary_overall_D_64_by_b_hh_type")</f>
        <v>b_heat_system_secondary_overall_D_64_by_b_hh_type</v>
      </c>
      <c r="C226" t="s">
        <v>6750</v>
      </c>
    </row>
    <row r="227" spans="1:3" x14ac:dyDescent="0.25">
      <c r="A227" t="s">
        <v>6526</v>
      </c>
      <c r="B227" s="110" t="str">
        <f>HYPERLINK("#'Data_Analysis_BNF'!A1752", "b_heat_system_secondary_rural_urban_65")</f>
        <v>b_heat_system_secondary_rural_urban_65</v>
      </c>
      <c r="C227" t="s">
        <v>6751</v>
      </c>
    </row>
    <row r="228" spans="1:3" x14ac:dyDescent="0.25">
      <c r="A228" t="s">
        <v>137</v>
      </c>
      <c r="B228" s="110" t="str">
        <f>HYPERLINK("#'Data_Analysis_BNF'!A1758", "b_hh_composition_overall_D_14_by_b_hh_type")</f>
        <v>b_hh_composition_overall_D_14_by_b_hh_type</v>
      </c>
      <c r="C228" t="s">
        <v>6752</v>
      </c>
    </row>
    <row r="229" spans="1:3" x14ac:dyDescent="0.25">
      <c r="A229" t="s">
        <v>137</v>
      </c>
      <c r="B229" s="110" t="str">
        <f>HYPERLINK("#'Data_Analysis_BNF'!A1764", "b_hh_composition_rural_urban_15")</f>
        <v>b_hh_composition_rural_urban_15</v>
      </c>
      <c r="C229" t="s">
        <v>6753</v>
      </c>
    </row>
    <row r="230" spans="1:3" x14ac:dyDescent="0.25">
      <c r="A230" t="s">
        <v>6526</v>
      </c>
      <c r="B230" s="110" t="str">
        <f>HYPERLINK("#'Data_Analysis_BNF'!A1770", "b_hh_heating_systems_overall_D_66_by_b_hh_type")</f>
        <v>b_hh_heating_systems_overall_D_66_by_b_hh_type</v>
      </c>
      <c r="C230" t="s">
        <v>6754</v>
      </c>
    </row>
    <row r="231" spans="1:3" x14ac:dyDescent="0.25">
      <c r="A231" t="s">
        <v>6526</v>
      </c>
      <c r="B231" s="110" t="str">
        <f>HYPERLINK("#'Data_Analysis_BNF'!A1776", "b_hh_heating_systems_overall_D_68_by_b_hh_size_range")</f>
        <v>b_hh_heating_systems_overall_D_68_by_b_hh_size_range</v>
      </c>
      <c r="C231" t="s">
        <v>6755</v>
      </c>
    </row>
    <row r="232" spans="1:3" x14ac:dyDescent="0.25">
      <c r="A232" t="s">
        <v>6526</v>
      </c>
      <c r="B232" s="110" t="str">
        <f>HYPERLINK("#'Data_Analysis_BNF'!A1783", "b_hh_heating_systems_overall_D_69_by_b_aver_monthly_income_range")</f>
        <v>b_hh_heating_systems_overall_D_69_by_b_aver_monthly_income_range</v>
      </c>
      <c r="C232" t="s">
        <v>6756</v>
      </c>
    </row>
    <row r="233" spans="1:3" x14ac:dyDescent="0.25">
      <c r="A233" t="s">
        <v>6526</v>
      </c>
      <c r="B233" s="110" t="str">
        <f>HYPERLINK("#'Data_Analysis_BNF'!A1794", "b_hh_heating_systems_overall_D_70_by_b_heat_system_primary")</f>
        <v>b_hh_heating_systems_overall_D_70_by_b_heat_system_primary</v>
      </c>
      <c r="C233" t="s">
        <v>6757</v>
      </c>
    </row>
    <row r="234" spans="1:3" x14ac:dyDescent="0.25">
      <c r="A234" t="s">
        <v>6526</v>
      </c>
      <c r="B234" s="110" t="str">
        <f>HYPERLINK("#'Data_Analysis_BNF'!A1803", "b_hh_heating_systems_overall_D_71_by_b_applied_evrf_how")</f>
        <v>b_hh_heating_systems_overall_D_71_by_b_applied_evrf_how</v>
      </c>
      <c r="C234" t="s">
        <v>6758</v>
      </c>
    </row>
    <row r="235" spans="1:3" x14ac:dyDescent="0.25">
      <c r="A235" t="s">
        <v>6526</v>
      </c>
      <c r="B235" s="110" t="str">
        <f>HYPERLINK("#'Data_Analysis_BNF'!A1810", "b_hh_heating_systems_overall_D_72_by_b_perc_expenditure_spent_on_energy_nov")</f>
        <v>b_hh_heating_systems_overall_D_72_by_b_perc_expenditure_spent_on_energy_nov</v>
      </c>
      <c r="C235" t="s">
        <v>6759</v>
      </c>
    </row>
    <row r="236" spans="1:3" x14ac:dyDescent="0.25">
      <c r="A236" t="s">
        <v>6526</v>
      </c>
      <c r="B236" s="110" t="str">
        <f>HYPERLINK("#'Data_Analysis_BNF'!A1819", "b_hh_heating_systems_overall_D_73_by_b_perc_expenditure_spent_on_energy_dec")</f>
        <v>b_hh_heating_systems_overall_D_73_by_b_perc_expenditure_spent_on_energy_dec</v>
      </c>
      <c r="C236" t="s">
        <v>6760</v>
      </c>
    </row>
    <row r="237" spans="1:3" x14ac:dyDescent="0.25">
      <c r="A237" t="s">
        <v>6526</v>
      </c>
      <c r="B237" s="110" t="str">
        <f>HYPERLINK("#'Data_Analysis_BNF'!A1829", "b_hh_heating_systems_overall_D_74_by_b_perc_income_spent_on_energy_nov")</f>
        <v>b_hh_heating_systems_overall_D_74_by_b_perc_income_spent_on_energy_nov</v>
      </c>
      <c r="C237" t="s">
        <v>6761</v>
      </c>
    </row>
    <row r="238" spans="1:3" x14ac:dyDescent="0.25">
      <c r="A238" t="s">
        <v>6526</v>
      </c>
      <c r="B238" s="110" t="str">
        <f>HYPERLINK("#'Data_Analysis_BNF'!A1839", "b_hh_heating_systems_overall_D_75_by_b_perc_income_spent_on_energy_dec")</f>
        <v>b_hh_heating_systems_overall_D_75_by_b_perc_income_spent_on_energy_dec</v>
      </c>
      <c r="C238" t="s">
        <v>6762</v>
      </c>
    </row>
    <row r="239" spans="1:3" x14ac:dyDescent="0.25">
      <c r="A239" t="s">
        <v>6526</v>
      </c>
      <c r="B239" s="110" t="str">
        <f>HYPERLINK("#'Data_Analysis_BNF'!A1849", "b_hh_heating_systems_rural_urban_67")</f>
        <v>b_hh_heating_systems_rural_urban_67</v>
      </c>
      <c r="C239" t="s">
        <v>6763</v>
      </c>
    </row>
    <row r="240" spans="1:3" x14ac:dyDescent="0.25">
      <c r="A240" t="s">
        <v>6523</v>
      </c>
      <c r="B240" s="110" t="str">
        <f>HYPERLINK("#'Data_Analysis_BNF'!A1855", "b_hh_paid_for_gas_dec_overall_D_151_by_b_hh_type")</f>
        <v>b_hh_paid_for_gas_dec_overall_D_151_by_b_hh_type</v>
      </c>
      <c r="C240" t="s">
        <v>6764</v>
      </c>
    </row>
    <row r="241" spans="1:3" x14ac:dyDescent="0.25">
      <c r="A241" t="s">
        <v>6524</v>
      </c>
      <c r="B241" s="110" t="str">
        <f>HYPERLINK("#'Data_Analysis_BNF'!A1861", "b_hh_paid_for_gas_nov_overall_D_99_by_b_hh_type")</f>
        <v>b_hh_paid_for_gas_nov_overall_D_99_by_b_hh_type</v>
      </c>
      <c r="C241" t="s">
        <v>6765</v>
      </c>
    </row>
    <row r="242" spans="1:3" x14ac:dyDescent="0.25">
      <c r="A242" t="s">
        <v>6523</v>
      </c>
      <c r="B242" s="110" t="str">
        <f>HYPERLINK("#'Data_Analysis_BNF'!A1867", "b_hh_paid_for_heat_dec_overall_D_160_by_b_hh_type")</f>
        <v>b_hh_paid_for_heat_dec_overall_D_160_by_b_hh_type</v>
      </c>
      <c r="C242" t="s">
        <v>6766</v>
      </c>
    </row>
    <row r="243" spans="1:3" x14ac:dyDescent="0.25">
      <c r="A243" t="s">
        <v>6524</v>
      </c>
      <c r="B243" s="110" t="str">
        <f>HYPERLINK("#'Data_Analysis_BNF'!A1873", "b_hh_paid_for_heat_nov_overall_D_108_by_b_hh_type")</f>
        <v>b_hh_paid_for_heat_nov_overall_D_108_by_b_hh_type</v>
      </c>
      <c r="C243" t="s">
        <v>6767</v>
      </c>
    </row>
    <row r="244" spans="1:3" x14ac:dyDescent="0.25">
      <c r="A244" t="s">
        <v>137</v>
      </c>
      <c r="B244" s="110" t="str">
        <f>HYPERLINK("#'Data_Analysis_BNF'!A1879", "b_hh_size_overall_9")</f>
        <v>b_hh_size_overall_9</v>
      </c>
      <c r="C244" t="s">
        <v>6768</v>
      </c>
    </row>
    <row r="245" spans="1:3" x14ac:dyDescent="0.25">
      <c r="A245" t="s">
        <v>137</v>
      </c>
      <c r="B245" s="110" t="str">
        <f>HYPERLINK("#'Data_Analysis_BNF'!A1883", "b_hh_size_overall_D_10_by_b_hh_type")</f>
        <v>b_hh_size_overall_D_10_by_b_hh_type</v>
      </c>
      <c r="C245" t="s">
        <v>6769</v>
      </c>
    </row>
    <row r="246" spans="1:3" x14ac:dyDescent="0.25">
      <c r="A246" t="s">
        <v>137</v>
      </c>
      <c r="B246" s="110" t="str">
        <f>HYPERLINK("#'Data_Analysis_BNF'!A1888", "b_hh_size_range_overall_D_11_by_b_hh_type")</f>
        <v>b_hh_size_range_overall_D_11_by_b_hh_type</v>
      </c>
      <c r="C246" t="s">
        <v>6770</v>
      </c>
    </row>
    <row r="247" spans="1:3" x14ac:dyDescent="0.25">
      <c r="A247" t="s">
        <v>137</v>
      </c>
      <c r="B247" s="110" t="str">
        <f>HYPERLINK("#'Data_Analysis_BNF'!A1894", "b_hh_type_mixed_overall_7")</f>
        <v>b_hh_type_mixed_overall_7</v>
      </c>
      <c r="C247" t="s">
        <v>6771</v>
      </c>
    </row>
    <row r="248" spans="1:3" x14ac:dyDescent="0.25">
      <c r="A248" t="s">
        <v>137</v>
      </c>
      <c r="B248" s="110" t="str">
        <f>HYPERLINK("#'Data_Analysis_BNF'!A1898", "b_hh_type_overall_6")</f>
        <v>b_hh_type_overall_6</v>
      </c>
      <c r="C248" t="s">
        <v>6772</v>
      </c>
    </row>
    <row r="249" spans="1:3" x14ac:dyDescent="0.25">
      <c r="A249" t="s">
        <v>137</v>
      </c>
      <c r="B249" s="110" t="str">
        <f>HYPERLINK("#'Data_Analysis_BNF'!A1902", "b_hh_with_pwd_certificate_overall_20")</f>
        <v>b_hh_with_pwd_certificate_overall_20</v>
      </c>
      <c r="C249" t="s">
        <v>6773</v>
      </c>
    </row>
    <row r="250" spans="1:3" x14ac:dyDescent="0.25">
      <c r="A250" t="s">
        <v>137</v>
      </c>
      <c r="B250" s="110" t="str">
        <f>HYPERLINK("#'Data_Analysis_BNF'!A1906", "b_hh_with_pwd_certificate_overall_D_21_by_b_hh_with_pwd")</f>
        <v>b_hh_with_pwd_certificate_overall_D_21_by_b_hh_with_pwd</v>
      </c>
      <c r="C250" t="s">
        <v>6774</v>
      </c>
    </row>
    <row r="251" spans="1:3" x14ac:dyDescent="0.25">
      <c r="A251" t="s">
        <v>137</v>
      </c>
      <c r="B251" s="110" t="str">
        <f>HYPERLINK("#'Data_Analysis_BNF'!A1912", "b_hh_with_pwd_overall_D_17_by_b_hh_type")</f>
        <v>b_hh_with_pwd_overall_D_17_by_b_hh_type</v>
      </c>
      <c r="C251" t="s">
        <v>6775</v>
      </c>
    </row>
    <row r="252" spans="1:3" x14ac:dyDescent="0.25">
      <c r="A252" t="s">
        <v>137</v>
      </c>
      <c r="B252" s="110" t="str">
        <f>HYPERLINK("#'Data_Analysis_BNF'!A1918", "b_hh_with_pwd_rural_urban_18")</f>
        <v>b_hh_with_pwd_rural_urban_18</v>
      </c>
      <c r="C252" t="s">
        <v>6776</v>
      </c>
    </row>
    <row r="253" spans="1:3" x14ac:dyDescent="0.25">
      <c r="A253" t="s">
        <v>137</v>
      </c>
      <c r="B253" s="110" t="str">
        <f>HYPERLINK("#'Data_Analysis_BNF'!A1924", "b_legal_status_overall_D_4_by_b_refugee")</f>
        <v>b_legal_status_overall_D_4_by_b_refugee</v>
      </c>
      <c r="C253" t="s">
        <v>6777</v>
      </c>
    </row>
    <row r="254" spans="1:3" x14ac:dyDescent="0.25">
      <c r="A254" t="s">
        <v>779</v>
      </c>
      <c r="B254" s="110" t="str">
        <f>HYPERLINK("#'Data_Analysis_BNF'!A1930", "b_meet_needs_overall_D_535_by_b_hh_type")</f>
        <v>b_meet_needs_overall_D_535_by_b_hh_type</v>
      </c>
      <c r="C254" t="s">
        <v>6778</v>
      </c>
    </row>
    <row r="255" spans="1:3" x14ac:dyDescent="0.25">
      <c r="A255" t="s">
        <v>779</v>
      </c>
      <c r="B255" s="110" t="str">
        <f>HYPERLINK("#'Data_Analysis_BNF'!A1936", "b_meet_needs_overall_D_537_by_b_hh_size_range")</f>
        <v>b_meet_needs_overall_D_537_by_b_hh_size_range</v>
      </c>
      <c r="C255" t="s">
        <v>6779</v>
      </c>
    </row>
    <row r="256" spans="1:3" x14ac:dyDescent="0.25">
      <c r="A256" t="s">
        <v>779</v>
      </c>
      <c r="B256" s="110" t="str">
        <f>HYPERLINK("#'Data_Analysis_BNF'!A1943", "b_meet_needs_overall_D_538_by_b_hh_composition")</f>
        <v>b_meet_needs_overall_D_538_by_b_hh_composition</v>
      </c>
      <c r="C256" t="s">
        <v>6780</v>
      </c>
    </row>
    <row r="257" spans="1:3" x14ac:dyDescent="0.25">
      <c r="A257" t="s">
        <v>779</v>
      </c>
      <c r="B257" s="110" t="str">
        <f>HYPERLINK("#'Data_Analysis_BNF'!A1954", "b_meet_needs_overall_D_539_by_b_hh_with_pwd")</f>
        <v>b_meet_needs_overall_D_539_by_b_hh_with_pwd</v>
      </c>
      <c r="C257" t="s">
        <v>6781</v>
      </c>
    </row>
    <row r="258" spans="1:3" x14ac:dyDescent="0.25">
      <c r="A258" t="s">
        <v>779</v>
      </c>
      <c r="B258" s="110" t="str">
        <f>HYPERLINK("#'Data_Analysis_BNF'!A1960", "b_meet_needs_overall_D_540_by_accommodation_ownership")</f>
        <v>b_meet_needs_overall_D_540_by_accommodation_ownership</v>
      </c>
      <c r="C258" t="s">
        <v>6782</v>
      </c>
    </row>
    <row r="259" spans="1:3" x14ac:dyDescent="0.25">
      <c r="A259" t="s">
        <v>779</v>
      </c>
      <c r="B259" s="110" t="str">
        <f>HYPERLINK("#'Data_Analysis_BNF'!A1969", "b_meet_needs_overall_D_541_by_b_aver_monthly_income_range")</f>
        <v>b_meet_needs_overall_D_541_by_b_aver_monthly_income_range</v>
      </c>
      <c r="C259" t="s">
        <v>6783</v>
      </c>
    </row>
    <row r="260" spans="1:3" x14ac:dyDescent="0.25">
      <c r="A260" t="s">
        <v>779</v>
      </c>
      <c r="B260" s="110" t="str">
        <f>HYPERLINK("#'Data_Analysis_BNF'!A1980", "b_meet_needs_overall_D_542_by_b_perc_expenditure_spent_on_energy_nov")</f>
        <v>b_meet_needs_overall_D_542_by_b_perc_expenditure_spent_on_energy_nov</v>
      </c>
      <c r="C260" t="s">
        <v>6784</v>
      </c>
    </row>
    <row r="261" spans="1:3" x14ac:dyDescent="0.25">
      <c r="A261" t="s">
        <v>779</v>
      </c>
      <c r="B261" s="110" t="str">
        <f>HYPERLINK("#'Data_Analysis_BNF'!A1989", "b_meet_needs_overall_D_543_by_b_perc_expenditure_spent_on_energy_dec")</f>
        <v>b_meet_needs_overall_D_543_by_b_perc_expenditure_spent_on_energy_dec</v>
      </c>
      <c r="C261" t="s">
        <v>6785</v>
      </c>
    </row>
    <row r="262" spans="1:3" x14ac:dyDescent="0.25">
      <c r="A262" t="s">
        <v>779</v>
      </c>
      <c r="B262" s="110" t="str">
        <f>HYPERLINK("#'Data_Analysis_BNF'!A1999", "b_meet_needs_overall_D_544_by_b_perc_income_spent_on_energy_nov")</f>
        <v>b_meet_needs_overall_D_544_by_b_perc_income_spent_on_energy_nov</v>
      </c>
      <c r="C262" t="s">
        <v>6786</v>
      </c>
    </row>
    <row r="263" spans="1:3" x14ac:dyDescent="0.25">
      <c r="A263" t="s">
        <v>779</v>
      </c>
      <c r="B263" s="110" t="str">
        <f>HYPERLINK("#'Data_Analysis_BNF'!A2009", "b_meet_needs_overall_D_545_by_b_perc_income_spent_on_energy_dec")</f>
        <v>b_meet_needs_overall_D_545_by_b_perc_income_spent_on_energy_dec</v>
      </c>
      <c r="C263" t="s">
        <v>6787</v>
      </c>
    </row>
    <row r="264" spans="1:3" x14ac:dyDescent="0.25">
      <c r="A264" t="s">
        <v>779</v>
      </c>
      <c r="B264" s="110" t="str">
        <f>HYPERLINK("#'Data_Analysis_BNF'!A2019", "b_meet_needs_overall_D_546_by_amount_evrf_nov_range")</f>
        <v>b_meet_needs_overall_D_546_by_amount_evrf_nov_range</v>
      </c>
      <c r="C264" t="s">
        <v>6788</v>
      </c>
    </row>
    <row r="265" spans="1:3" x14ac:dyDescent="0.25">
      <c r="A265" t="s">
        <v>779</v>
      </c>
      <c r="B265" s="110" t="str">
        <f>HYPERLINK("#'Data_Analysis_BNF'!A2027", "b_meet_needs_overall_D_547_by_amount_evrf_dec_range")</f>
        <v>b_meet_needs_overall_D_547_by_amount_evrf_dec_range</v>
      </c>
      <c r="C265" t="s">
        <v>6789</v>
      </c>
    </row>
    <row r="266" spans="1:3" x14ac:dyDescent="0.25">
      <c r="A266" t="s">
        <v>779</v>
      </c>
      <c r="B266" s="110" t="str">
        <f>HYPERLINK("#'Data_Analysis_BNF'!A2035", "b_meet_needs_rural_urban_536")</f>
        <v>b_meet_needs_rural_urban_536</v>
      </c>
      <c r="C266" t="s">
        <v>6790</v>
      </c>
    </row>
    <row r="267" spans="1:3" x14ac:dyDescent="0.25">
      <c r="A267" t="s">
        <v>137</v>
      </c>
      <c r="B267" s="110" t="str">
        <f>HYPERLINK("#'Data_Analysis_BNF'!A2041", "b_nr_children_overall_D_16_by_b_hh_type")</f>
        <v>b_nr_children_overall_D_16_by_b_hh_type</v>
      </c>
      <c r="C267" t="s">
        <v>6791</v>
      </c>
    </row>
    <row r="268" spans="1:3" x14ac:dyDescent="0.25">
      <c r="A268" t="s">
        <v>137</v>
      </c>
      <c r="B268" s="110" t="str">
        <f>HYPERLINK("#'Data_Analysis_BNF'!A2046", "b_nr_ppl_disability_certificate_overall_D_19_by_b_hh_type")</f>
        <v>b_nr_ppl_disability_certificate_overall_D_19_by_b_hh_type</v>
      </c>
      <c r="C268" t="s">
        <v>6792</v>
      </c>
    </row>
    <row r="269" spans="1:3" x14ac:dyDescent="0.25">
      <c r="A269" t="s">
        <v>137</v>
      </c>
      <c r="B269" s="110" t="str">
        <f>HYPERLINK("#'Data_Analysis_BNF'!A2051", "b_nr_ppl_disability_support_cat_overall_D_22_by_b_hh_type")</f>
        <v>b_nr_ppl_disability_support_cat_overall_D_22_by_b_hh_type</v>
      </c>
      <c r="C269" t="s">
        <v>6793</v>
      </c>
    </row>
    <row r="270" spans="1:3" x14ac:dyDescent="0.25">
      <c r="A270" t="s">
        <v>6522</v>
      </c>
      <c r="B270" s="110" t="str">
        <f>HYPERLINK("#'Data_Analysis_BNF'!A2057", "b_nr_ppl_earning_income_range_overall_D_28_by_b_hh_type")</f>
        <v>b_nr_ppl_earning_income_range_overall_D_28_by_b_hh_type</v>
      </c>
      <c r="C270" t="s">
        <v>6794</v>
      </c>
    </row>
    <row r="271" spans="1:3" x14ac:dyDescent="0.25">
      <c r="A271" t="s">
        <v>6522</v>
      </c>
      <c r="B271" s="110" t="str">
        <f>HYPERLINK("#'Data_Analysis_BNF'!A2063", "b_nr_ppl_earning_income_range_overall_D_30_by_b_hh_size_range")</f>
        <v>b_nr_ppl_earning_income_range_overall_D_30_by_b_hh_size_range</v>
      </c>
      <c r="C271" t="s">
        <v>6795</v>
      </c>
    </row>
    <row r="272" spans="1:3" x14ac:dyDescent="0.25">
      <c r="A272" t="s">
        <v>6522</v>
      </c>
      <c r="B272" s="110" t="str">
        <f>HYPERLINK("#'Data_Analysis_BNF'!A2070", "b_nr_ppl_earning_income_range_overall_D_31_by_b_hh_composition")</f>
        <v>b_nr_ppl_earning_income_range_overall_D_31_by_b_hh_composition</v>
      </c>
      <c r="C272" t="s">
        <v>6796</v>
      </c>
    </row>
    <row r="273" spans="1:3" x14ac:dyDescent="0.25">
      <c r="A273" t="s">
        <v>6522</v>
      </c>
      <c r="B273" s="110" t="str">
        <f>HYPERLINK("#'Data_Analysis_BNF'!A2081", "b_nr_ppl_earning_income_range_rural_urban_29")</f>
        <v>b_nr_ppl_earning_income_range_rural_urban_29</v>
      </c>
      <c r="C273" t="s">
        <v>6797</v>
      </c>
    </row>
    <row r="274" spans="1:3" x14ac:dyDescent="0.25">
      <c r="A274" t="s">
        <v>6523</v>
      </c>
      <c r="B274" s="110" t="str">
        <f>HYPERLINK("#'Data_Analysis_BNF'!A2087", "b_perc_expenditure_spent_on_energy_dec_overall_D_136_by_b_hh_type")</f>
        <v>b_perc_expenditure_spent_on_energy_dec_overall_D_136_by_b_hh_type</v>
      </c>
      <c r="C274" t="s">
        <v>6798</v>
      </c>
    </row>
    <row r="275" spans="1:3" x14ac:dyDescent="0.25">
      <c r="A275" t="s">
        <v>6523</v>
      </c>
      <c r="B275" s="110" t="str">
        <f>HYPERLINK("#'Data_Analysis_BNF'!A2093", "b_perc_expenditure_spent_on_energy_dec_overall_D_138_by_b_hh_size_range")</f>
        <v>b_perc_expenditure_spent_on_energy_dec_overall_D_138_by_b_hh_size_range</v>
      </c>
      <c r="C275" t="s">
        <v>6799</v>
      </c>
    </row>
    <row r="276" spans="1:3" x14ac:dyDescent="0.25">
      <c r="A276" t="s">
        <v>6523</v>
      </c>
      <c r="B276" s="110" t="str">
        <f>HYPERLINK("#'Data_Analysis_BNF'!A2100", "b_perc_expenditure_spent_on_energy_dec_overall_D_139_by_b_hh_composition")</f>
        <v>b_perc_expenditure_spent_on_energy_dec_overall_D_139_by_b_hh_composition</v>
      </c>
      <c r="C276" t="s">
        <v>6800</v>
      </c>
    </row>
    <row r="277" spans="1:3" x14ac:dyDescent="0.25">
      <c r="A277" t="s">
        <v>6523</v>
      </c>
      <c r="B277" s="110" t="str">
        <f>HYPERLINK("#'Data_Analysis_BNF'!A2111", "b_perc_expenditure_spent_on_energy_dec_overall_D_140_by_b_hh_with_pwd")</f>
        <v>b_perc_expenditure_spent_on_energy_dec_overall_D_140_by_b_hh_with_pwd</v>
      </c>
      <c r="C277" t="s">
        <v>6801</v>
      </c>
    </row>
    <row r="278" spans="1:3" x14ac:dyDescent="0.25">
      <c r="A278" t="s">
        <v>6523</v>
      </c>
      <c r="B278" s="110" t="str">
        <f>HYPERLINK("#'Data_Analysis_BNF'!A2117", "b_perc_expenditure_spent_on_energy_dec_overall_D_141_by_accommodation_ownership")</f>
        <v>b_perc_expenditure_spent_on_energy_dec_overall_D_141_by_accommodation_ownership</v>
      </c>
      <c r="C278" t="s">
        <v>6802</v>
      </c>
    </row>
    <row r="279" spans="1:3" x14ac:dyDescent="0.25">
      <c r="A279" t="s">
        <v>6523</v>
      </c>
      <c r="B279" s="110" t="str">
        <f>HYPERLINK("#'Data_Analysis_BNF'!A2126", "b_perc_expenditure_spent_on_energy_dec_overall_D_142_by_b_aver_monthly_income_range")</f>
        <v>b_perc_expenditure_spent_on_energy_dec_overall_D_142_by_b_aver_monthly_income_range</v>
      </c>
      <c r="C279" t="s">
        <v>6803</v>
      </c>
    </row>
    <row r="280" spans="1:3" x14ac:dyDescent="0.25">
      <c r="A280" t="s">
        <v>6523</v>
      </c>
      <c r="B280" s="110" t="str">
        <f>HYPERLINK("#'Data_Analysis_BNF'!A2137", "b_perc_expenditure_spent_on_energy_dec_overall_D_143_by_b_perc_expenditure_spent_on_energy_nov")</f>
        <v>b_perc_expenditure_spent_on_energy_dec_overall_D_143_by_b_perc_expenditure_spent_on_energy_nov</v>
      </c>
      <c r="C280" t="s">
        <v>6804</v>
      </c>
    </row>
    <row r="281" spans="1:3" x14ac:dyDescent="0.25">
      <c r="A281" t="s">
        <v>6523</v>
      </c>
      <c r="B281" s="110" t="str">
        <f>HYPERLINK("#'Data_Analysis_BNF'!A2146", "b_perc_expenditure_spent_on_energy_dec_rural_urban_137")</f>
        <v>b_perc_expenditure_spent_on_energy_dec_rural_urban_137</v>
      </c>
      <c r="C281" t="s">
        <v>6805</v>
      </c>
    </row>
    <row r="282" spans="1:3" x14ac:dyDescent="0.25">
      <c r="A282" t="s">
        <v>6524</v>
      </c>
      <c r="B282" s="110" t="str">
        <f>HYPERLINK("#'Data_Analysis_BNF'!A2152", "b_perc_expenditure_spent_on_energy_nov_overall_D_85_by_b_hh_type")</f>
        <v>b_perc_expenditure_spent_on_energy_nov_overall_D_85_by_b_hh_type</v>
      </c>
      <c r="C282" t="s">
        <v>6806</v>
      </c>
    </row>
    <row r="283" spans="1:3" x14ac:dyDescent="0.25">
      <c r="A283" t="s">
        <v>6524</v>
      </c>
      <c r="B283" s="110" t="str">
        <f>HYPERLINK("#'Data_Analysis_BNF'!A2158", "b_perc_expenditure_spent_on_energy_nov_overall_D_87_by_b_hh_size_range")</f>
        <v>b_perc_expenditure_spent_on_energy_nov_overall_D_87_by_b_hh_size_range</v>
      </c>
      <c r="C283" t="s">
        <v>6807</v>
      </c>
    </row>
    <row r="284" spans="1:3" x14ac:dyDescent="0.25">
      <c r="A284" t="s">
        <v>6524</v>
      </c>
      <c r="B284" s="110" t="str">
        <f>HYPERLINK("#'Data_Analysis_BNF'!A2165", "b_perc_expenditure_spent_on_energy_nov_overall_D_88_by_b_hh_composition")</f>
        <v>b_perc_expenditure_spent_on_energy_nov_overall_D_88_by_b_hh_composition</v>
      </c>
      <c r="C284" t="s">
        <v>6808</v>
      </c>
    </row>
    <row r="285" spans="1:3" x14ac:dyDescent="0.25">
      <c r="A285" t="s">
        <v>6524</v>
      </c>
      <c r="B285" s="110" t="str">
        <f>HYPERLINK("#'Data_Analysis_BNF'!A2176", "b_perc_expenditure_spent_on_energy_nov_overall_D_89_by_b_hh_with_pwd")</f>
        <v>b_perc_expenditure_spent_on_energy_nov_overall_D_89_by_b_hh_with_pwd</v>
      </c>
      <c r="C285" t="s">
        <v>6809</v>
      </c>
    </row>
    <row r="286" spans="1:3" x14ac:dyDescent="0.25">
      <c r="A286" t="s">
        <v>6524</v>
      </c>
      <c r="B286" s="110" t="str">
        <f>HYPERLINK("#'Data_Analysis_BNF'!A2182", "b_perc_expenditure_spent_on_energy_nov_overall_D_90_by_accommodation_ownership")</f>
        <v>b_perc_expenditure_spent_on_energy_nov_overall_D_90_by_accommodation_ownership</v>
      </c>
      <c r="C286" t="s">
        <v>6810</v>
      </c>
    </row>
    <row r="287" spans="1:3" x14ac:dyDescent="0.25">
      <c r="A287" t="s">
        <v>6524</v>
      </c>
      <c r="B287" s="110" t="str">
        <f>HYPERLINK("#'Data_Analysis_BNF'!A2191", "b_perc_expenditure_spent_on_energy_nov_overall_D_91_by_b_aver_monthly_income_range")</f>
        <v>b_perc_expenditure_spent_on_energy_nov_overall_D_91_by_b_aver_monthly_income_range</v>
      </c>
      <c r="C287" t="s">
        <v>6811</v>
      </c>
    </row>
    <row r="288" spans="1:3" x14ac:dyDescent="0.25">
      <c r="A288" t="s">
        <v>6524</v>
      </c>
      <c r="B288" s="110" t="str">
        <f>HYPERLINK("#'Data_Analysis_BNF'!A2202", "b_perc_expenditure_spent_on_energy_nov_rural_urban_86")</f>
        <v>b_perc_expenditure_spent_on_energy_nov_rural_urban_86</v>
      </c>
      <c r="C288" t="s">
        <v>6812</v>
      </c>
    </row>
    <row r="289" spans="1:3" x14ac:dyDescent="0.25">
      <c r="A289" t="s">
        <v>6523</v>
      </c>
      <c r="B289" s="110" t="str">
        <f>HYPERLINK("#'Data_Analysis_BNF'!A2208", "b_perc_income_spent_on_energy_dec_overall_D_144_by_b_hh_type")</f>
        <v>b_perc_income_spent_on_energy_dec_overall_D_144_by_b_hh_type</v>
      </c>
      <c r="C289" t="s">
        <v>6813</v>
      </c>
    </row>
    <row r="290" spans="1:3" x14ac:dyDescent="0.25">
      <c r="A290" t="s">
        <v>6523</v>
      </c>
      <c r="B290" s="110" t="str">
        <f>HYPERLINK("#'Data_Analysis_BNF'!A2214", "b_perc_income_spent_on_energy_dec_overall_D_146_by_b_hh_size_range")</f>
        <v>b_perc_income_spent_on_energy_dec_overall_D_146_by_b_hh_size_range</v>
      </c>
      <c r="C290" t="s">
        <v>6814</v>
      </c>
    </row>
    <row r="291" spans="1:3" x14ac:dyDescent="0.25">
      <c r="A291" t="s">
        <v>6523</v>
      </c>
      <c r="B291" s="110" t="str">
        <f>HYPERLINK("#'Data_Analysis_BNF'!A2221", "b_perc_income_spent_on_energy_dec_overall_D_147_by_b_hh_composition")</f>
        <v>b_perc_income_spent_on_energy_dec_overall_D_147_by_b_hh_composition</v>
      </c>
      <c r="C291" t="s">
        <v>6815</v>
      </c>
    </row>
    <row r="292" spans="1:3" x14ac:dyDescent="0.25">
      <c r="A292" t="s">
        <v>6523</v>
      </c>
      <c r="B292" s="110" t="str">
        <f>HYPERLINK("#'Data_Analysis_BNF'!A2232", "b_perc_income_spent_on_energy_dec_overall_D_148_by_b_hh_with_pwd")</f>
        <v>b_perc_income_spent_on_energy_dec_overall_D_148_by_b_hh_with_pwd</v>
      </c>
      <c r="C292" t="s">
        <v>6816</v>
      </c>
    </row>
    <row r="293" spans="1:3" x14ac:dyDescent="0.25">
      <c r="A293" t="s">
        <v>6523</v>
      </c>
      <c r="B293" s="110" t="str">
        <f>HYPERLINK("#'Data_Analysis_BNF'!A2238", "b_perc_income_spent_on_energy_dec_overall_D_149_by_accommodation_ownership")</f>
        <v>b_perc_income_spent_on_energy_dec_overall_D_149_by_accommodation_ownership</v>
      </c>
      <c r="C293" t="s">
        <v>6817</v>
      </c>
    </row>
    <row r="294" spans="1:3" x14ac:dyDescent="0.25">
      <c r="A294" t="s">
        <v>6523</v>
      </c>
      <c r="B294" s="110" t="str">
        <f>HYPERLINK("#'Data_Analysis_BNF'!A2247", "b_perc_income_spent_on_energy_dec_overall_D_150_by_b_aver_monthly_income_range")</f>
        <v>b_perc_income_spent_on_energy_dec_overall_D_150_by_b_aver_monthly_income_range</v>
      </c>
      <c r="C294" t="s">
        <v>6818</v>
      </c>
    </row>
    <row r="295" spans="1:3" x14ac:dyDescent="0.25">
      <c r="A295" t="s">
        <v>6523</v>
      </c>
      <c r="B295" s="110" t="str">
        <f>HYPERLINK("#'Data_Analysis_BNF'!A2258", "b_perc_income_spent_on_energy_dec_rural_urban_145")</f>
        <v>b_perc_income_spent_on_energy_dec_rural_urban_145</v>
      </c>
      <c r="C295" t="s">
        <v>6819</v>
      </c>
    </row>
    <row r="296" spans="1:3" x14ac:dyDescent="0.25">
      <c r="A296" t="s">
        <v>6524</v>
      </c>
      <c r="B296" s="110" t="str">
        <f>HYPERLINK("#'Data_Analysis_BNF'!A2264", "b_perc_income_spent_on_energy_nov_overall_D_92_by_b_hh_type")</f>
        <v>b_perc_income_spent_on_energy_nov_overall_D_92_by_b_hh_type</v>
      </c>
      <c r="C296" t="s">
        <v>6820</v>
      </c>
    </row>
    <row r="297" spans="1:3" x14ac:dyDescent="0.25">
      <c r="A297" t="s">
        <v>6524</v>
      </c>
      <c r="B297" s="110" t="str">
        <f>HYPERLINK("#'Data_Analysis_BNF'!A2270", "b_perc_income_spent_on_energy_nov_overall_D_94_by_b_hh_size_range")</f>
        <v>b_perc_income_spent_on_energy_nov_overall_D_94_by_b_hh_size_range</v>
      </c>
      <c r="C297" t="s">
        <v>6821</v>
      </c>
    </row>
    <row r="298" spans="1:3" x14ac:dyDescent="0.25">
      <c r="A298" t="s">
        <v>6524</v>
      </c>
      <c r="B298" s="110" t="str">
        <f>HYPERLINK("#'Data_Analysis_BNF'!A2277", "b_perc_income_spent_on_energy_nov_overall_D_95_by_b_hh_composition")</f>
        <v>b_perc_income_spent_on_energy_nov_overall_D_95_by_b_hh_composition</v>
      </c>
      <c r="C298" t="s">
        <v>6822</v>
      </c>
    </row>
    <row r="299" spans="1:3" x14ac:dyDescent="0.25">
      <c r="A299" t="s">
        <v>6524</v>
      </c>
      <c r="B299" s="110" t="str">
        <f>HYPERLINK("#'Data_Analysis_BNF'!A2288", "b_perc_income_spent_on_energy_nov_overall_D_96_by_b_hh_with_pwd")</f>
        <v>b_perc_income_spent_on_energy_nov_overall_D_96_by_b_hh_with_pwd</v>
      </c>
      <c r="C299" t="s">
        <v>6823</v>
      </c>
    </row>
    <row r="300" spans="1:3" x14ac:dyDescent="0.25">
      <c r="A300" t="s">
        <v>6524</v>
      </c>
      <c r="B300" s="110" t="str">
        <f>HYPERLINK("#'Data_Analysis_BNF'!A2294", "b_perc_income_spent_on_energy_nov_overall_D_97_by_accommodation_ownership")</f>
        <v>b_perc_income_spent_on_energy_nov_overall_D_97_by_accommodation_ownership</v>
      </c>
      <c r="C300" t="s">
        <v>6824</v>
      </c>
    </row>
    <row r="301" spans="1:3" x14ac:dyDescent="0.25">
      <c r="A301" t="s">
        <v>6524</v>
      </c>
      <c r="B301" s="110" t="str">
        <f>HYPERLINK("#'Data_Analysis_BNF'!A2303", "b_perc_income_spent_on_energy_nov_overall_D_98_by_b_aver_monthly_income_range")</f>
        <v>b_perc_income_spent_on_energy_nov_overall_D_98_by_b_aver_monthly_income_range</v>
      </c>
      <c r="C301" t="s">
        <v>6825</v>
      </c>
    </row>
    <row r="302" spans="1:3" x14ac:dyDescent="0.25">
      <c r="A302" t="s">
        <v>6524</v>
      </c>
      <c r="B302" s="110" t="str">
        <f>HYPERLINK("#'Data_Analysis_BNF'!A2314", "b_perc_income_spent_on_energy_nov_rural_urban_93")</f>
        <v>b_perc_income_spent_on_energy_nov_rural_urban_93</v>
      </c>
      <c r="C302" t="s">
        <v>6826</v>
      </c>
    </row>
    <row r="303" spans="1:3" x14ac:dyDescent="0.25">
      <c r="A303" t="s">
        <v>6527</v>
      </c>
      <c r="B303" s="110" t="str">
        <f>HYPERLINK("#'Data_Analysis_BNF'!A2320", "b_reduce_electricity_overall_D_394_by_b_hh_type")</f>
        <v>b_reduce_electricity_overall_D_394_by_b_hh_type</v>
      </c>
      <c r="C303" t="s">
        <v>6827</v>
      </c>
    </row>
    <row r="304" spans="1:3" x14ac:dyDescent="0.25">
      <c r="A304" t="s">
        <v>6527</v>
      </c>
      <c r="B304" s="110" t="str">
        <f>HYPERLINK("#'Data_Analysis_BNF'!A2326", "b_reduce_electricity_overall_D_396_by_b_hh_size_range")</f>
        <v>b_reduce_electricity_overall_D_396_by_b_hh_size_range</v>
      </c>
      <c r="C304" t="s">
        <v>6828</v>
      </c>
    </row>
    <row r="305" spans="1:3" x14ac:dyDescent="0.25">
      <c r="A305" t="s">
        <v>6527</v>
      </c>
      <c r="B305" s="110" t="str">
        <f>HYPERLINK("#'Data_Analysis_BNF'!A2333", "b_reduce_electricity_overall_D_397_by_b_hh_composition")</f>
        <v>b_reduce_electricity_overall_D_397_by_b_hh_composition</v>
      </c>
      <c r="C305" t="s">
        <v>6829</v>
      </c>
    </row>
    <row r="306" spans="1:3" x14ac:dyDescent="0.25">
      <c r="A306" t="s">
        <v>6527</v>
      </c>
      <c r="B306" s="110" t="str">
        <f>HYPERLINK("#'Data_Analysis_BNF'!A2344", "b_reduce_electricity_overall_D_398_by_b_hh_with_pwd")</f>
        <v>b_reduce_electricity_overall_D_398_by_b_hh_with_pwd</v>
      </c>
      <c r="C306" t="s">
        <v>6830</v>
      </c>
    </row>
    <row r="307" spans="1:3" x14ac:dyDescent="0.25">
      <c r="A307" t="s">
        <v>6527</v>
      </c>
      <c r="B307" s="110" t="str">
        <f>HYPERLINK("#'Data_Analysis_BNF'!A2350", "b_reduce_electricity_overall_D_399_by_b_aver_monthly_income_range")</f>
        <v>b_reduce_electricity_overall_D_399_by_b_aver_monthly_income_range</v>
      </c>
      <c r="C307" t="s">
        <v>6831</v>
      </c>
    </row>
    <row r="308" spans="1:3" x14ac:dyDescent="0.25">
      <c r="A308" t="s">
        <v>6527</v>
      </c>
      <c r="B308" s="110" t="str">
        <f>HYPERLINK("#'Data_Analysis_BNF'!A2361", "b_reduce_electricity_overall_D_400_by_b_perc_expenditure_spent_on_energy_nov")</f>
        <v>b_reduce_electricity_overall_D_400_by_b_perc_expenditure_spent_on_energy_nov</v>
      </c>
      <c r="C308" t="s">
        <v>6832</v>
      </c>
    </row>
    <row r="309" spans="1:3" x14ac:dyDescent="0.25">
      <c r="A309" t="s">
        <v>6527</v>
      </c>
      <c r="B309" s="110" t="str">
        <f>HYPERLINK("#'Data_Analysis_BNF'!A2370", "b_reduce_electricity_overall_D_401_by_b_perc_expenditure_spent_on_energy_dec")</f>
        <v>b_reduce_electricity_overall_D_401_by_b_perc_expenditure_spent_on_energy_dec</v>
      </c>
      <c r="C309" t="s">
        <v>6833</v>
      </c>
    </row>
    <row r="310" spans="1:3" x14ac:dyDescent="0.25">
      <c r="A310" t="s">
        <v>6527</v>
      </c>
      <c r="B310" s="110" t="str">
        <f>HYPERLINK("#'Data_Analysis_BNF'!A2380", "b_reduce_electricity_overall_D_402_by_b_perc_income_spent_on_energy_nov")</f>
        <v>b_reduce_electricity_overall_D_402_by_b_perc_income_spent_on_energy_nov</v>
      </c>
      <c r="C310" t="s">
        <v>6834</v>
      </c>
    </row>
    <row r="311" spans="1:3" x14ac:dyDescent="0.25">
      <c r="A311" t="s">
        <v>6527</v>
      </c>
      <c r="B311" s="110" t="str">
        <f>HYPERLINK("#'Data_Analysis_BNF'!A2390", "b_reduce_electricity_overall_D_403_by_b_perc_income_spent_on_energy_dec")</f>
        <v>b_reduce_electricity_overall_D_403_by_b_perc_income_spent_on_energy_dec</v>
      </c>
      <c r="C311" t="s">
        <v>6835</v>
      </c>
    </row>
    <row r="312" spans="1:3" x14ac:dyDescent="0.25">
      <c r="A312" t="s">
        <v>6527</v>
      </c>
      <c r="B312" s="110" t="str">
        <f>HYPERLINK("#'Data_Analysis_BNF'!A2400", "b_reduce_electricity_overall_D_404_by_amount_evrf_nov_range")</f>
        <v>b_reduce_electricity_overall_D_404_by_amount_evrf_nov_range</v>
      </c>
      <c r="C312" t="s">
        <v>6836</v>
      </c>
    </row>
    <row r="313" spans="1:3" x14ac:dyDescent="0.25">
      <c r="A313" t="s">
        <v>6527</v>
      </c>
      <c r="B313" s="110" t="str">
        <f>HYPERLINK("#'Data_Analysis_BNF'!A2408", "b_reduce_electricity_overall_D_405_by_amount_evrf_dec_range")</f>
        <v>b_reduce_electricity_overall_D_405_by_amount_evrf_dec_range</v>
      </c>
      <c r="C313" t="s">
        <v>6837</v>
      </c>
    </row>
    <row r="314" spans="1:3" x14ac:dyDescent="0.25">
      <c r="A314" t="s">
        <v>6527</v>
      </c>
      <c r="B314" s="110" t="str">
        <f>HYPERLINK("#'Data_Analysis_BNF'!A2416", "b_reduce_electricity_rural_urban_395")</f>
        <v>b_reduce_electricity_rural_urban_395</v>
      </c>
      <c r="C314" t="s">
        <v>6838</v>
      </c>
    </row>
    <row r="315" spans="1:3" x14ac:dyDescent="0.25">
      <c r="A315" t="s">
        <v>6527</v>
      </c>
      <c r="B315" s="110" t="str">
        <f>HYPERLINK("#'Data_Analysis_BNF'!A2422", "b_reduce_expenses_list_overall_D_454_by_b_hh_type")</f>
        <v>b_reduce_expenses_list_overall_D_454_by_b_hh_type</v>
      </c>
      <c r="C315" t="s">
        <v>6839</v>
      </c>
    </row>
    <row r="316" spans="1:3" x14ac:dyDescent="0.25">
      <c r="A316" t="s">
        <v>6527</v>
      </c>
      <c r="B316" s="110" t="str">
        <f>HYPERLINK("#'Data_Analysis_BNF'!A2428", "b_reduce_expenses_list_overall_D_456_by_b_hh_size_range")</f>
        <v>b_reduce_expenses_list_overall_D_456_by_b_hh_size_range</v>
      </c>
      <c r="C316" t="s">
        <v>6840</v>
      </c>
    </row>
    <row r="317" spans="1:3" x14ac:dyDescent="0.25">
      <c r="A317" t="s">
        <v>6527</v>
      </c>
      <c r="B317" s="110" t="str">
        <f>HYPERLINK("#'Data_Analysis_BNF'!A2435", "b_reduce_expenses_list_overall_D_457_by_b_hh_composition")</f>
        <v>b_reduce_expenses_list_overall_D_457_by_b_hh_composition</v>
      </c>
      <c r="C317" t="s">
        <v>6841</v>
      </c>
    </row>
    <row r="318" spans="1:3" x14ac:dyDescent="0.25">
      <c r="A318" t="s">
        <v>6527</v>
      </c>
      <c r="B318" s="110" t="str">
        <f>HYPERLINK("#'Data_Analysis_BNF'!A2446", "b_reduce_expenses_list_overall_D_458_by_b_hh_with_pwd")</f>
        <v>b_reduce_expenses_list_overall_D_458_by_b_hh_with_pwd</v>
      </c>
      <c r="C318" t="s">
        <v>6842</v>
      </c>
    </row>
    <row r="319" spans="1:3" x14ac:dyDescent="0.25">
      <c r="A319" t="s">
        <v>6527</v>
      </c>
      <c r="B319" s="110" t="str">
        <f>HYPERLINK("#'Data_Analysis_BNF'!A2452", "b_reduce_expenses_list_overall_D_459_by_b_aver_monthly_income_range")</f>
        <v>b_reduce_expenses_list_overall_D_459_by_b_aver_monthly_income_range</v>
      </c>
      <c r="C319" t="s">
        <v>6843</v>
      </c>
    </row>
    <row r="320" spans="1:3" x14ac:dyDescent="0.25">
      <c r="A320" t="s">
        <v>6527</v>
      </c>
      <c r="B320" s="110" t="str">
        <f>HYPERLINK("#'Data_Analysis_BNF'!A2463", "b_reduce_expenses_list_overall_D_460_by_b_perc_expenditure_spent_on_energy_nov")</f>
        <v>b_reduce_expenses_list_overall_D_460_by_b_perc_expenditure_spent_on_energy_nov</v>
      </c>
      <c r="C320" t="s">
        <v>6844</v>
      </c>
    </row>
    <row r="321" spans="1:3" x14ac:dyDescent="0.25">
      <c r="A321" t="s">
        <v>6527</v>
      </c>
      <c r="B321" s="110" t="str">
        <f>HYPERLINK("#'Data_Analysis_BNF'!A2472", "b_reduce_expenses_list_overall_D_461_by_b_perc_expenditure_spent_on_energy_dec")</f>
        <v>b_reduce_expenses_list_overall_D_461_by_b_perc_expenditure_spent_on_energy_dec</v>
      </c>
      <c r="C321" t="s">
        <v>6845</v>
      </c>
    </row>
    <row r="322" spans="1:3" x14ac:dyDescent="0.25">
      <c r="A322" t="s">
        <v>6527</v>
      </c>
      <c r="B322" s="110" t="str">
        <f>HYPERLINK("#'Data_Analysis_BNF'!A2481", "b_reduce_expenses_list_overall_D_462_by_b_perc_income_spent_on_energy_nov")</f>
        <v>b_reduce_expenses_list_overall_D_462_by_b_perc_income_spent_on_energy_nov</v>
      </c>
      <c r="C322" t="s">
        <v>6846</v>
      </c>
    </row>
    <row r="323" spans="1:3" x14ac:dyDescent="0.25">
      <c r="A323" t="s">
        <v>6527</v>
      </c>
      <c r="B323" s="110" t="str">
        <f>HYPERLINK("#'Data_Analysis_BNF'!A2491", "b_reduce_expenses_list_overall_D_463_by_b_perc_income_spent_on_energy_dec")</f>
        <v>b_reduce_expenses_list_overall_D_463_by_b_perc_income_spent_on_energy_dec</v>
      </c>
      <c r="C323" t="s">
        <v>6847</v>
      </c>
    </row>
    <row r="324" spans="1:3" x14ac:dyDescent="0.25">
      <c r="A324" t="s">
        <v>6527</v>
      </c>
      <c r="B324" s="110" t="str">
        <f>HYPERLINK("#'Data_Analysis_BNF'!A2501", "b_reduce_expenses_list_overall_D_464_by_amount_evrf_nov_range")</f>
        <v>b_reduce_expenses_list_overall_D_464_by_amount_evrf_nov_range</v>
      </c>
      <c r="C324" t="s">
        <v>6848</v>
      </c>
    </row>
    <row r="325" spans="1:3" x14ac:dyDescent="0.25">
      <c r="A325" t="s">
        <v>6527</v>
      </c>
      <c r="B325" s="110" t="str">
        <f>HYPERLINK("#'Data_Analysis_BNF'!A2508", "b_reduce_expenses_list_overall_D_465_by_amount_evrf_dec_range")</f>
        <v>b_reduce_expenses_list_overall_D_465_by_amount_evrf_dec_range</v>
      </c>
      <c r="C325" t="s">
        <v>6849</v>
      </c>
    </row>
    <row r="326" spans="1:3" x14ac:dyDescent="0.25">
      <c r="A326" t="s">
        <v>6527</v>
      </c>
      <c r="B326" s="110" t="str">
        <f>HYPERLINK("#'Data_Analysis_BNF'!A2516", "b_reduce_expenses_list_rural_urban_455")</f>
        <v>b_reduce_expenses_list_rural_urban_455</v>
      </c>
      <c r="C326" t="s">
        <v>6850</v>
      </c>
    </row>
    <row r="327" spans="1:3" x14ac:dyDescent="0.25">
      <c r="A327" t="s">
        <v>6527</v>
      </c>
      <c r="B327" s="110" t="str">
        <f>HYPERLINK("#'Data_Analysis_BNF'!A2522", "b_reduce_expenses_overall_D_442_by_b_hh_type")</f>
        <v>b_reduce_expenses_overall_D_442_by_b_hh_type</v>
      </c>
      <c r="C327" t="s">
        <v>6851</v>
      </c>
    </row>
    <row r="328" spans="1:3" x14ac:dyDescent="0.25">
      <c r="A328" t="s">
        <v>6527</v>
      </c>
      <c r="B328" s="110" t="str">
        <f>HYPERLINK("#'Data_Analysis_BNF'!A2528", "b_reduce_expenses_overall_D_444_by_b_hh_size_range")</f>
        <v>b_reduce_expenses_overall_D_444_by_b_hh_size_range</v>
      </c>
      <c r="C328" t="s">
        <v>6852</v>
      </c>
    </row>
    <row r="329" spans="1:3" x14ac:dyDescent="0.25">
      <c r="A329" t="s">
        <v>6527</v>
      </c>
      <c r="B329" s="110" t="str">
        <f>HYPERLINK("#'Data_Analysis_BNF'!A2535", "b_reduce_expenses_overall_D_445_by_b_hh_composition")</f>
        <v>b_reduce_expenses_overall_D_445_by_b_hh_composition</v>
      </c>
      <c r="C329" t="s">
        <v>6853</v>
      </c>
    </row>
    <row r="330" spans="1:3" x14ac:dyDescent="0.25">
      <c r="A330" t="s">
        <v>6527</v>
      </c>
      <c r="B330" s="110" t="str">
        <f>HYPERLINK("#'Data_Analysis_BNF'!A2546", "b_reduce_expenses_overall_D_446_by_b_hh_with_pwd")</f>
        <v>b_reduce_expenses_overall_D_446_by_b_hh_with_pwd</v>
      </c>
      <c r="C330" t="s">
        <v>6854</v>
      </c>
    </row>
    <row r="331" spans="1:3" x14ac:dyDescent="0.25">
      <c r="A331" t="s">
        <v>6527</v>
      </c>
      <c r="B331" s="110" t="str">
        <f>HYPERLINK("#'Data_Analysis_BNF'!A2552", "b_reduce_expenses_overall_D_447_by_b_aver_monthly_income_range")</f>
        <v>b_reduce_expenses_overall_D_447_by_b_aver_monthly_income_range</v>
      </c>
      <c r="C331" t="s">
        <v>6855</v>
      </c>
    </row>
    <row r="332" spans="1:3" x14ac:dyDescent="0.25">
      <c r="A332" t="s">
        <v>6527</v>
      </c>
      <c r="B332" s="110" t="str">
        <f>HYPERLINK("#'Data_Analysis_BNF'!A2563", "b_reduce_expenses_overall_D_448_by_b_perc_expenditure_spent_on_energy_nov")</f>
        <v>b_reduce_expenses_overall_D_448_by_b_perc_expenditure_spent_on_energy_nov</v>
      </c>
      <c r="C332" t="s">
        <v>6856</v>
      </c>
    </row>
    <row r="333" spans="1:3" x14ac:dyDescent="0.25">
      <c r="A333" t="s">
        <v>6527</v>
      </c>
      <c r="B333" s="110" t="str">
        <f>HYPERLINK("#'Data_Analysis_BNF'!A2572", "b_reduce_expenses_overall_D_449_by_b_perc_expenditure_spent_on_energy_dec")</f>
        <v>b_reduce_expenses_overall_D_449_by_b_perc_expenditure_spent_on_energy_dec</v>
      </c>
      <c r="C333" t="s">
        <v>6857</v>
      </c>
    </row>
    <row r="334" spans="1:3" x14ac:dyDescent="0.25">
      <c r="A334" t="s">
        <v>6527</v>
      </c>
      <c r="B334" s="110" t="str">
        <f>HYPERLINK("#'Data_Analysis_BNF'!A2582", "b_reduce_expenses_overall_D_450_by_b_perc_income_spent_on_energy_nov")</f>
        <v>b_reduce_expenses_overall_D_450_by_b_perc_income_spent_on_energy_nov</v>
      </c>
      <c r="C334" t="s">
        <v>6858</v>
      </c>
    </row>
    <row r="335" spans="1:3" x14ac:dyDescent="0.25">
      <c r="A335" t="s">
        <v>6527</v>
      </c>
      <c r="B335" s="110" t="str">
        <f>HYPERLINK("#'Data_Analysis_BNF'!A2592", "b_reduce_expenses_overall_D_451_by_b_perc_income_spent_on_energy_dec")</f>
        <v>b_reduce_expenses_overall_D_451_by_b_perc_income_spent_on_energy_dec</v>
      </c>
      <c r="C335" t="s">
        <v>6859</v>
      </c>
    </row>
    <row r="336" spans="1:3" x14ac:dyDescent="0.25">
      <c r="A336" t="s">
        <v>6527</v>
      </c>
      <c r="B336" s="110" t="str">
        <f>HYPERLINK("#'Data_Analysis_BNF'!A2602", "b_reduce_expenses_overall_D_452_by_amount_evrf_nov_range")</f>
        <v>b_reduce_expenses_overall_D_452_by_amount_evrf_nov_range</v>
      </c>
      <c r="C336" t="s">
        <v>6860</v>
      </c>
    </row>
    <row r="337" spans="1:3" x14ac:dyDescent="0.25">
      <c r="A337" t="s">
        <v>6527</v>
      </c>
      <c r="B337" s="110" t="str">
        <f>HYPERLINK("#'Data_Analysis_BNF'!A2610", "b_reduce_expenses_overall_D_453_by_amount_evrf_dec_range")</f>
        <v>b_reduce_expenses_overall_D_453_by_amount_evrf_dec_range</v>
      </c>
      <c r="C337" t="s">
        <v>6861</v>
      </c>
    </row>
    <row r="338" spans="1:3" x14ac:dyDescent="0.25">
      <c r="A338" t="s">
        <v>6527</v>
      </c>
      <c r="B338" s="110" t="str">
        <f>HYPERLINK("#'Data_Analysis_BNF'!A2618", "b_reduce_expenses_rural_urban_443")</f>
        <v>b_reduce_expenses_rural_urban_443</v>
      </c>
      <c r="C338" t="s">
        <v>6862</v>
      </c>
    </row>
    <row r="339" spans="1:3" x14ac:dyDescent="0.25">
      <c r="A339" t="s">
        <v>6527</v>
      </c>
      <c r="B339" s="110" t="str">
        <f>HYPERLINK("#'Data_Analysis_BNF'!A2624", "b_reduce_gas_overall_D_406_by_b_hh_type")</f>
        <v>b_reduce_gas_overall_D_406_by_b_hh_type</v>
      </c>
      <c r="C339" t="s">
        <v>6863</v>
      </c>
    </row>
    <row r="340" spans="1:3" x14ac:dyDescent="0.25">
      <c r="A340" t="s">
        <v>6527</v>
      </c>
      <c r="B340" s="110" t="str">
        <f>HYPERLINK("#'Data_Analysis_BNF'!A2630", "b_reduce_gas_overall_D_408_by_b_hh_size_range")</f>
        <v>b_reduce_gas_overall_D_408_by_b_hh_size_range</v>
      </c>
      <c r="C340" t="s">
        <v>6828</v>
      </c>
    </row>
    <row r="341" spans="1:3" x14ac:dyDescent="0.25">
      <c r="A341" t="s">
        <v>6527</v>
      </c>
      <c r="B341" s="110" t="str">
        <f>HYPERLINK("#'Data_Analysis_BNF'!A2637", "b_reduce_gas_overall_D_409_by_b_hh_composition")</f>
        <v>b_reduce_gas_overall_D_409_by_b_hh_composition</v>
      </c>
      <c r="C341" t="s">
        <v>6864</v>
      </c>
    </row>
    <row r="342" spans="1:3" x14ac:dyDescent="0.25">
      <c r="A342" t="s">
        <v>6527</v>
      </c>
      <c r="B342" s="110" t="str">
        <f>HYPERLINK("#'Data_Analysis_BNF'!A2648", "b_reduce_gas_overall_D_410_by_b_hh_with_pwd")</f>
        <v>b_reduce_gas_overall_D_410_by_b_hh_with_pwd</v>
      </c>
      <c r="C342" t="s">
        <v>6865</v>
      </c>
    </row>
    <row r="343" spans="1:3" x14ac:dyDescent="0.25">
      <c r="A343" t="s">
        <v>6527</v>
      </c>
      <c r="B343" s="110" t="str">
        <f>HYPERLINK("#'Data_Analysis_BNF'!A2654", "b_reduce_gas_overall_D_411_by_b_aver_monthly_income_range")</f>
        <v>b_reduce_gas_overall_D_411_by_b_aver_monthly_income_range</v>
      </c>
      <c r="C343" t="s">
        <v>6866</v>
      </c>
    </row>
    <row r="344" spans="1:3" x14ac:dyDescent="0.25">
      <c r="A344" t="s">
        <v>6527</v>
      </c>
      <c r="B344" s="110" t="str">
        <f>HYPERLINK("#'Data_Analysis_BNF'!A2665", "b_reduce_gas_overall_D_412_by_b_perc_expenditure_spent_on_energy_nov")</f>
        <v>b_reduce_gas_overall_D_412_by_b_perc_expenditure_spent_on_energy_nov</v>
      </c>
      <c r="C344" t="s">
        <v>6832</v>
      </c>
    </row>
    <row r="345" spans="1:3" x14ac:dyDescent="0.25">
      <c r="A345" t="s">
        <v>6527</v>
      </c>
      <c r="B345" s="110" t="str">
        <f>HYPERLINK("#'Data_Analysis_BNF'!A2674", "b_reduce_gas_overall_D_413_by_b_perc_expenditure_spent_on_energy_dec")</f>
        <v>b_reduce_gas_overall_D_413_by_b_perc_expenditure_spent_on_energy_dec</v>
      </c>
      <c r="C345" t="s">
        <v>6833</v>
      </c>
    </row>
    <row r="346" spans="1:3" x14ac:dyDescent="0.25">
      <c r="A346" t="s">
        <v>6527</v>
      </c>
      <c r="B346" s="110" t="str">
        <f>HYPERLINK("#'Data_Analysis_BNF'!A2684", "b_reduce_gas_overall_D_414_by_b_perc_income_spent_on_energy_nov")</f>
        <v>b_reduce_gas_overall_D_414_by_b_perc_income_spent_on_energy_nov</v>
      </c>
      <c r="C346" t="s">
        <v>6835</v>
      </c>
    </row>
    <row r="347" spans="1:3" x14ac:dyDescent="0.25">
      <c r="A347" t="s">
        <v>6527</v>
      </c>
      <c r="B347" s="110" t="str">
        <f>HYPERLINK("#'Data_Analysis_BNF'!A2694", "b_reduce_gas_overall_D_415_by_b_perc_income_spent_on_energy_dec")</f>
        <v>b_reduce_gas_overall_D_415_by_b_perc_income_spent_on_energy_dec</v>
      </c>
      <c r="C347" t="s">
        <v>6835</v>
      </c>
    </row>
    <row r="348" spans="1:3" x14ac:dyDescent="0.25">
      <c r="A348" t="s">
        <v>6527</v>
      </c>
      <c r="B348" s="110" t="str">
        <f>HYPERLINK("#'Data_Analysis_BNF'!A2704", "b_reduce_gas_overall_D_416_by_amount_evrf_nov_range")</f>
        <v>b_reduce_gas_overall_D_416_by_amount_evrf_nov_range</v>
      </c>
      <c r="C348" t="s">
        <v>6867</v>
      </c>
    </row>
    <row r="349" spans="1:3" x14ac:dyDescent="0.25">
      <c r="A349" t="s">
        <v>6527</v>
      </c>
      <c r="B349" s="110" t="str">
        <f>HYPERLINK("#'Data_Analysis_BNF'!A2712", "b_reduce_gas_overall_D_417_by_amount_evrf_dec_range")</f>
        <v>b_reduce_gas_overall_D_417_by_amount_evrf_dec_range</v>
      </c>
      <c r="C349" t="s">
        <v>6868</v>
      </c>
    </row>
    <row r="350" spans="1:3" x14ac:dyDescent="0.25">
      <c r="A350" t="s">
        <v>6527</v>
      </c>
      <c r="B350" s="110" t="str">
        <f>HYPERLINK("#'Data_Analysis_BNF'!A2720", "b_reduce_gas_rural_urban_407")</f>
        <v>b_reduce_gas_rural_urban_407</v>
      </c>
      <c r="C350" t="s">
        <v>6869</v>
      </c>
    </row>
    <row r="351" spans="1:3" x14ac:dyDescent="0.25">
      <c r="A351" t="s">
        <v>6527</v>
      </c>
      <c r="B351" s="110" t="str">
        <f>HYPERLINK("#'Data_Analysis_BNF'!A2726", "b_reduce_heat_overall_D_418_by_b_hh_type")</f>
        <v>b_reduce_heat_overall_D_418_by_b_hh_type</v>
      </c>
      <c r="C351" t="s">
        <v>6870</v>
      </c>
    </row>
    <row r="352" spans="1:3" x14ac:dyDescent="0.25">
      <c r="A352" t="s">
        <v>6527</v>
      </c>
      <c r="B352" s="110" t="str">
        <f>HYPERLINK("#'Data_Analysis_BNF'!A2732", "b_reduce_heat_overall_D_420_by_b_hh_size_range")</f>
        <v>b_reduce_heat_overall_D_420_by_b_hh_size_range</v>
      </c>
      <c r="C352" t="s">
        <v>6871</v>
      </c>
    </row>
    <row r="353" spans="1:3" x14ac:dyDescent="0.25">
      <c r="A353" t="s">
        <v>6527</v>
      </c>
      <c r="B353" s="110" t="str">
        <f>HYPERLINK("#'Data_Analysis_BNF'!A2739", "b_reduce_heat_overall_D_421_by_b_hh_composition")</f>
        <v>b_reduce_heat_overall_D_421_by_b_hh_composition</v>
      </c>
      <c r="C353" t="s">
        <v>6872</v>
      </c>
    </row>
    <row r="354" spans="1:3" x14ac:dyDescent="0.25">
      <c r="A354" t="s">
        <v>6527</v>
      </c>
      <c r="B354" s="110" t="str">
        <f>HYPERLINK("#'Data_Analysis_BNF'!A2750", "b_reduce_heat_overall_D_422_by_b_hh_with_pwd")</f>
        <v>b_reduce_heat_overall_D_422_by_b_hh_with_pwd</v>
      </c>
      <c r="C354" t="s">
        <v>6873</v>
      </c>
    </row>
    <row r="355" spans="1:3" x14ac:dyDescent="0.25">
      <c r="A355" t="s">
        <v>6527</v>
      </c>
      <c r="B355" s="110" t="str">
        <f>HYPERLINK("#'Data_Analysis_BNF'!A2756", "b_reduce_heat_overall_D_423_by_b_aver_monthly_income_range")</f>
        <v>b_reduce_heat_overall_D_423_by_b_aver_monthly_income_range</v>
      </c>
      <c r="C355" t="s">
        <v>6874</v>
      </c>
    </row>
    <row r="356" spans="1:3" x14ac:dyDescent="0.25">
      <c r="A356" t="s">
        <v>6527</v>
      </c>
      <c r="B356" s="110" t="str">
        <f>HYPERLINK("#'Data_Analysis_BNF'!A2767", "b_reduce_heat_overall_D_424_by_b_perc_expenditure_spent_on_energy_nov")</f>
        <v>b_reduce_heat_overall_D_424_by_b_perc_expenditure_spent_on_energy_nov</v>
      </c>
      <c r="C356" t="s">
        <v>6875</v>
      </c>
    </row>
    <row r="357" spans="1:3" x14ac:dyDescent="0.25">
      <c r="A357" t="s">
        <v>6527</v>
      </c>
      <c r="B357" s="110" t="str">
        <f>HYPERLINK("#'Data_Analysis_BNF'!A2776", "b_reduce_heat_overall_D_425_by_b_perc_expenditure_spent_on_energy_dec")</f>
        <v>b_reduce_heat_overall_D_425_by_b_perc_expenditure_spent_on_energy_dec</v>
      </c>
      <c r="C357" t="s">
        <v>6876</v>
      </c>
    </row>
    <row r="358" spans="1:3" x14ac:dyDescent="0.25">
      <c r="A358" t="s">
        <v>6527</v>
      </c>
      <c r="B358" s="110" t="str">
        <f>HYPERLINK("#'Data_Analysis_BNF'!A2785", "b_reduce_heat_overall_D_426_by_b_perc_income_spent_on_energy_nov")</f>
        <v>b_reduce_heat_overall_D_426_by_b_perc_income_spent_on_energy_nov</v>
      </c>
      <c r="C358" t="s">
        <v>6877</v>
      </c>
    </row>
    <row r="359" spans="1:3" x14ac:dyDescent="0.25">
      <c r="A359" t="s">
        <v>6527</v>
      </c>
      <c r="B359" s="110" t="str">
        <f>HYPERLINK("#'Data_Analysis_BNF'!A2795", "b_reduce_heat_overall_D_427_by_b_perc_income_spent_on_energy_dec")</f>
        <v>b_reduce_heat_overall_D_427_by_b_perc_income_spent_on_energy_dec</v>
      </c>
      <c r="C359" t="s">
        <v>6878</v>
      </c>
    </row>
    <row r="360" spans="1:3" x14ac:dyDescent="0.25">
      <c r="A360" t="s">
        <v>6527</v>
      </c>
      <c r="B360" s="110" t="str">
        <f>HYPERLINK("#'Data_Analysis_BNF'!A2805", "b_reduce_heat_overall_D_428_by_amount_evrf_nov_range")</f>
        <v>b_reduce_heat_overall_D_428_by_amount_evrf_nov_range</v>
      </c>
      <c r="C360" t="s">
        <v>6879</v>
      </c>
    </row>
    <row r="361" spans="1:3" x14ac:dyDescent="0.25">
      <c r="A361" t="s">
        <v>6527</v>
      </c>
      <c r="B361" s="110" t="str">
        <f>HYPERLINK("#'Data_Analysis_BNF'!A2813", "b_reduce_heat_overall_D_429_by_amount_evrf_dec_range")</f>
        <v>b_reduce_heat_overall_D_429_by_amount_evrf_dec_range</v>
      </c>
      <c r="C361" t="s">
        <v>6880</v>
      </c>
    </row>
    <row r="362" spans="1:3" x14ac:dyDescent="0.25">
      <c r="A362" t="s">
        <v>6527</v>
      </c>
      <c r="B362" s="110" t="str">
        <f>HYPERLINK("#'Data_Analysis_BNF'!A2821", "b_reduce_heat_rural_urban_419")</f>
        <v>b_reduce_heat_rural_urban_419</v>
      </c>
      <c r="C362" t="s">
        <v>6881</v>
      </c>
    </row>
    <row r="363" spans="1:3" x14ac:dyDescent="0.25">
      <c r="A363" t="s">
        <v>6527</v>
      </c>
      <c r="B363" s="110" t="str">
        <f>HYPERLINK("#'Data_Analysis_BNF'!A2827", "b_reduce_measures_overall_D_430_by_b_hh_type")</f>
        <v>b_reduce_measures_overall_D_430_by_b_hh_type</v>
      </c>
      <c r="C363" t="s">
        <v>6882</v>
      </c>
    </row>
    <row r="364" spans="1:3" x14ac:dyDescent="0.25">
      <c r="A364" t="s">
        <v>6527</v>
      </c>
      <c r="B364" s="110" t="str">
        <f>HYPERLINK("#'Data_Analysis_BNF'!A2833", "b_reduce_measures_overall_D_432_by_b_hh_size_range")</f>
        <v>b_reduce_measures_overall_D_432_by_b_hh_size_range</v>
      </c>
      <c r="C364" t="s">
        <v>6883</v>
      </c>
    </row>
    <row r="365" spans="1:3" x14ac:dyDescent="0.25">
      <c r="A365" t="s">
        <v>6527</v>
      </c>
      <c r="B365" s="110" t="str">
        <f>HYPERLINK("#'Data_Analysis_BNF'!A2840", "b_reduce_measures_overall_D_433_by_b_hh_composition")</f>
        <v>b_reduce_measures_overall_D_433_by_b_hh_composition</v>
      </c>
      <c r="C365" t="s">
        <v>6884</v>
      </c>
    </row>
    <row r="366" spans="1:3" x14ac:dyDescent="0.25">
      <c r="A366" t="s">
        <v>6527</v>
      </c>
      <c r="B366" s="110" t="str">
        <f>HYPERLINK("#'Data_Analysis_BNF'!A2851", "b_reduce_measures_overall_D_434_by_b_hh_with_pwd")</f>
        <v>b_reduce_measures_overall_D_434_by_b_hh_with_pwd</v>
      </c>
      <c r="C366" t="s">
        <v>6885</v>
      </c>
    </row>
    <row r="367" spans="1:3" x14ac:dyDescent="0.25">
      <c r="A367" t="s">
        <v>6527</v>
      </c>
      <c r="B367" s="110" t="str">
        <f>HYPERLINK("#'Data_Analysis_BNF'!A2857", "b_reduce_measures_overall_D_435_by_b_aver_monthly_income_range")</f>
        <v>b_reduce_measures_overall_D_435_by_b_aver_monthly_income_range</v>
      </c>
      <c r="C367" t="s">
        <v>6886</v>
      </c>
    </row>
    <row r="368" spans="1:3" x14ac:dyDescent="0.25">
      <c r="A368" t="s">
        <v>6527</v>
      </c>
      <c r="B368" s="110" t="str">
        <f>HYPERLINK("#'Data_Analysis_BNF'!A2868", "b_reduce_measures_overall_D_436_by_b_perc_expenditure_spent_on_energy_nov")</f>
        <v>b_reduce_measures_overall_D_436_by_b_perc_expenditure_spent_on_energy_nov</v>
      </c>
      <c r="C368" t="s">
        <v>6887</v>
      </c>
    </row>
    <row r="369" spans="1:3" x14ac:dyDescent="0.25">
      <c r="A369" t="s">
        <v>6527</v>
      </c>
      <c r="B369" s="110" t="str">
        <f>HYPERLINK("#'Data_Analysis_BNF'!A2877", "b_reduce_measures_overall_D_437_by_b_perc_expenditure_spent_on_energy_dec")</f>
        <v>b_reduce_measures_overall_D_437_by_b_perc_expenditure_spent_on_energy_dec</v>
      </c>
      <c r="C369" t="s">
        <v>6888</v>
      </c>
    </row>
    <row r="370" spans="1:3" x14ac:dyDescent="0.25">
      <c r="A370" t="s">
        <v>6527</v>
      </c>
      <c r="B370" s="110" t="str">
        <f>HYPERLINK("#'Data_Analysis_BNF'!A2887", "b_reduce_measures_overall_D_438_by_b_perc_income_spent_on_energy_nov")</f>
        <v>b_reduce_measures_overall_D_438_by_b_perc_income_spent_on_energy_nov</v>
      </c>
      <c r="C370" t="s">
        <v>6889</v>
      </c>
    </row>
    <row r="371" spans="1:3" x14ac:dyDescent="0.25">
      <c r="A371" t="s">
        <v>6527</v>
      </c>
      <c r="B371" s="110" t="str">
        <f>HYPERLINK("#'Data_Analysis_BNF'!A2897", "b_reduce_measures_overall_D_439_by_b_perc_income_spent_on_energy_dec")</f>
        <v>b_reduce_measures_overall_D_439_by_b_perc_income_spent_on_energy_dec</v>
      </c>
      <c r="C371" t="s">
        <v>6890</v>
      </c>
    </row>
    <row r="372" spans="1:3" x14ac:dyDescent="0.25">
      <c r="A372" t="s">
        <v>6527</v>
      </c>
      <c r="B372" s="110" t="str">
        <f>HYPERLINK("#'Data_Analysis_BNF'!A2907", "b_reduce_measures_overall_D_440_by_amount_evrf_nov_range")</f>
        <v>b_reduce_measures_overall_D_440_by_amount_evrf_nov_range</v>
      </c>
      <c r="C372" t="s">
        <v>6891</v>
      </c>
    </row>
    <row r="373" spans="1:3" x14ac:dyDescent="0.25">
      <c r="A373" t="s">
        <v>6527</v>
      </c>
      <c r="B373" s="110" t="str">
        <f>HYPERLINK("#'Data_Analysis_BNF'!A2915", "b_reduce_measures_overall_D_441_by_amount_evrf_dec_range")</f>
        <v>b_reduce_measures_overall_D_441_by_amount_evrf_dec_range</v>
      </c>
      <c r="C373" t="s">
        <v>6892</v>
      </c>
    </row>
    <row r="374" spans="1:3" x14ac:dyDescent="0.25">
      <c r="A374" t="s">
        <v>6527</v>
      </c>
      <c r="B374" s="110" t="str">
        <f>HYPERLINK("#'Data_Analysis_BNF'!A2923", "b_reduce_measures_rural_urban_431")</f>
        <v>b_reduce_measures_rural_urban_431</v>
      </c>
      <c r="C374" t="s">
        <v>6893</v>
      </c>
    </row>
    <row r="375" spans="1:3" x14ac:dyDescent="0.25">
      <c r="A375" t="s">
        <v>137</v>
      </c>
      <c r="B375" s="110" t="str">
        <f>HYPERLINK("#'Data_Analysis_BNF'!A2929", "b_refugee_overall_1")</f>
        <v>b_refugee_overall_1</v>
      </c>
      <c r="C375" t="s">
        <v>6894</v>
      </c>
    </row>
    <row r="376" spans="1:3" x14ac:dyDescent="0.25">
      <c r="A376" t="s">
        <v>137</v>
      </c>
      <c r="B376" s="110" t="str">
        <f>HYPERLINK("#'Data_Analysis_BNF'!A2933", "b_region_overall_D_5_by_b_hh_type")</f>
        <v>b_region_overall_D_5_by_b_hh_type</v>
      </c>
      <c r="C376" t="s">
        <v>6895</v>
      </c>
    </row>
    <row r="377" spans="1:3" x14ac:dyDescent="0.25">
      <c r="A377" t="s">
        <v>6520</v>
      </c>
      <c r="B377" s="110" t="str">
        <f>HYPERLINK("#'Data_Analysis_BNF'!A2939", "b_resources_for_bills_overall_D_339_by_b_hh_type")</f>
        <v>b_resources_for_bills_overall_D_339_by_b_hh_type</v>
      </c>
      <c r="C377" t="s">
        <v>6896</v>
      </c>
    </row>
    <row r="378" spans="1:3" x14ac:dyDescent="0.25">
      <c r="A378" t="s">
        <v>6520</v>
      </c>
      <c r="B378" s="110" t="str">
        <f>HYPERLINK("#'Data_Analysis_BNF'!A2945", "b_resources_for_bills_overall_D_341_by_b_hh_composition")</f>
        <v>b_resources_for_bills_overall_D_341_by_b_hh_composition</v>
      </c>
      <c r="C378" t="s">
        <v>6897</v>
      </c>
    </row>
    <row r="379" spans="1:3" x14ac:dyDescent="0.25">
      <c r="A379" t="s">
        <v>6520</v>
      </c>
      <c r="B379" s="110" t="str">
        <f>HYPERLINK("#'Data_Analysis_BNF'!A2956", "b_resources_for_bills_overall_D_342_by_b_hh_with_pwd")</f>
        <v>b_resources_for_bills_overall_D_342_by_b_hh_with_pwd</v>
      </c>
      <c r="C379" t="s">
        <v>6898</v>
      </c>
    </row>
    <row r="380" spans="1:3" x14ac:dyDescent="0.25">
      <c r="A380" t="s">
        <v>6520</v>
      </c>
      <c r="B380" s="110" t="str">
        <f>HYPERLINK("#'Data_Analysis_BNF'!A2962", "b_resources_for_bills_overall_D_343_by_accommodation_ownership")</f>
        <v>b_resources_for_bills_overall_D_343_by_accommodation_ownership</v>
      </c>
      <c r="C380" t="s">
        <v>6899</v>
      </c>
    </row>
    <row r="381" spans="1:3" x14ac:dyDescent="0.25">
      <c r="A381" t="s">
        <v>6520</v>
      </c>
      <c r="B381" s="110" t="str">
        <f>HYPERLINK("#'Data_Analysis_BNF'!A2971", "b_resources_for_bills_rural_urban_340")</f>
        <v>b_resources_for_bills_rural_urban_340</v>
      </c>
      <c r="C381" t="s">
        <v>6900</v>
      </c>
    </row>
    <row r="382" spans="1:3" x14ac:dyDescent="0.25">
      <c r="A382" t="s">
        <v>137</v>
      </c>
      <c r="B382" s="110" t="str">
        <f>HYPERLINK("#'Data_Analysis_BNF'!A2977", "b_resp_gender_overall_2")</f>
        <v>b_resp_gender_overall_2</v>
      </c>
      <c r="C382" t="s">
        <v>6901</v>
      </c>
    </row>
    <row r="383" spans="1:3" x14ac:dyDescent="0.25">
      <c r="A383" t="s">
        <v>6527</v>
      </c>
      <c r="B383" s="110" t="str">
        <f>HYPERLINK("#'Data_Analysis_BNF'!A2981", "b_strategies_high_costs_overall_D_466_by_b_hh_type")</f>
        <v>b_strategies_high_costs_overall_D_466_by_b_hh_type</v>
      </c>
      <c r="C383" t="s">
        <v>6902</v>
      </c>
    </row>
    <row r="384" spans="1:3" x14ac:dyDescent="0.25">
      <c r="A384" t="s">
        <v>6527</v>
      </c>
      <c r="B384" s="110" t="str">
        <f>HYPERLINK("#'Data_Analysis_BNF'!A2987", "b_strategies_high_costs_overall_D_468_by_b_hh_size_range")</f>
        <v>b_strategies_high_costs_overall_D_468_by_b_hh_size_range</v>
      </c>
      <c r="C384" t="s">
        <v>6903</v>
      </c>
    </row>
    <row r="385" spans="1:3" x14ac:dyDescent="0.25">
      <c r="A385" t="s">
        <v>6527</v>
      </c>
      <c r="B385" s="110" t="str">
        <f>HYPERLINK("#'Data_Analysis_BNF'!A2994", "b_strategies_high_costs_overall_D_469_by_b_hh_composition")</f>
        <v>b_strategies_high_costs_overall_D_469_by_b_hh_composition</v>
      </c>
      <c r="C385" t="s">
        <v>6904</v>
      </c>
    </row>
    <row r="386" spans="1:3" x14ac:dyDescent="0.25">
      <c r="A386" t="s">
        <v>6527</v>
      </c>
      <c r="B386" s="110" t="str">
        <f>HYPERLINK("#'Data_Analysis_BNF'!A3005", "b_strategies_high_costs_overall_D_470_by_b_hh_with_pwd")</f>
        <v>b_strategies_high_costs_overall_D_470_by_b_hh_with_pwd</v>
      </c>
      <c r="C386" t="s">
        <v>6905</v>
      </c>
    </row>
    <row r="387" spans="1:3" x14ac:dyDescent="0.25">
      <c r="A387" t="s">
        <v>6527</v>
      </c>
      <c r="B387" s="110" t="str">
        <f>HYPERLINK("#'Data_Analysis_BNF'!A3011", "b_strategies_high_costs_overall_D_471_by_b_aver_monthly_income_range")</f>
        <v>b_strategies_high_costs_overall_D_471_by_b_aver_monthly_income_range</v>
      </c>
      <c r="C387" t="s">
        <v>6906</v>
      </c>
    </row>
    <row r="388" spans="1:3" x14ac:dyDescent="0.25">
      <c r="A388" t="s">
        <v>6527</v>
      </c>
      <c r="B388" s="110" t="str">
        <f>HYPERLINK("#'Data_Analysis_BNF'!A3022", "b_strategies_high_costs_overall_D_472_by_b_heat_system_primary")</f>
        <v>b_strategies_high_costs_overall_D_472_by_b_heat_system_primary</v>
      </c>
      <c r="C388" t="s">
        <v>6907</v>
      </c>
    </row>
    <row r="389" spans="1:3" x14ac:dyDescent="0.25">
      <c r="A389" t="s">
        <v>6527</v>
      </c>
      <c r="B389" s="110" t="str">
        <f>HYPERLINK("#'Data_Analysis_BNF'!A3031", "b_strategies_high_costs_overall_D_473_by_b_perc_expenditure_spent_on_energy_nov")</f>
        <v>b_strategies_high_costs_overall_D_473_by_b_perc_expenditure_spent_on_energy_nov</v>
      </c>
      <c r="C389" t="s">
        <v>6908</v>
      </c>
    </row>
    <row r="390" spans="1:3" x14ac:dyDescent="0.25">
      <c r="A390" t="s">
        <v>6527</v>
      </c>
      <c r="B390" s="110" t="str">
        <f>HYPERLINK("#'Data_Analysis_BNF'!A3040", "b_strategies_high_costs_overall_D_474_by_b_perc_expenditure_spent_on_energy_dec")</f>
        <v>b_strategies_high_costs_overall_D_474_by_b_perc_expenditure_spent_on_energy_dec</v>
      </c>
      <c r="C390" t="s">
        <v>6909</v>
      </c>
    </row>
    <row r="391" spans="1:3" x14ac:dyDescent="0.25">
      <c r="A391" t="s">
        <v>6527</v>
      </c>
      <c r="B391" s="110" t="str">
        <f>HYPERLINK("#'Data_Analysis_BNF'!A3050", "b_strategies_high_costs_overall_D_475_by_b_perc_income_spent_on_energy_nov")</f>
        <v>b_strategies_high_costs_overall_D_475_by_b_perc_income_spent_on_energy_nov</v>
      </c>
      <c r="C391" t="s">
        <v>6910</v>
      </c>
    </row>
    <row r="392" spans="1:3" x14ac:dyDescent="0.25">
      <c r="A392" t="s">
        <v>6527</v>
      </c>
      <c r="B392" s="110" t="str">
        <f>HYPERLINK("#'Data_Analysis_BNF'!A3060", "b_strategies_high_costs_overall_D_476_by_b_perc_income_spent_on_energy_dec")</f>
        <v>b_strategies_high_costs_overall_D_476_by_b_perc_income_spent_on_energy_dec</v>
      </c>
      <c r="C392" t="s">
        <v>6911</v>
      </c>
    </row>
    <row r="393" spans="1:3" x14ac:dyDescent="0.25">
      <c r="A393" t="s">
        <v>6527</v>
      </c>
      <c r="B393" s="110" t="str">
        <f>HYPERLINK("#'Data_Analysis_BNF'!A3070", "b_strategies_high_costs_rural_urban_467")</f>
        <v>b_strategies_high_costs_rural_urban_467</v>
      </c>
      <c r="C393" t="s">
        <v>6912</v>
      </c>
    </row>
    <row r="394" spans="1:3" x14ac:dyDescent="0.25">
      <c r="A394" t="s">
        <v>6527</v>
      </c>
      <c r="B394" s="110" t="str">
        <f>HYPERLINK("#'Data_Analysis_BNF'!A3076", "b_strategies_list_overall_D_477_by_b_hh_type")</f>
        <v>b_strategies_list_overall_D_477_by_b_hh_type</v>
      </c>
      <c r="C394" t="s">
        <v>6913</v>
      </c>
    </row>
    <row r="395" spans="1:3" x14ac:dyDescent="0.25">
      <c r="A395" t="s">
        <v>6527</v>
      </c>
      <c r="B395" s="110" t="str">
        <f>HYPERLINK("#'Data_Analysis_BNF'!A3082", "b_strategies_list_overall_D_479_by_b_hh_composition")</f>
        <v>b_strategies_list_overall_D_479_by_b_hh_composition</v>
      </c>
      <c r="C395" t="s">
        <v>6914</v>
      </c>
    </row>
    <row r="396" spans="1:3" x14ac:dyDescent="0.25">
      <c r="A396" t="s">
        <v>6527</v>
      </c>
      <c r="B396" s="110" t="str">
        <f>HYPERLINK("#'Data_Analysis_BNF'!A3093", "b_strategies_list_overall_D_480_by_b_hh_with_pwd")</f>
        <v>b_strategies_list_overall_D_480_by_b_hh_with_pwd</v>
      </c>
      <c r="C396" t="s">
        <v>6915</v>
      </c>
    </row>
    <row r="397" spans="1:3" x14ac:dyDescent="0.25">
      <c r="A397" t="s">
        <v>6527</v>
      </c>
      <c r="B397" s="110" t="str">
        <f>HYPERLINK("#'Data_Analysis_BNF'!A3099", "b_strategies_list_overall_D_481_by_b_aver_monthly_income_range")</f>
        <v>b_strategies_list_overall_D_481_by_b_aver_monthly_income_range</v>
      </c>
      <c r="C397" t="s">
        <v>6916</v>
      </c>
    </row>
    <row r="398" spans="1:3" x14ac:dyDescent="0.25">
      <c r="A398" t="s">
        <v>6527</v>
      </c>
      <c r="B398" s="110" t="str">
        <f>HYPERLINK("#'Data_Analysis_BNF'!A3110", "b_strategies_list_overall_D_482_by_b_heat_system_primary")</f>
        <v>b_strategies_list_overall_D_482_by_b_heat_system_primary</v>
      </c>
      <c r="C398" t="s">
        <v>6917</v>
      </c>
    </row>
    <row r="399" spans="1:3" x14ac:dyDescent="0.25">
      <c r="A399" t="s">
        <v>6527</v>
      </c>
      <c r="B399" s="110" t="str">
        <f>HYPERLINK("#'Data_Analysis_BNF'!A3118", "b_strategies_list_rural_urban_478")</f>
        <v>b_strategies_list_rural_urban_478</v>
      </c>
      <c r="C399" t="s">
        <v>6918</v>
      </c>
    </row>
    <row r="400" spans="1:3" x14ac:dyDescent="0.25">
      <c r="A400" t="s">
        <v>6521</v>
      </c>
      <c r="B400" s="110" t="str">
        <f>HYPERLINK("#'Data_Analysis_BNF'!A3124", "b_sw_support_satisfaction_overall_D_206_by_b_hh_type")</f>
        <v>b_sw_support_satisfaction_overall_D_206_by_b_hh_type</v>
      </c>
      <c r="C400" t="s">
        <v>6919</v>
      </c>
    </row>
    <row r="401" spans="1:3" x14ac:dyDescent="0.25">
      <c r="A401" t="s">
        <v>6521</v>
      </c>
      <c r="B401" s="110" t="str">
        <f>HYPERLINK("#'Data_Analysis_BNF'!A3130", "b_sw_support_satisfaction_overall_D_208_by_b_hh_composition")</f>
        <v>b_sw_support_satisfaction_overall_D_208_by_b_hh_composition</v>
      </c>
      <c r="C401" t="s">
        <v>6920</v>
      </c>
    </row>
    <row r="402" spans="1:3" x14ac:dyDescent="0.25">
      <c r="A402" t="s">
        <v>6521</v>
      </c>
      <c r="B402" s="110" t="str">
        <f>HYPERLINK("#'Data_Analysis_BNF'!A3141", "b_sw_support_satisfaction_overall_D_209_by_b_hh_with_pwd")</f>
        <v>b_sw_support_satisfaction_overall_D_209_by_b_hh_with_pwd</v>
      </c>
      <c r="C402" t="s">
        <v>6921</v>
      </c>
    </row>
    <row r="403" spans="1:3" x14ac:dyDescent="0.25">
      <c r="A403" t="s">
        <v>6521</v>
      </c>
      <c r="B403" s="110" t="str">
        <f>HYPERLINK("#'Data_Analysis_BNF'!A3147", "b_sw_support_satisfaction_rural_urban_207")</f>
        <v>b_sw_support_satisfaction_rural_urban_207</v>
      </c>
      <c r="C403" t="s">
        <v>6922</v>
      </c>
    </row>
    <row r="404" spans="1:3" x14ac:dyDescent="0.25">
      <c r="A404" t="s">
        <v>6520</v>
      </c>
      <c r="B404" s="110" t="str">
        <f>HYPERLINK("#'Data_Analysis_BNF'!A3153", "b_temp_dec_overall_D_369_by_b_hh_type")</f>
        <v>b_temp_dec_overall_D_369_by_b_hh_type</v>
      </c>
      <c r="C404" t="s">
        <v>6923</v>
      </c>
    </row>
    <row r="405" spans="1:3" x14ac:dyDescent="0.25">
      <c r="A405" t="s">
        <v>6520</v>
      </c>
      <c r="B405" s="110" t="str">
        <f>HYPERLINK("#'Data_Analysis_BNF'!A3159", "b_temp_dec_overall_D_371_by_b_hh_size_range")</f>
        <v>b_temp_dec_overall_D_371_by_b_hh_size_range</v>
      </c>
      <c r="C405" t="s">
        <v>6924</v>
      </c>
    </row>
    <row r="406" spans="1:3" x14ac:dyDescent="0.25">
      <c r="A406" t="s">
        <v>6520</v>
      </c>
      <c r="B406" s="110" t="str">
        <f>HYPERLINK("#'Data_Analysis_BNF'!A3166", "b_temp_dec_overall_D_372_by_b_hh_composition")</f>
        <v>b_temp_dec_overall_D_372_by_b_hh_composition</v>
      </c>
      <c r="C406" t="s">
        <v>6925</v>
      </c>
    </row>
    <row r="407" spans="1:3" x14ac:dyDescent="0.25">
      <c r="A407" t="s">
        <v>6520</v>
      </c>
      <c r="B407" s="110" t="str">
        <f>HYPERLINK("#'Data_Analysis_BNF'!A3177", "b_temp_dec_overall_D_373_by_b_hh_with_pwd")</f>
        <v>b_temp_dec_overall_D_373_by_b_hh_with_pwd</v>
      </c>
      <c r="C407" t="s">
        <v>6926</v>
      </c>
    </row>
    <row r="408" spans="1:3" x14ac:dyDescent="0.25">
      <c r="A408" t="s">
        <v>6520</v>
      </c>
      <c r="B408" s="110" t="str">
        <f>HYPERLINK("#'Data_Analysis_BNF'!A3183", "b_temp_dec_overall_D_374_by_b_aver_monthly_income_range")</f>
        <v>b_temp_dec_overall_D_374_by_b_aver_monthly_income_range</v>
      </c>
      <c r="C408" t="s">
        <v>6927</v>
      </c>
    </row>
    <row r="409" spans="1:3" x14ac:dyDescent="0.25">
      <c r="A409" t="s">
        <v>6520</v>
      </c>
      <c r="B409" s="110" t="str">
        <f>HYPERLINK("#'Data_Analysis_BNF'!A3194", "b_temp_dec_overall_D_375_by_b_perc_income_spent_on_energy_dec")</f>
        <v>b_temp_dec_overall_D_375_by_b_perc_income_spent_on_energy_dec</v>
      </c>
      <c r="C409" t="s">
        <v>6928</v>
      </c>
    </row>
    <row r="410" spans="1:3" x14ac:dyDescent="0.25">
      <c r="A410" t="s">
        <v>6520</v>
      </c>
      <c r="B410" s="110" t="str">
        <f>HYPERLINK("#'Data_Analysis_BNF'!A3204", "b_temp_dec_overall_D_376_by_b_perc_expenditure_spent_on_energy_dec")</f>
        <v>b_temp_dec_overall_D_376_by_b_perc_expenditure_spent_on_energy_dec</v>
      </c>
      <c r="C410" t="s">
        <v>6929</v>
      </c>
    </row>
    <row r="411" spans="1:3" x14ac:dyDescent="0.25">
      <c r="A411" t="s">
        <v>6520</v>
      </c>
      <c r="B411" s="110" t="str">
        <f>HYPERLINK("#'Data_Analysis_BNF'!A3214", "b_temp_dec_overall_D_377_by_amount_evrf_dec_range")</f>
        <v>b_temp_dec_overall_D_377_by_amount_evrf_dec_range</v>
      </c>
      <c r="C411" t="s">
        <v>6930</v>
      </c>
    </row>
    <row r="412" spans="1:3" x14ac:dyDescent="0.25">
      <c r="A412" t="s">
        <v>6520</v>
      </c>
      <c r="B412" s="110" t="str">
        <f>HYPERLINK("#'Data_Analysis_BNF'!A3222", "b_temp_dec_rural_urban_370")</f>
        <v>b_temp_dec_rural_urban_370</v>
      </c>
      <c r="C412" t="s">
        <v>6931</v>
      </c>
    </row>
    <row r="413" spans="1:3" x14ac:dyDescent="0.25">
      <c r="A413" t="s">
        <v>6520</v>
      </c>
      <c r="B413" s="110" t="str">
        <f>HYPERLINK("#'Data_Analysis_BNF'!A3228", "b_temp_nov_overall_D_360_by_b_hh_type")</f>
        <v>b_temp_nov_overall_D_360_by_b_hh_type</v>
      </c>
      <c r="C413" t="s">
        <v>6932</v>
      </c>
    </row>
    <row r="414" spans="1:3" x14ac:dyDescent="0.25">
      <c r="A414" t="s">
        <v>6520</v>
      </c>
      <c r="B414" s="110" t="str">
        <f>HYPERLINK("#'Data_Analysis_BNF'!A3234", "b_temp_nov_overall_D_362_by_b_hh_size_range")</f>
        <v>b_temp_nov_overall_D_362_by_b_hh_size_range</v>
      </c>
      <c r="C414" t="s">
        <v>6933</v>
      </c>
    </row>
    <row r="415" spans="1:3" x14ac:dyDescent="0.25">
      <c r="A415" t="s">
        <v>6520</v>
      </c>
      <c r="B415" s="110" t="str">
        <f>HYPERLINK("#'Data_Analysis_BNF'!A3241", "b_temp_nov_overall_D_363_by_b_hh_composition")</f>
        <v>b_temp_nov_overall_D_363_by_b_hh_composition</v>
      </c>
      <c r="C415" t="s">
        <v>6934</v>
      </c>
    </row>
    <row r="416" spans="1:3" x14ac:dyDescent="0.25">
      <c r="A416" t="s">
        <v>6520</v>
      </c>
      <c r="B416" s="110" t="str">
        <f>HYPERLINK("#'Data_Analysis_BNF'!A3252", "b_temp_nov_overall_D_364_by_b_hh_with_pwd")</f>
        <v>b_temp_nov_overall_D_364_by_b_hh_with_pwd</v>
      </c>
      <c r="C416" t="s">
        <v>6935</v>
      </c>
    </row>
    <row r="417" spans="1:3" x14ac:dyDescent="0.25">
      <c r="A417" t="s">
        <v>6520</v>
      </c>
      <c r="B417" s="110" t="str">
        <f>HYPERLINK("#'Data_Analysis_BNF'!A3258", "b_temp_nov_overall_D_365_by_b_aver_monthly_income_range")</f>
        <v>b_temp_nov_overall_D_365_by_b_aver_monthly_income_range</v>
      </c>
      <c r="C417" t="s">
        <v>6936</v>
      </c>
    </row>
    <row r="418" spans="1:3" x14ac:dyDescent="0.25">
      <c r="A418" t="s">
        <v>6520</v>
      </c>
      <c r="B418" s="110" t="str">
        <f>HYPERLINK("#'Data_Analysis_BNF'!A3269", "b_temp_nov_overall_D_366_by_b_perc_expenditure_spent_on_energy_nov")</f>
        <v>b_temp_nov_overall_D_366_by_b_perc_expenditure_spent_on_energy_nov</v>
      </c>
      <c r="C418" t="s">
        <v>6937</v>
      </c>
    </row>
    <row r="419" spans="1:3" x14ac:dyDescent="0.25">
      <c r="A419" t="s">
        <v>6520</v>
      </c>
      <c r="B419" s="110" t="str">
        <f>HYPERLINK("#'Data_Analysis_BNF'!A3278", "b_temp_nov_overall_D_367_by_b_perc_income_spent_on_energy_nov")</f>
        <v>b_temp_nov_overall_D_367_by_b_perc_income_spent_on_energy_nov</v>
      </c>
      <c r="C419" t="s">
        <v>6938</v>
      </c>
    </row>
    <row r="420" spans="1:3" x14ac:dyDescent="0.25">
      <c r="A420" t="s">
        <v>6520</v>
      </c>
      <c r="B420" s="110" t="str">
        <f>HYPERLINK("#'Data_Analysis_BNF'!A3288", "b_temp_nov_overall_D_368_by_amount_evrf_nov_range")</f>
        <v>b_temp_nov_overall_D_368_by_amount_evrf_nov_range</v>
      </c>
      <c r="C420" t="s">
        <v>6939</v>
      </c>
    </row>
    <row r="421" spans="1:3" x14ac:dyDescent="0.25">
      <c r="A421" t="s">
        <v>6520</v>
      </c>
      <c r="B421" s="110" t="str">
        <f>HYPERLINK("#'Data_Analysis_BNF'!A3296", "b_temp_nov_rural_urban_361")</f>
        <v>b_temp_nov_rural_urban_361</v>
      </c>
      <c r="C421" t="s">
        <v>6940</v>
      </c>
    </row>
    <row r="422" spans="1:3" x14ac:dyDescent="0.25">
      <c r="A422" t="s">
        <v>6523</v>
      </c>
      <c r="B422" s="110" t="str">
        <f>HYPERLINK("#'Data_Analysis_BNF'!A3302", "b_total_bills_dec_overall_D_177_by_amount_evrf_dec_range")</f>
        <v>b_total_bills_dec_overall_D_177_by_amount_evrf_dec_range</v>
      </c>
      <c r="C422" t="s">
        <v>6941</v>
      </c>
    </row>
    <row r="423" spans="1:3" x14ac:dyDescent="0.25">
      <c r="A423" t="s">
        <v>6523</v>
      </c>
      <c r="B423" s="110" t="str">
        <f>HYPERLINK("#'Data_Analysis_BNF'!A3309", "b_total_bills_dec_overall_D_178_by_b_hh_type")</f>
        <v>b_total_bills_dec_overall_D_178_by_b_hh_type</v>
      </c>
      <c r="C423" t="s">
        <v>6942</v>
      </c>
    </row>
    <row r="424" spans="1:3" x14ac:dyDescent="0.25">
      <c r="A424" t="s">
        <v>6523</v>
      </c>
      <c r="B424" s="110" t="str">
        <f>HYPERLINK("#'Data_Analysis_BNF'!A3314", "b_total_bills_dec_range_overall_D_180_by_b_hh_type")</f>
        <v>b_total_bills_dec_range_overall_D_180_by_b_hh_type</v>
      </c>
      <c r="C424" t="s">
        <v>6943</v>
      </c>
    </row>
    <row r="425" spans="1:3" x14ac:dyDescent="0.25">
      <c r="A425" t="s">
        <v>6523</v>
      </c>
      <c r="B425" s="110" t="str">
        <f>HYPERLINK("#'Data_Analysis_BNF'!A3320", "b_total_bills_dec_range_overall_D_182_by_b_hh_size_range")</f>
        <v>b_total_bills_dec_range_overall_D_182_by_b_hh_size_range</v>
      </c>
      <c r="C425" t="s">
        <v>6944</v>
      </c>
    </row>
    <row r="426" spans="1:3" x14ac:dyDescent="0.25">
      <c r="A426" t="s">
        <v>6523</v>
      </c>
      <c r="B426" s="110" t="str">
        <f>HYPERLINK("#'Data_Analysis_BNF'!A3327", "b_total_bills_dec_range_overall_D_183_by_b_hh_composition")</f>
        <v>b_total_bills_dec_range_overall_D_183_by_b_hh_composition</v>
      </c>
      <c r="C426" t="s">
        <v>6945</v>
      </c>
    </row>
    <row r="427" spans="1:3" x14ac:dyDescent="0.25">
      <c r="A427" t="s">
        <v>6523</v>
      </c>
      <c r="B427" s="110" t="str">
        <f>HYPERLINK("#'Data_Analysis_BNF'!A3338", "b_total_bills_dec_range_overall_D_184_by_b_hh_with_pwd")</f>
        <v>b_total_bills_dec_range_overall_D_184_by_b_hh_with_pwd</v>
      </c>
      <c r="C427" t="s">
        <v>6946</v>
      </c>
    </row>
    <row r="428" spans="1:3" x14ac:dyDescent="0.25">
      <c r="A428" t="s">
        <v>6523</v>
      </c>
      <c r="B428" s="110" t="str">
        <f>HYPERLINK("#'Data_Analysis_BNF'!A3344", "b_total_bills_dec_range_overall_D_185_by_b_aver_monthly_income_range")</f>
        <v>b_total_bills_dec_range_overall_D_185_by_b_aver_monthly_income_range</v>
      </c>
      <c r="C428" t="s">
        <v>6947</v>
      </c>
    </row>
    <row r="429" spans="1:3" x14ac:dyDescent="0.25">
      <c r="A429" t="s">
        <v>6523</v>
      </c>
      <c r="B429" s="110" t="str">
        <f>HYPERLINK("#'Data_Analysis_BNF'!A3355", "b_total_bills_dec_range_overall_D_186_by_b_heat_system_primary")</f>
        <v>b_total_bills_dec_range_overall_D_186_by_b_heat_system_primary</v>
      </c>
      <c r="C429" t="s">
        <v>6948</v>
      </c>
    </row>
    <row r="430" spans="1:3" x14ac:dyDescent="0.25">
      <c r="A430" t="s">
        <v>6523</v>
      </c>
      <c r="B430" s="110" t="str">
        <f>HYPERLINK("#'Data_Analysis_BNF'!A3364", "b_total_bills_dec_range_overall_D_187_by_b_hh_heating_systems")</f>
        <v>b_total_bills_dec_range_overall_D_187_by_b_hh_heating_systems</v>
      </c>
      <c r="C430" t="s">
        <v>6949</v>
      </c>
    </row>
    <row r="431" spans="1:3" x14ac:dyDescent="0.25">
      <c r="A431" t="s">
        <v>6523</v>
      </c>
      <c r="B431" s="110" t="str">
        <f>HYPERLINK("#'Data_Analysis_BNF'!A3374", "b_total_bills_dec_range_overall_D_188_by_amount_evrf_dec_range")</f>
        <v>b_total_bills_dec_range_overall_D_188_by_amount_evrf_dec_range</v>
      </c>
      <c r="C431" t="s">
        <v>6950</v>
      </c>
    </row>
    <row r="432" spans="1:3" x14ac:dyDescent="0.25">
      <c r="A432" t="s">
        <v>6523</v>
      </c>
      <c r="B432" s="110" t="str">
        <f>HYPERLINK("#'Data_Analysis_BNF'!A3382", "b_total_bills_dec_range_rural_urban_181")</f>
        <v>b_total_bills_dec_range_rural_urban_181</v>
      </c>
      <c r="C432" t="s">
        <v>6951</v>
      </c>
    </row>
    <row r="433" spans="1:3" x14ac:dyDescent="0.25">
      <c r="A433" t="s">
        <v>6523</v>
      </c>
      <c r="B433" s="110" t="str">
        <f>HYPERLINK("#'Data_Analysis_BNF'!A3388", "b_total_bills_dec_rural_urban_179")</f>
        <v>b_total_bills_dec_rural_urban_179</v>
      </c>
      <c r="C433" t="s">
        <v>6952</v>
      </c>
    </row>
    <row r="434" spans="1:3" x14ac:dyDescent="0.25">
      <c r="A434" t="s">
        <v>6524</v>
      </c>
      <c r="B434" s="110" t="str">
        <f>HYPERLINK("#'Data_Analysis_BNF'!A3394", "b_total_bills_nov_overall_D_125_by_b_hh_type")</f>
        <v>b_total_bills_nov_overall_D_125_by_b_hh_type</v>
      </c>
      <c r="C434" t="s">
        <v>6953</v>
      </c>
    </row>
    <row r="435" spans="1:3" x14ac:dyDescent="0.25">
      <c r="A435" t="s">
        <v>6524</v>
      </c>
      <c r="B435" s="110" t="str">
        <f>HYPERLINK("#'Data_Analysis_BNF'!A3399", "b_total_bills_nov_range_overall_D_127_by_b_hh_type")</f>
        <v>b_total_bills_nov_range_overall_D_127_by_b_hh_type</v>
      </c>
      <c r="C435" t="s">
        <v>6954</v>
      </c>
    </row>
    <row r="436" spans="1:3" x14ac:dyDescent="0.25">
      <c r="A436" t="s">
        <v>6524</v>
      </c>
      <c r="B436" s="110" t="str">
        <f>HYPERLINK("#'Data_Analysis_BNF'!A3405", "b_total_bills_nov_range_overall_D_129_by_b_hh_size_range")</f>
        <v>b_total_bills_nov_range_overall_D_129_by_b_hh_size_range</v>
      </c>
      <c r="C436" t="s">
        <v>6955</v>
      </c>
    </row>
    <row r="437" spans="1:3" x14ac:dyDescent="0.25">
      <c r="A437" t="s">
        <v>6524</v>
      </c>
      <c r="B437" s="110" t="str">
        <f>HYPERLINK("#'Data_Analysis_BNF'!A3412", "b_total_bills_nov_range_overall_D_130_by_b_hh_composition")</f>
        <v>b_total_bills_nov_range_overall_D_130_by_b_hh_composition</v>
      </c>
      <c r="C437" t="s">
        <v>6956</v>
      </c>
    </row>
    <row r="438" spans="1:3" x14ac:dyDescent="0.25">
      <c r="A438" t="s">
        <v>6524</v>
      </c>
      <c r="B438" s="110" t="str">
        <f>HYPERLINK("#'Data_Analysis_BNF'!A3423", "b_total_bills_nov_range_overall_D_131_by_b_hh_with_pwd")</f>
        <v>b_total_bills_nov_range_overall_D_131_by_b_hh_with_pwd</v>
      </c>
      <c r="C438" t="s">
        <v>6957</v>
      </c>
    </row>
    <row r="439" spans="1:3" x14ac:dyDescent="0.25">
      <c r="A439" t="s">
        <v>6524</v>
      </c>
      <c r="B439" s="110" t="str">
        <f>HYPERLINK("#'Data_Analysis_BNF'!A3429", "b_total_bills_nov_range_overall_D_132_by_b_aver_monthly_income_range")</f>
        <v>b_total_bills_nov_range_overall_D_132_by_b_aver_monthly_income_range</v>
      </c>
      <c r="C439" t="s">
        <v>6958</v>
      </c>
    </row>
    <row r="440" spans="1:3" x14ac:dyDescent="0.25">
      <c r="A440" t="s">
        <v>6524</v>
      </c>
      <c r="B440" s="110" t="str">
        <f>HYPERLINK("#'Data_Analysis_BNF'!A3440", "b_total_bills_nov_range_overall_D_133_by_b_heat_system_primary")</f>
        <v>b_total_bills_nov_range_overall_D_133_by_b_heat_system_primary</v>
      </c>
      <c r="C440" t="s">
        <v>6959</v>
      </c>
    </row>
    <row r="441" spans="1:3" x14ac:dyDescent="0.25">
      <c r="A441" t="s">
        <v>6524</v>
      </c>
      <c r="B441" s="110" t="str">
        <f>HYPERLINK("#'Data_Analysis_BNF'!A3449", "b_total_bills_nov_range_overall_D_134_by_b_hh_heating_systems")</f>
        <v>b_total_bills_nov_range_overall_D_134_by_b_hh_heating_systems</v>
      </c>
      <c r="C441" t="s">
        <v>6960</v>
      </c>
    </row>
    <row r="442" spans="1:3" x14ac:dyDescent="0.25">
      <c r="A442" t="s">
        <v>6524</v>
      </c>
      <c r="B442" s="110" t="str">
        <f>HYPERLINK("#'Data_Analysis_BNF'!A3459", "b_total_bills_nov_range_overall_D_135_by_amount_evrf_nov_range")</f>
        <v>b_total_bills_nov_range_overall_D_135_by_amount_evrf_nov_range</v>
      </c>
      <c r="C442" t="s">
        <v>6961</v>
      </c>
    </row>
    <row r="443" spans="1:3" x14ac:dyDescent="0.25">
      <c r="A443" t="s">
        <v>6524</v>
      </c>
      <c r="B443" s="110" t="str">
        <f>HYPERLINK("#'Data_Analysis_BNF'!A3467", "b_total_bills_nov_range_rural_urban_128")</f>
        <v>b_total_bills_nov_range_rural_urban_128</v>
      </c>
      <c r="C443" t="s">
        <v>6962</v>
      </c>
    </row>
    <row r="444" spans="1:3" x14ac:dyDescent="0.25">
      <c r="A444" t="s">
        <v>6524</v>
      </c>
      <c r="B444" s="110" t="str">
        <f>HYPERLINK("#'Data_Analysis_BNF'!A3473", "b_total_bills_nov_rural_urban_126")</f>
        <v>b_total_bills_nov_rural_urban_126</v>
      </c>
      <c r="C444" t="s">
        <v>6963</v>
      </c>
    </row>
    <row r="445" spans="1:3" x14ac:dyDescent="0.25">
      <c r="A445" t="s">
        <v>137</v>
      </c>
      <c r="B445" s="110" t="str">
        <f>HYPERLINK("#'Data_Analysis_BNF'!A3479", "b_vuln_groups_overall_D_12_by_b_hh_type")</f>
        <v>b_vuln_groups_overall_D_12_by_b_hh_type</v>
      </c>
      <c r="C445" t="s">
        <v>6964</v>
      </c>
    </row>
    <row r="446" spans="1:3" x14ac:dyDescent="0.25">
      <c r="A446" t="s">
        <v>137</v>
      </c>
      <c r="B446" s="110" t="str">
        <f>HYPERLINK("#'Data_Analysis_BNF'!A3485", "b_vuln_groups_rural_urban_13")</f>
        <v>b_vuln_groups_rural_urban_13</v>
      </c>
      <c r="C446" t="s">
        <v>6965</v>
      </c>
    </row>
    <row r="447" spans="1:3" x14ac:dyDescent="0.25">
      <c r="A447" t="s">
        <v>6517</v>
      </c>
      <c r="B447" s="110" t="str">
        <f>HYPERLINK("#'Data_Analysis_BNF'!A3491", "diff_amount_evrf_dec_overall_D_268_by_b_hh_type")</f>
        <v>diff_amount_evrf_dec_overall_D_268_by_b_hh_type</v>
      </c>
      <c r="C447" t="s">
        <v>6966</v>
      </c>
    </row>
    <row r="448" spans="1:3" x14ac:dyDescent="0.25">
      <c r="A448" t="s">
        <v>6517</v>
      </c>
      <c r="B448" s="110" t="str">
        <f>HYPERLINK("#'Data_Analysis_BNF'!A3497", "diff_amount_evrf_dec_overall_D_270_by_b_applied_evrf_how")</f>
        <v>diff_amount_evrf_dec_overall_D_270_by_b_applied_evrf_how</v>
      </c>
      <c r="C448" t="s">
        <v>6967</v>
      </c>
    </row>
    <row r="449" spans="1:3" x14ac:dyDescent="0.25">
      <c r="A449" t="s">
        <v>6517</v>
      </c>
      <c r="B449" s="110" t="str">
        <f>HYPERLINK("#'Data_Analysis_BNF'!A3504", "diff_amount_evrf_dec_rural_urban_269")</f>
        <v>diff_amount_evrf_dec_rural_urban_269</v>
      </c>
      <c r="C449" t="s">
        <v>6968</v>
      </c>
    </row>
    <row r="450" spans="1:3" x14ac:dyDescent="0.25">
      <c r="A450" t="s">
        <v>6518</v>
      </c>
      <c r="B450" s="110" t="str">
        <f>HYPERLINK("#'Data_Analysis_BNF'!A3510", "diff_amount_evrf_nov_overall_D_247_by_b_hh_type")</f>
        <v>diff_amount_evrf_nov_overall_D_247_by_b_hh_type</v>
      </c>
      <c r="C450" t="s">
        <v>6969</v>
      </c>
    </row>
    <row r="451" spans="1:3" x14ac:dyDescent="0.25">
      <c r="A451" t="s">
        <v>6518</v>
      </c>
      <c r="B451" s="110" t="str">
        <f>HYPERLINK("#'Data_Analysis_BNF'!A3516", "diff_amount_evrf_nov_overall_D_249_by_b_applied_evrf_how")</f>
        <v>diff_amount_evrf_nov_overall_D_249_by_b_applied_evrf_how</v>
      </c>
      <c r="C451" t="s">
        <v>6970</v>
      </c>
    </row>
    <row r="452" spans="1:3" x14ac:dyDescent="0.25">
      <c r="A452" t="s">
        <v>6518</v>
      </c>
      <c r="B452" s="110" t="str">
        <f>HYPERLINK("#'Data_Analysis_BNF'!A3523", "diff_amount_evrf_nov_rural_urban_248")</f>
        <v>diff_amount_evrf_nov_rural_urban_248</v>
      </c>
      <c r="C452" t="s">
        <v>6971</v>
      </c>
    </row>
    <row r="453" spans="1:3" x14ac:dyDescent="0.25">
      <c r="A453" t="s">
        <v>6521</v>
      </c>
      <c r="B453" s="110" t="str">
        <f>HYPERLINK("#'Data_Analysis_BNF'!A3529", "evrf_challenges_list_overall_D_217_by_b_hh_type")</f>
        <v>evrf_challenges_list_overall_D_217_by_b_hh_type</v>
      </c>
      <c r="C453" t="s">
        <v>6972</v>
      </c>
    </row>
    <row r="454" spans="1:3" x14ac:dyDescent="0.25">
      <c r="A454" t="s">
        <v>6521</v>
      </c>
      <c r="B454" s="110" t="str">
        <f>HYPERLINK("#'Data_Analysis_BNF'!A3535", "evrf_challenges_list_overall_D_219_by_b_hh_composition")</f>
        <v>evrf_challenges_list_overall_D_219_by_b_hh_composition</v>
      </c>
      <c r="C454" t="s">
        <v>6973</v>
      </c>
    </row>
    <row r="455" spans="1:3" x14ac:dyDescent="0.25">
      <c r="A455" t="s">
        <v>6521</v>
      </c>
      <c r="B455" s="110" t="str">
        <f>HYPERLINK("#'Data_Analysis_BNF'!A3541", "evrf_challenges_list_overall_D_220_by_b_hh_with_pwd")</f>
        <v>evrf_challenges_list_overall_D_220_by_b_hh_with_pwd</v>
      </c>
      <c r="C455" t="s">
        <v>6974</v>
      </c>
    </row>
    <row r="456" spans="1:3" x14ac:dyDescent="0.25">
      <c r="A456" t="s">
        <v>6521</v>
      </c>
      <c r="B456" s="110" t="str">
        <f>HYPERLINK("#'Data_Analysis_BNF'!A3547", "evrf_challenges_list_overall_D_221_by_accommodation_ownership")</f>
        <v>evrf_challenges_list_overall_D_221_by_accommodation_ownership</v>
      </c>
      <c r="C456" t="s">
        <v>6975</v>
      </c>
    </row>
    <row r="457" spans="1:3" x14ac:dyDescent="0.25">
      <c r="A457" t="s">
        <v>6521</v>
      </c>
      <c r="B457" s="110" t="str">
        <f>HYPERLINK("#'Data_Analysis_BNF'!A3554", "evrf_challenges_list_overall_D_222_by_b_legal_status")</f>
        <v>evrf_challenges_list_overall_D_222_by_b_legal_status</v>
      </c>
      <c r="C457" t="s">
        <v>6976</v>
      </c>
    </row>
    <row r="458" spans="1:3" x14ac:dyDescent="0.25">
      <c r="A458" t="s">
        <v>6521</v>
      </c>
      <c r="B458" s="110" t="str">
        <f>HYPERLINK("#'Data_Analysis_BNF'!A3560", "evrf_challenges_list_overall_D_223_by_b_applied_evrf_how")</f>
        <v>evrf_challenges_list_overall_D_223_by_b_applied_evrf_how</v>
      </c>
      <c r="C458" t="s">
        <v>6977</v>
      </c>
    </row>
    <row r="459" spans="1:3" x14ac:dyDescent="0.25">
      <c r="A459" t="s">
        <v>6521</v>
      </c>
      <c r="B459" s="110" t="str">
        <f>HYPERLINK("#'Data_Analysis_BNF'!A3566", "evrf_challenges_list_rural_urban_218")</f>
        <v>evrf_challenges_list_rural_urban_218</v>
      </c>
      <c r="C459" t="s">
        <v>6978</v>
      </c>
    </row>
    <row r="460" spans="1:3" x14ac:dyDescent="0.25">
      <c r="A460" t="s">
        <v>6521</v>
      </c>
      <c r="B460" s="110" t="str">
        <f>HYPERLINK("#'Data_Analysis_BNF'!A3572", "evrf_challenges_overall_D_210_by_b_hh_type")</f>
        <v>evrf_challenges_overall_D_210_by_b_hh_type</v>
      </c>
      <c r="C460" t="s">
        <v>6979</v>
      </c>
    </row>
    <row r="461" spans="1:3" x14ac:dyDescent="0.25">
      <c r="A461" t="s">
        <v>6521</v>
      </c>
      <c r="B461" s="110" t="str">
        <f>HYPERLINK("#'Data_Analysis_BNF'!A3578", "evrf_challenges_overall_D_212_by_b_hh_composition")</f>
        <v>evrf_challenges_overall_D_212_by_b_hh_composition</v>
      </c>
      <c r="C461" t="s">
        <v>6980</v>
      </c>
    </row>
    <row r="462" spans="1:3" x14ac:dyDescent="0.25">
      <c r="A462" t="s">
        <v>6521</v>
      </c>
      <c r="B462" s="110" t="str">
        <f>HYPERLINK("#'Data_Analysis_BNF'!A3589", "evrf_challenges_overall_D_213_by_b_hh_with_pwd")</f>
        <v>evrf_challenges_overall_D_213_by_b_hh_with_pwd</v>
      </c>
      <c r="C462" t="s">
        <v>6981</v>
      </c>
    </row>
    <row r="463" spans="1:3" x14ac:dyDescent="0.25">
      <c r="A463" t="s">
        <v>6521</v>
      </c>
      <c r="B463" s="110" t="str">
        <f>HYPERLINK("#'Data_Analysis_BNF'!A3595", "evrf_challenges_overall_D_214_by_accommodation_ownership")</f>
        <v>evrf_challenges_overall_D_214_by_accommodation_ownership</v>
      </c>
      <c r="C463" t="s">
        <v>6982</v>
      </c>
    </row>
    <row r="464" spans="1:3" x14ac:dyDescent="0.25">
      <c r="A464" t="s">
        <v>6521</v>
      </c>
      <c r="B464" s="110" t="str">
        <f>HYPERLINK("#'Data_Analysis_BNF'!A3604", "evrf_challenges_overall_D_215_by_b_legal_status")</f>
        <v>evrf_challenges_overall_D_215_by_b_legal_status</v>
      </c>
      <c r="C464" t="s">
        <v>6983</v>
      </c>
    </row>
    <row r="465" spans="1:3" x14ac:dyDescent="0.25">
      <c r="A465" t="s">
        <v>6521</v>
      </c>
      <c r="B465" s="110" t="str">
        <f>HYPERLINK("#'Data_Analysis_BNF'!A3614", "evrf_challenges_overall_D_216_by_b_applied_evrf_how")</f>
        <v>evrf_challenges_overall_D_216_by_b_applied_evrf_how</v>
      </c>
      <c r="C465" t="s">
        <v>6984</v>
      </c>
    </row>
    <row r="466" spans="1:3" x14ac:dyDescent="0.25">
      <c r="A466" t="s">
        <v>6521</v>
      </c>
      <c r="B466" s="110" t="str">
        <f>HYPERLINK("#'Data_Analysis_BNF'!A3621", "evrf_challenges_rural_urban_211")</f>
        <v>evrf_challenges_rural_urban_211</v>
      </c>
      <c r="C466" t="s">
        <v>6985</v>
      </c>
    </row>
    <row r="467" spans="1:3" x14ac:dyDescent="0.25">
      <c r="A467" t="s">
        <v>6525</v>
      </c>
      <c r="B467" s="110" t="str">
        <f>HYPERLINK("#'Data_Analysis_BNF'!A3627", "evrf_comparison_overall_D_299_by_b_hh_type")</f>
        <v>evrf_comparison_overall_D_299_by_b_hh_type</v>
      </c>
      <c r="C467" t="s">
        <v>6986</v>
      </c>
    </row>
    <row r="468" spans="1:3" x14ac:dyDescent="0.25">
      <c r="A468" t="s">
        <v>6525</v>
      </c>
      <c r="B468" s="110" t="str">
        <f>HYPERLINK("#'Data_Analysis_BNF'!A3633", "evrf_comparison_overall_D_301_by_b_hh_composition")</f>
        <v>evrf_comparison_overall_D_301_by_b_hh_composition</v>
      </c>
      <c r="C468" t="s">
        <v>6987</v>
      </c>
    </row>
    <row r="469" spans="1:3" x14ac:dyDescent="0.25">
      <c r="A469" t="s">
        <v>6525</v>
      </c>
      <c r="B469" s="110" t="str">
        <f>HYPERLINK("#'Data_Analysis_BNF'!A3644", "evrf_comparison_overall_D_302_by_b_hh_with_pwd")</f>
        <v>evrf_comparison_overall_D_302_by_b_hh_with_pwd</v>
      </c>
      <c r="C469" t="s">
        <v>6988</v>
      </c>
    </row>
    <row r="470" spans="1:3" x14ac:dyDescent="0.25">
      <c r="A470" t="s">
        <v>6525</v>
      </c>
      <c r="B470" s="110" t="str">
        <f>HYPERLINK("#'Data_Analysis_BNF'!A3650", "evrf_comparison_overall_D_303_by_b_perc_expenditure_spent_on_energy_nov")</f>
        <v>evrf_comparison_overall_D_303_by_b_perc_expenditure_spent_on_energy_nov</v>
      </c>
      <c r="C470" t="s">
        <v>6989</v>
      </c>
    </row>
    <row r="471" spans="1:3" x14ac:dyDescent="0.25">
      <c r="A471" t="s">
        <v>6525</v>
      </c>
      <c r="B471" s="110" t="str">
        <f>HYPERLINK("#'Data_Analysis_BNF'!A3659", "evrf_comparison_overall_D_304_by_b_perc_expenditure_spent_on_energy_dec")</f>
        <v>evrf_comparison_overall_D_304_by_b_perc_expenditure_spent_on_energy_dec</v>
      </c>
      <c r="C471" t="s">
        <v>6990</v>
      </c>
    </row>
    <row r="472" spans="1:3" x14ac:dyDescent="0.25">
      <c r="A472" t="s">
        <v>6525</v>
      </c>
      <c r="B472" s="110" t="str">
        <f>HYPERLINK("#'Data_Analysis_BNF'!A3668", "evrf_comparison_overall_D_305_by_b_perc_income_spent_on_energy_nov")</f>
        <v>evrf_comparison_overall_D_305_by_b_perc_income_spent_on_energy_nov</v>
      </c>
      <c r="C472" t="s">
        <v>6991</v>
      </c>
    </row>
    <row r="473" spans="1:3" x14ac:dyDescent="0.25">
      <c r="A473" t="s">
        <v>6525</v>
      </c>
      <c r="B473" s="110" t="str">
        <f>HYPERLINK("#'Data_Analysis_BNF'!A3678", "evrf_comparison_overall_D_306_by_b_perc_income_spent_on_energy_dec")</f>
        <v>evrf_comparison_overall_D_306_by_b_perc_income_spent_on_energy_dec</v>
      </c>
      <c r="C473" t="s">
        <v>6992</v>
      </c>
    </row>
    <row r="474" spans="1:3" x14ac:dyDescent="0.25">
      <c r="A474" t="s">
        <v>6525</v>
      </c>
      <c r="B474" s="110" t="str">
        <f>HYPERLINK("#'Data_Analysis_BNF'!A3688", "evrf_comparison_overall_D_307_by_amount_evrf_nov_range")</f>
        <v>evrf_comparison_overall_D_307_by_amount_evrf_nov_range</v>
      </c>
      <c r="C474" t="s">
        <v>6993</v>
      </c>
    </row>
    <row r="475" spans="1:3" x14ac:dyDescent="0.25">
      <c r="A475" t="s">
        <v>6525</v>
      </c>
      <c r="B475" s="110" t="str">
        <f>HYPERLINK("#'Data_Analysis_BNF'!A3696", "evrf_comparison_overall_D_308_by_amount_evrf_dec_range")</f>
        <v>evrf_comparison_overall_D_308_by_amount_evrf_dec_range</v>
      </c>
      <c r="C475" t="s">
        <v>6994</v>
      </c>
    </row>
    <row r="476" spans="1:3" x14ac:dyDescent="0.25">
      <c r="A476" t="s">
        <v>6525</v>
      </c>
      <c r="B476" s="110" t="str">
        <f>HYPERLINK("#'Data_Analysis_BNF'!A3704", "evrf_comparison_rural_urban_300")</f>
        <v>evrf_comparison_rural_urban_300</v>
      </c>
      <c r="C476" t="s">
        <v>6995</v>
      </c>
    </row>
    <row r="477" spans="1:3" x14ac:dyDescent="0.25">
      <c r="A477" t="s">
        <v>6525</v>
      </c>
      <c r="B477" s="110" t="str">
        <f>HYPERLINK("#'Data_Analysis_BNF'!A3710", "evrf_method_overall_D_276_by_b_hh_type")</f>
        <v>evrf_method_overall_D_276_by_b_hh_type</v>
      </c>
      <c r="C477" t="s">
        <v>6996</v>
      </c>
    </row>
    <row r="478" spans="1:3" x14ac:dyDescent="0.25">
      <c r="A478" t="s">
        <v>6525</v>
      </c>
      <c r="B478" s="110" t="str">
        <f>HYPERLINK("#'Data_Analysis_BNF'!A3716", "evrf_method_overall_D_278_by_b_hh_composition")</f>
        <v>evrf_method_overall_D_278_by_b_hh_composition</v>
      </c>
      <c r="C478" t="s">
        <v>6997</v>
      </c>
    </row>
    <row r="479" spans="1:3" x14ac:dyDescent="0.25">
      <c r="A479" t="s">
        <v>6525</v>
      </c>
      <c r="B479" s="110" t="str">
        <f>HYPERLINK("#'Data_Analysis_BNF'!A3727", "evrf_method_overall_D_279_by_b_hh_with_pwd")</f>
        <v>evrf_method_overall_D_279_by_b_hh_with_pwd</v>
      </c>
      <c r="C479" t="s">
        <v>6998</v>
      </c>
    </row>
    <row r="480" spans="1:3" x14ac:dyDescent="0.25">
      <c r="A480" t="s">
        <v>6525</v>
      </c>
      <c r="B480" s="110" t="str">
        <f>HYPERLINK("#'Data_Analysis_BNF'!A3733", "evrf_method_rural_urban_277")</f>
        <v>evrf_method_rural_urban_277</v>
      </c>
      <c r="C480" t="s">
        <v>6999</v>
      </c>
    </row>
    <row r="481" spans="1:3" x14ac:dyDescent="0.25">
      <c r="A481" t="s">
        <v>779</v>
      </c>
      <c r="B481" s="110" t="str">
        <f>HYPERLINK("#'Data_Analysis_BNF'!A3739", "improved_living_overall_D_483_by_b_hh_type")</f>
        <v>improved_living_overall_D_483_by_b_hh_type</v>
      </c>
      <c r="C481" t="s">
        <v>7000</v>
      </c>
    </row>
    <row r="482" spans="1:3" x14ac:dyDescent="0.25">
      <c r="A482" t="s">
        <v>779</v>
      </c>
      <c r="B482" s="110" t="str">
        <f>HYPERLINK("#'Data_Analysis_BNF'!A3745", "improved_living_overall_D_485_by_b_hh_size_range")</f>
        <v>improved_living_overall_D_485_by_b_hh_size_range</v>
      </c>
      <c r="C482" t="s">
        <v>7001</v>
      </c>
    </row>
    <row r="483" spans="1:3" x14ac:dyDescent="0.25">
      <c r="A483" t="s">
        <v>779</v>
      </c>
      <c r="B483" s="110" t="str">
        <f>HYPERLINK("#'Data_Analysis_BNF'!A3752", "improved_living_overall_D_486_by_b_hh_composition")</f>
        <v>improved_living_overall_D_486_by_b_hh_composition</v>
      </c>
      <c r="C483" t="s">
        <v>7002</v>
      </c>
    </row>
    <row r="484" spans="1:3" x14ac:dyDescent="0.25">
      <c r="A484" t="s">
        <v>779</v>
      </c>
      <c r="B484" s="110" t="str">
        <f>HYPERLINK("#'Data_Analysis_BNF'!A3763", "improved_living_overall_D_487_by_b_hh_with_pwd")</f>
        <v>improved_living_overall_D_487_by_b_hh_with_pwd</v>
      </c>
      <c r="C484" t="s">
        <v>7003</v>
      </c>
    </row>
    <row r="485" spans="1:3" x14ac:dyDescent="0.25">
      <c r="A485" t="s">
        <v>779</v>
      </c>
      <c r="B485" s="110" t="str">
        <f>HYPERLINK("#'Data_Analysis_BNF'!A3769", "improved_living_overall_D_488_by_accommodation_ownership")</f>
        <v>improved_living_overall_D_488_by_accommodation_ownership</v>
      </c>
      <c r="C485" t="s">
        <v>7004</v>
      </c>
    </row>
    <row r="486" spans="1:3" x14ac:dyDescent="0.25">
      <c r="A486" t="s">
        <v>779</v>
      </c>
      <c r="B486" s="110" t="str">
        <f>HYPERLINK("#'Data_Analysis_BNF'!A3778", "improved_living_overall_D_489_by_b_aver_monthly_income_range")</f>
        <v>improved_living_overall_D_489_by_b_aver_monthly_income_range</v>
      </c>
      <c r="C486" t="s">
        <v>7005</v>
      </c>
    </row>
    <row r="487" spans="1:3" x14ac:dyDescent="0.25">
      <c r="A487" t="s">
        <v>779</v>
      </c>
      <c r="B487" s="110" t="str">
        <f>HYPERLINK("#'Data_Analysis_BNF'!A3789", "improved_living_overall_D_490_by_b_perc_expenditure_spent_on_energy_nov")</f>
        <v>improved_living_overall_D_490_by_b_perc_expenditure_spent_on_energy_nov</v>
      </c>
      <c r="C487" t="s">
        <v>7006</v>
      </c>
    </row>
    <row r="488" spans="1:3" x14ac:dyDescent="0.25">
      <c r="A488" t="s">
        <v>779</v>
      </c>
      <c r="B488" s="110" t="str">
        <f>HYPERLINK("#'Data_Analysis_BNF'!A3798", "improved_living_overall_D_491_by_b_perc_expenditure_spent_on_energy_dec")</f>
        <v>improved_living_overall_D_491_by_b_perc_expenditure_spent_on_energy_dec</v>
      </c>
      <c r="C488" t="s">
        <v>7007</v>
      </c>
    </row>
    <row r="489" spans="1:3" x14ac:dyDescent="0.25">
      <c r="A489" t="s">
        <v>779</v>
      </c>
      <c r="B489" s="110" t="str">
        <f>HYPERLINK("#'Data_Analysis_BNF'!A3808", "improved_living_overall_D_492_by_b_perc_income_spent_on_energy_nov")</f>
        <v>improved_living_overall_D_492_by_b_perc_income_spent_on_energy_nov</v>
      </c>
      <c r="C489" t="s">
        <v>7008</v>
      </c>
    </row>
    <row r="490" spans="1:3" x14ac:dyDescent="0.25">
      <c r="A490" t="s">
        <v>779</v>
      </c>
      <c r="B490" s="110" t="str">
        <f>HYPERLINK("#'Data_Analysis_BNF'!A3818", "improved_living_overall_D_493_by_b_perc_income_spent_on_energy_dec")</f>
        <v>improved_living_overall_D_493_by_b_perc_income_spent_on_energy_dec</v>
      </c>
      <c r="C490" t="s">
        <v>7009</v>
      </c>
    </row>
    <row r="491" spans="1:3" x14ac:dyDescent="0.25">
      <c r="A491" t="s">
        <v>779</v>
      </c>
      <c r="B491" s="110" t="str">
        <f>HYPERLINK("#'Data_Analysis_BNF'!A3828", "improved_living_overall_D_494_by_amount_evrf_nov_range")</f>
        <v>improved_living_overall_D_494_by_amount_evrf_nov_range</v>
      </c>
      <c r="C491" t="s">
        <v>7010</v>
      </c>
    </row>
    <row r="492" spans="1:3" x14ac:dyDescent="0.25">
      <c r="A492" t="s">
        <v>779</v>
      </c>
      <c r="B492" s="110" t="str">
        <f>HYPERLINK("#'Data_Analysis_BNF'!A3836", "improved_living_overall_D_495_by_amount_evrf_dec_range")</f>
        <v>improved_living_overall_D_495_by_amount_evrf_dec_range</v>
      </c>
      <c r="C492" t="s">
        <v>7011</v>
      </c>
    </row>
    <row r="493" spans="1:3" x14ac:dyDescent="0.25">
      <c r="A493" t="s">
        <v>779</v>
      </c>
      <c r="B493" s="110" t="str">
        <f>HYPERLINK("#'Data_Analysis_BNF'!A3844", "improved_living_rural_urban_484")</f>
        <v>improved_living_rural_urban_484</v>
      </c>
      <c r="C493" t="s">
        <v>7012</v>
      </c>
    </row>
    <row r="494" spans="1:3" x14ac:dyDescent="0.25">
      <c r="A494" t="s">
        <v>779</v>
      </c>
      <c r="B494" s="110" t="str">
        <f>HYPERLINK("#'Data_Analysis_BNF'!A3850", "meet_needs_evrf_overall_D_548_by_b_hh_type")</f>
        <v>meet_needs_evrf_overall_D_548_by_b_hh_type</v>
      </c>
      <c r="C494" t="s">
        <v>7013</v>
      </c>
    </row>
    <row r="495" spans="1:3" x14ac:dyDescent="0.25">
      <c r="A495" t="s">
        <v>779</v>
      </c>
      <c r="B495" s="110" t="str">
        <f>HYPERLINK("#'Data_Analysis_BNF'!A3856", "meet_needs_evrf_overall_D_550_by_b_hh_size_range")</f>
        <v>meet_needs_evrf_overall_D_550_by_b_hh_size_range</v>
      </c>
      <c r="C495" t="s">
        <v>7014</v>
      </c>
    </row>
    <row r="496" spans="1:3" x14ac:dyDescent="0.25">
      <c r="A496" t="s">
        <v>779</v>
      </c>
      <c r="B496" s="110" t="str">
        <f>HYPERLINK("#'Data_Analysis_BNF'!A3863", "meet_needs_evrf_overall_D_551_by_b_hh_composition")</f>
        <v>meet_needs_evrf_overall_D_551_by_b_hh_composition</v>
      </c>
      <c r="C496" t="s">
        <v>7015</v>
      </c>
    </row>
    <row r="497" spans="1:3" x14ac:dyDescent="0.25">
      <c r="A497" t="s">
        <v>779</v>
      </c>
      <c r="B497" s="110" t="str">
        <f>HYPERLINK("#'Data_Analysis_BNF'!A3874", "meet_needs_evrf_overall_D_552_by_b_hh_with_pwd")</f>
        <v>meet_needs_evrf_overall_D_552_by_b_hh_with_pwd</v>
      </c>
      <c r="C497" t="s">
        <v>7016</v>
      </c>
    </row>
    <row r="498" spans="1:3" x14ac:dyDescent="0.25">
      <c r="A498" t="s">
        <v>779</v>
      </c>
      <c r="B498" s="110" t="str">
        <f>HYPERLINK("#'Data_Analysis_BNF'!A3880", "meet_needs_evrf_overall_D_553_by_accommodation_ownership")</f>
        <v>meet_needs_evrf_overall_D_553_by_accommodation_ownership</v>
      </c>
      <c r="C498" t="s">
        <v>7017</v>
      </c>
    </row>
    <row r="499" spans="1:3" x14ac:dyDescent="0.25">
      <c r="A499" t="s">
        <v>779</v>
      </c>
      <c r="B499" s="110" t="str">
        <f>HYPERLINK("#'Data_Analysis_BNF'!A3889", "meet_needs_evrf_overall_D_554_by_b_aver_monthly_income_range")</f>
        <v>meet_needs_evrf_overall_D_554_by_b_aver_monthly_income_range</v>
      </c>
      <c r="C499" t="s">
        <v>7018</v>
      </c>
    </row>
    <row r="500" spans="1:3" x14ac:dyDescent="0.25">
      <c r="A500" t="s">
        <v>779</v>
      </c>
      <c r="B500" s="110" t="str">
        <f>HYPERLINK("#'Data_Analysis_BNF'!A3900", "meet_needs_evrf_overall_D_555_by_b_perc_expenditure_spent_on_energy_nov")</f>
        <v>meet_needs_evrf_overall_D_555_by_b_perc_expenditure_spent_on_energy_nov</v>
      </c>
      <c r="C500" t="s">
        <v>7019</v>
      </c>
    </row>
    <row r="501" spans="1:3" x14ac:dyDescent="0.25">
      <c r="A501" t="s">
        <v>779</v>
      </c>
      <c r="B501" s="110" t="str">
        <f>HYPERLINK("#'Data_Analysis_BNF'!A3909", "meet_needs_evrf_overall_D_556_by_b_perc_expenditure_spent_on_energy_dec")</f>
        <v>meet_needs_evrf_overall_D_556_by_b_perc_expenditure_spent_on_energy_dec</v>
      </c>
      <c r="C501" t="s">
        <v>7020</v>
      </c>
    </row>
    <row r="502" spans="1:3" x14ac:dyDescent="0.25">
      <c r="A502" t="s">
        <v>779</v>
      </c>
      <c r="B502" s="110" t="str">
        <f>HYPERLINK("#'Data_Analysis_BNF'!A3919", "meet_needs_evrf_overall_D_557_by_b_perc_income_spent_on_energy_nov")</f>
        <v>meet_needs_evrf_overall_D_557_by_b_perc_income_spent_on_energy_nov</v>
      </c>
      <c r="C502" t="s">
        <v>7021</v>
      </c>
    </row>
    <row r="503" spans="1:3" x14ac:dyDescent="0.25">
      <c r="A503" t="s">
        <v>779</v>
      </c>
      <c r="B503" s="110" t="str">
        <f>HYPERLINK("#'Data_Analysis_BNF'!A3929", "meet_needs_evrf_overall_D_558_by_b_perc_income_spent_on_energy_dec")</f>
        <v>meet_needs_evrf_overall_D_558_by_b_perc_income_spent_on_energy_dec</v>
      </c>
      <c r="C503" t="s">
        <v>7022</v>
      </c>
    </row>
    <row r="504" spans="1:3" x14ac:dyDescent="0.25">
      <c r="A504" t="s">
        <v>779</v>
      </c>
      <c r="B504" s="110" t="str">
        <f>HYPERLINK("#'Data_Analysis_BNF'!A3939", "meet_needs_evrf_overall_D_559_by_amount_evrf_nov_range")</f>
        <v>meet_needs_evrf_overall_D_559_by_amount_evrf_nov_range</v>
      </c>
      <c r="C504" t="s">
        <v>7023</v>
      </c>
    </row>
    <row r="505" spans="1:3" x14ac:dyDescent="0.25">
      <c r="A505" t="s">
        <v>779</v>
      </c>
      <c r="B505" s="110" t="str">
        <f>HYPERLINK("#'Data_Analysis_BNF'!A3947", "meet_needs_evrf_overall_D_560_by_amount_evrf_dec_range")</f>
        <v>meet_needs_evrf_overall_D_560_by_amount_evrf_dec_range</v>
      </c>
      <c r="C505" t="s">
        <v>7024</v>
      </c>
    </row>
    <row r="506" spans="1:3" x14ac:dyDescent="0.25">
      <c r="A506" t="s">
        <v>779</v>
      </c>
      <c r="B506" s="110" t="str">
        <f>HYPERLINK("#'Data_Analysis_BNF'!A3955", "meet_needs_evrf_rural_urban_549")</f>
        <v>meet_needs_evrf_rural_urban_549</v>
      </c>
      <c r="C506" t="s">
        <v>7025</v>
      </c>
    </row>
    <row r="507" spans="1:3" x14ac:dyDescent="0.25">
      <c r="A507" t="s">
        <v>6525</v>
      </c>
      <c r="B507" s="110" t="str">
        <f>HYPERLINK("#'Data_Analysis_BNF'!A3961", "needed_aid_overall_D_280_by_b_hh_type")</f>
        <v>needed_aid_overall_D_280_by_b_hh_type</v>
      </c>
      <c r="C507" t="s">
        <v>7026</v>
      </c>
    </row>
    <row r="508" spans="1:3" x14ac:dyDescent="0.25">
      <c r="A508" t="s">
        <v>6525</v>
      </c>
      <c r="B508" s="110" t="str">
        <f>HYPERLINK("#'Data_Analysis_BNF'!A3967", "needed_aid_overall_D_282_by_b_hh_composition")</f>
        <v>needed_aid_overall_D_282_by_b_hh_composition</v>
      </c>
      <c r="C508" t="s">
        <v>7027</v>
      </c>
    </row>
    <row r="509" spans="1:3" x14ac:dyDescent="0.25">
      <c r="A509" t="s">
        <v>6525</v>
      </c>
      <c r="B509" s="110" t="str">
        <f>HYPERLINK("#'Data_Analysis_BNF'!A3978", "needed_aid_overall_D_283_by_b_hh_with_pwd")</f>
        <v>needed_aid_overall_D_283_by_b_hh_with_pwd</v>
      </c>
      <c r="C509" t="s">
        <v>7028</v>
      </c>
    </row>
    <row r="510" spans="1:3" x14ac:dyDescent="0.25">
      <c r="A510" t="s">
        <v>6525</v>
      </c>
      <c r="B510" s="110" t="str">
        <f>HYPERLINK("#'Data_Analysis_BNF'!A3984", "needed_aid_rural_urban_281")</f>
        <v>needed_aid_rural_urban_281</v>
      </c>
      <c r="C510" t="s">
        <v>7029</v>
      </c>
    </row>
    <row r="511" spans="1:3" x14ac:dyDescent="0.25">
      <c r="A511" t="s">
        <v>6519</v>
      </c>
      <c r="B511" s="110" t="str">
        <f>HYPERLINK("#'Data_Analysis_BNF'!A3990", "payment_dissatisfaction_overall_D_583_by_b_hh_type")</f>
        <v>payment_dissatisfaction_overall_D_583_by_b_hh_type</v>
      </c>
      <c r="C511" t="s">
        <v>7030</v>
      </c>
    </row>
    <row r="512" spans="1:3" x14ac:dyDescent="0.25">
      <c r="A512" t="s">
        <v>6519</v>
      </c>
      <c r="B512" s="110" t="str">
        <f>HYPERLINK("#'Data_Analysis_BNF'!A3995", "payment_dissatisfaction_overall_D_585_by_b_hh_composition")</f>
        <v>payment_dissatisfaction_overall_D_585_by_b_hh_composition</v>
      </c>
      <c r="C512" t="s">
        <v>7031</v>
      </c>
    </row>
    <row r="513" spans="1:3" x14ac:dyDescent="0.25">
      <c r="A513" t="s">
        <v>6519</v>
      </c>
      <c r="B513" s="110" t="str">
        <f>HYPERLINK("#'Data_Analysis_BNF'!A4000", "payment_dissatisfaction_overall_D_586_by_b_hh_with_pwd")</f>
        <v>payment_dissatisfaction_overall_D_586_by_b_hh_with_pwd</v>
      </c>
      <c r="C513" t="s">
        <v>7032</v>
      </c>
    </row>
    <row r="514" spans="1:3" x14ac:dyDescent="0.25">
      <c r="A514" t="s">
        <v>6519</v>
      </c>
      <c r="B514" s="110" t="str">
        <f>HYPERLINK("#'Data_Analysis_BNF'!A4005", "payment_dissatisfaction_overall_D_587_by_evrf_method")</f>
        <v>payment_dissatisfaction_overall_D_587_by_evrf_method</v>
      </c>
      <c r="C514" t="s">
        <v>7033</v>
      </c>
    </row>
    <row r="515" spans="1:3" x14ac:dyDescent="0.25">
      <c r="A515" t="s">
        <v>6519</v>
      </c>
      <c r="B515" s="110" t="str">
        <f>HYPERLINK("#'Data_Analysis_BNF'!A4010", "payment_dissatisfaction_rural_urban_584")</f>
        <v>payment_dissatisfaction_rural_urban_584</v>
      </c>
      <c r="C515" t="s">
        <v>7034</v>
      </c>
    </row>
    <row r="516" spans="1:3" x14ac:dyDescent="0.25">
      <c r="A516" t="s">
        <v>6519</v>
      </c>
      <c r="B516" s="110" t="str">
        <f>HYPERLINK("#'Data_Analysis_BNF'!A4015", "payment_satisfaction_overall_D_578_by_b_hh_type")</f>
        <v>payment_satisfaction_overall_D_578_by_b_hh_type</v>
      </c>
      <c r="C516" t="s">
        <v>7035</v>
      </c>
    </row>
    <row r="517" spans="1:3" x14ac:dyDescent="0.25">
      <c r="A517" t="s">
        <v>6519</v>
      </c>
      <c r="B517" s="110" t="str">
        <f>HYPERLINK("#'Data_Analysis_BNF'!A4021", "payment_satisfaction_overall_D_580_by_b_hh_composition")</f>
        <v>payment_satisfaction_overall_D_580_by_b_hh_composition</v>
      </c>
      <c r="C517" t="s">
        <v>7036</v>
      </c>
    </row>
    <row r="518" spans="1:3" x14ac:dyDescent="0.25">
      <c r="A518" t="s">
        <v>6519</v>
      </c>
      <c r="B518" s="110" t="str">
        <f>HYPERLINK("#'Data_Analysis_BNF'!A4032", "payment_satisfaction_overall_D_581_by_b_hh_with_pwd")</f>
        <v>payment_satisfaction_overall_D_581_by_b_hh_with_pwd</v>
      </c>
      <c r="C518" t="s">
        <v>7037</v>
      </c>
    </row>
    <row r="519" spans="1:3" x14ac:dyDescent="0.25">
      <c r="A519" t="s">
        <v>6519</v>
      </c>
      <c r="B519" s="110" t="str">
        <f>HYPERLINK("#'Data_Analysis_BNF'!A4038", "payment_satisfaction_overall_D_582_by_evrf_method")</f>
        <v>payment_satisfaction_overall_D_582_by_evrf_method</v>
      </c>
      <c r="C519" t="s">
        <v>7038</v>
      </c>
    </row>
    <row r="520" spans="1:3" x14ac:dyDescent="0.25">
      <c r="A520" t="s">
        <v>6519</v>
      </c>
      <c r="B520" s="110" t="str">
        <f>HYPERLINK("#'Data_Analysis_BNF'!A4045", "payment_satisfaction_rural_urban_579")</f>
        <v>payment_satisfaction_rural_urban_579</v>
      </c>
      <c r="C520" t="s">
        <v>7039</v>
      </c>
    </row>
    <row r="521" spans="1:3" x14ac:dyDescent="0.25">
      <c r="A521" t="s">
        <v>6520</v>
      </c>
      <c r="B521" s="110" t="str">
        <f>HYPERLINK("#'Data_Analysis_BNF'!A4051", "perc_total_bills_compensated_dec_overall_D_352_by_b_hh_type")</f>
        <v>perc_total_bills_compensated_dec_overall_D_352_by_b_hh_type</v>
      </c>
      <c r="C521" t="s">
        <v>7040</v>
      </c>
    </row>
    <row r="522" spans="1:3" x14ac:dyDescent="0.25">
      <c r="A522" t="s">
        <v>6520</v>
      </c>
      <c r="B522" s="110" t="str">
        <f>HYPERLINK("#'Data_Analysis_BNF'!A4056", "perc_total_bills_compensated_dec_overall_D_354_by_b_hh_size_range")</f>
        <v>perc_total_bills_compensated_dec_overall_D_354_by_b_hh_size_range</v>
      </c>
      <c r="C522" t="s">
        <v>7041</v>
      </c>
    </row>
    <row r="523" spans="1:3" x14ac:dyDescent="0.25">
      <c r="A523" t="s">
        <v>6520</v>
      </c>
      <c r="B523" s="110" t="str">
        <f>HYPERLINK("#'Data_Analysis_BNF'!A4062", "perc_total_bills_compensated_dec_overall_D_355_by_b_hh_composition")</f>
        <v>perc_total_bills_compensated_dec_overall_D_355_by_b_hh_composition</v>
      </c>
      <c r="C523" t="s">
        <v>7042</v>
      </c>
    </row>
    <row r="524" spans="1:3" x14ac:dyDescent="0.25">
      <c r="A524" t="s">
        <v>6520</v>
      </c>
      <c r="B524" s="110" t="str">
        <f>HYPERLINK("#'Data_Analysis_BNF'!A4072", "perc_total_bills_compensated_dec_overall_D_356_by_b_hh_with_pwd")</f>
        <v>perc_total_bills_compensated_dec_overall_D_356_by_b_hh_with_pwd</v>
      </c>
      <c r="C524" t="s">
        <v>7043</v>
      </c>
    </row>
    <row r="525" spans="1:3" x14ac:dyDescent="0.25">
      <c r="A525" t="s">
        <v>6520</v>
      </c>
      <c r="B525" s="110" t="str">
        <f>HYPERLINK("#'Data_Analysis_BNF'!A4077", "perc_total_bills_compensated_dec_overall_D_357_by_b_aver_monthly_income_range")</f>
        <v>perc_total_bills_compensated_dec_overall_D_357_by_b_aver_monthly_income_range</v>
      </c>
      <c r="C525" t="s">
        <v>7044</v>
      </c>
    </row>
    <row r="526" spans="1:3" x14ac:dyDescent="0.25">
      <c r="A526" t="s">
        <v>6520</v>
      </c>
      <c r="B526" s="110" t="str">
        <f>HYPERLINK("#'Data_Analysis_BNF'!A4087", "perc_total_bills_compensated_dec_overall_D_358_by_b_heat_system_primary")</f>
        <v>perc_total_bills_compensated_dec_overall_D_358_by_b_heat_system_primary</v>
      </c>
      <c r="C526" t="s">
        <v>7045</v>
      </c>
    </row>
    <row r="527" spans="1:3" x14ac:dyDescent="0.25">
      <c r="A527" t="s">
        <v>6520</v>
      </c>
      <c r="B527" s="110" t="str">
        <f>HYPERLINK("#'Data_Analysis_BNF'!A4094", "perc_total_bills_compensated_dec_overall_D_359_by_b_hh_heating_systems")</f>
        <v>perc_total_bills_compensated_dec_overall_D_359_by_b_hh_heating_systems</v>
      </c>
      <c r="C527" t="s">
        <v>7046</v>
      </c>
    </row>
    <row r="528" spans="1:3" x14ac:dyDescent="0.25">
      <c r="A528" t="s">
        <v>6520</v>
      </c>
      <c r="B528" s="110" t="str">
        <f>HYPERLINK("#'Data_Analysis_BNF'!A4102", "perc_total_bills_compensated_dec_rural_urban_353")</f>
        <v>perc_total_bills_compensated_dec_rural_urban_353</v>
      </c>
      <c r="C528" t="s">
        <v>7047</v>
      </c>
    </row>
    <row r="529" spans="1:3" x14ac:dyDescent="0.25">
      <c r="A529" t="s">
        <v>6520</v>
      </c>
      <c r="B529" s="110" t="str">
        <f>HYPERLINK("#'Data_Analysis_BNF'!A4108", "perc_total_bills_compensated_nov_overall_D_344_by_b_hh_type")</f>
        <v>perc_total_bills_compensated_nov_overall_D_344_by_b_hh_type</v>
      </c>
      <c r="C529" t="s">
        <v>7048</v>
      </c>
    </row>
    <row r="530" spans="1:3" x14ac:dyDescent="0.25">
      <c r="A530" t="s">
        <v>6520</v>
      </c>
      <c r="B530" s="110" t="str">
        <f>HYPERLINK("#'Data_Analysis_BNF'!A4113", "perc_total_bills_compensated_nov_overall_D_346_by_b_hh_size_range")</f>
        <v>perc_total_bills_compensated_nov_overall_D_346_by_b_hh_size_range</v>
      </c>
      <c r="C530" t="s">
        <v>7049</v>
      </c>
    </row>
    <row r="531" spans="1:3" x14ac:dyDescent="0.25">
      <c r="A531" t="s">
        <v>6520</v>
      </c>
      <c r="B531" s="110" t="str">
        <f>HYPERLINK("#'Data_Analysis_BNF'!A4119", "perc_total_bills_compensated_nov_overall_D_347_by_b_hh_composition")</f>
        <v>perc_total_bills_compensated_nov_overall_D_347_by_b_hh_composition</v>
      </c>
      <c r="C531" t="s">
        <v>7050</v>
      </c>
    </row>
    <row r="532" spans="1:3" x14ac:dyDescent="0.25">
      <c r="A532" t="s">
        <v>6520</v>
      </c>
      <c r="B532" s="110" t="str">
        <f>HYPERLINK("#'Data_Analysis_BNF'!A4129", "perc_total_bills_compensated_nov_overall_D_348_by_b_hh_with_pwd")</f>
        <v>perc_total_bills_compensated_nov_overall_D_348_by_b_hh_with_pwd</v>
      </c>
      <c r="C532" t="s">
        <v>7051</v>
      </c>
    </row>
    <row r="533" spans="1:3" x14ac:dyDescent="0.25">
      <c r="A533" t="s">
        <v>6520</v>
      </c>
      <c r="B533" s="110" t="str">
        <f>HYPERLINK("#'Data_Analysis_BNF'!A4134", "perc_total_bills_compensated_nov_overall_D_349_by_b_aver_monthly_income_range")</f>
        <v>perc_total_bills_compensated_nov_overall_D_349_by_b_aver_monthly_income_range</v>
      </c>
      <c r="C533" t="s">
        <v>7052</v>
      </c>
    </row>
    <row r="534" spans="1:3" x14ac:dyDescent="0.25">
      <c r="A534" t="s">
        <v>6520</v>
      </c>
      <c r="B534" s="110" t="str">
        <f>HYPERLINK("#'Data_Analysis_BNF'!A4144", "perc_total_bills_compensated_nov_overall_D_350_by_b_heat_system_primary")</f>
        <v>perc_total_bills_compensated_nov_overall_D_350_by_b_heat_system_primary</v>
      </c>
      <c r="C534" t="s">
        <v>7053</v>
      </c>
    </row>
    <row r="535" spans="1:3" x14ac:dyDescent="0.25">
      <c r="A535" t="s">
        <v>6520</v>
      </c>
      <c r="B535" s="110" t="str">
        <f>HYPERLINK("#'Data_Analysis_BNF'!A4151", "perc_total_bills_compensated_nov_overall_D_351_by_b_hh_heating_systems")</f>
        <v>perc_total_bills_compensated_nov_overall_D_351_by_b_hh_heating_systems</v>
      </c>
      <c r="C535" t="s">
        <v>7054</v>
      </c>
    </row>
    <row r="536" spans="1:3" x14ac:dyDescent="0.25">
      <c r="A536" t="s">
        <v>6520</v>
      </c>
      <c r="B536" s="110" t="str">
        <f>HYPERLINK("#'Data_Analysis_BNF'!A4159", "perc_total_bills_compensated_nov_rural_urban_345")</f>
        <v>perc_total_bills_compensated_nov_rural_urban_345</v>
      </c>
      <c r="C536" t="s">
        <v>7055</v>
      </c>
    </row>
    <row r="537" spans="1:3" x14ac:dyDescent="0.25">
      <c r="A537" t="s">
        <v>6519</v>
      </c>
      <c r="B537" s="110" t="str">
        <f>HYPERLINK("#'Data_Analysis_BNF'!A4165", "prefer_evrf_method_overall_D_573_by_b_hh_type")</f>
        <v>prefer_evrf_method_overall_D_573_by_b_hh_type</v>
      </c>
      <c r="C537" t="s">
        <v>7056</v>
      </c>
    </row>
    <row r="538" spans="1:3" x14ac:dyDescent="0.25">
      <c r="A538" t="s">
        <v>6519</v>
      </c>
      <c r="B538" s="110" t="str">
        <f>HYPERLINK("#'Data_Analysis_BNF'!A4171", "prefer_evrf_method_overall_D_575_by_b_hh_composition")</f>
        <v>prefer_evrf_method_overall_D_575_by_b_hh_composition</v>
      </c>
      <c r="C538" t="s">
        <v>7057</v>
      </c>
    </row>
    <row r="539" spans="1:3" x14ac:dyDescent="0.25">
      <c r="A539" t="s">
        <v>6519</v>
      </c>
      <c r="B539" s="110" t="str">
        <f>HYPERLINK("#'Data_Analysis_BNF'!A4182", "prefer_evrf_method_overall_D_576_by_b_hh_with_pwd")</f>
        <v>prefer_evrf_method_overall_D_576_by_b_hh_with_pwd</v>
      </c>
      <c r="C539" t="s">
        <v>7058</v>
      </c>
    </row>
    <row r="540" spans="1:3" x14ac:dyDescent="0.25">
      <c r="A540" t="s">
        <v>6519</v>
      </c>
      <c r="B540" s="110" t="str">
        <f>HYPERLINK("#'Data_Analysis_BNF'!A4188", "prefer_evrf_method_overall_D_577_by_b_aver_monthly_income_range")</f>
        <v>prefer_evrf_method_overall_D_577_by_b_aver_monthly_income_range</v>
      </c>
      <c r="C540" t="s">
        <v>7059</v>
      </c>
    </row>
    <row r="541" spans="1:3" x14ac:dyDescent="0.25">
      <c r="A541" t="s">
        <v>6519</v>
      </c>
      <c r="B541" s="110" t="str">
        <f>HYPERLINK("#'Data_Analysis_BNF'!A4199", "prefer_evrf_method_rural_urban_574")</f>
        <v>prefer_evrf_method_rural_urban_574</v>
      </c>
      <c r="C541" t="s">
        <v>7060</v>
      </c>
    </row>
    <row r="542" spans="1:3" x14ac:dyDescent="0.25">
      <c r="A542" t="s">
        <v>6525</v>
      </c>
      <c r="B542" s="110" t="str">
        <f>HYPERLINK("#'Data_Analysis_BNF'!A4205", "received_aid_from_overall_D_284_by_b_hh_type")</f>
        <v>received_aid_from_overall_D_284_by_b_hh_type</v>
      </c>
      <c r="C542" t="s">
        <v>7061</v>
      </c>
    </row>
    <row r="543" spans="1:3" x14ac:dyDescent="0.25">
      <c r="A543" t="s">
        <v>6525</v>
      </c>
      <c r="B543" s="110" t="str">
        <f>HYPERLINK("#'Data_Analysis_BNF'!A4210", "received_aid_from_overall_D_286_by_b_hh_composition")</f>
        <v>received_aid_from_overall_D_286_by_b_hh_composition</v>
      </c>
      <c r="C543" t="s">
        <v>7062</v>
      </c>
    </row>
    <row r="544" spans="1:3" x14ac:dyDescent="0.25">
      <c r="A544" t="s">
        <v>6525</v>
      </c>
      <c r="B544" s="110" t="str">
        <f>HYPERLINK("#'Data_Analysis_BNF'!A4215", "received_aid_from_overall_D_287_by_b_hh_with_pwd")</f>
        <v>received_aid_from_overall_D_287_by_b_hh_with_pwd</v>
      </c>
      <c r="C544" t="s">
        <v>7063</v>
      </c>
    </row>
    <row r="545" spans="1:3" x14ac:dyDescent="0.25">
      <c r="A545" t="s">
        <v>6525</v>
      </c>
      <c r="B545" s="110" t="str">
        <f>HYPERLINK("#'Data_Analysis_BNF'!A4221", "received_aid_from_rural_urban_285")</f>
        <v>received_aid_from_rural_urban_285</v>
      </c>
      <c r="C545" t="s">
        <v>7064</v>
      </c>
    </row>
    <row r="546" spans="1:3" x14ac:dyDescent="0.25">
      <c r="A546" t="s">
        <v>6517</v>
      </c>
      <c r="B546" s="110" t="str">
        <f>HYPERLINK("#'Data_Analysis_BNF'!A4227", "received_evrf_dec_date_overall_D_271_by_b_hh_type")</f>
        <v>received_evrf_dec_date_overall_D_271_by_b_hh_type</v>
      </c>
      <c r="C546" t="s">
        <v>7065</v>
      </c>
    </row>
    <row r="547" spans="1:3" x14ac:dyDescent="0.25">
      <c r="A547" t="s">
        <v>6517</v>
      </c>
      <c r="B547" s="110" t="str">
        <f>HYPERLINK("#'Data_Analysis_BNF'!A4233", "received_evrf_dec_date_overall_D_273_by_b_applied_evrf_how")</f>
        <v>received_evrf_dec_date_overall_D_273_by_b_applied_evrf_how</v>
      </c>
      <c r="C547" t="s">
        <v>7066</v>
      </c>
    </row>
    <row r="548" spans="1:3" x14ac:dyDescent="0.25">
      <c r="A548" t="s">
        <v>6517</v>
      </c>
      <c r="B548" s="110" t="str">
        <f>HYPERLINK("#'Data_Analysis_BNF'!A4240", "received_evrf_dec_date_overall_D_274_by_amount_evrf_dec_range")</f>
        <v>received_evrf_dec_date_overall_D_274_by_amount_evrf_dec_range</v>
      </c>
      <c r="C548" t="s">
        <v>7067</v>
      </c>
    </row>
    <row r="549" spans="1:3" x14ac:dyDescent="0.25">
      <c r="A549" t="s">
        <v>6517</v>
      </c>
      <c r="B549" s="110" t="str">
        <f>HYPERLINK("#'Data_Analysis_BNF'!A4248", "received_evrf_dec_date_overall_D_275_by_evrf_method")</f>
        <v>received_evrf_dec_date_overall_D_275_by_evrf_method</v>
      </c>
      <c r="C549" t="s">
        <v>7068</v>
      </c>
    </row>
    <row r="550" spans="1:3" x14ac:dyDescent="0.25">
      <c r="A550" t="s">
        <v>6517</v>
      </c>
      <c r="B550" s="110" t="str">
        <f>HYPERLINK("#'Data_Analysis_BNF'!A4255", "received_evrf_dec_date_rural_urban_272")</f>
        <v>received_evrf_dec_date_rural_urban_272</v>
      </c>
      <c r="C550" t="s">
        <v>7069</v>
      </c>
    </row>
    <row r="551" spans="1:3" x14ac:dyDescent="0.25">
      <c r="A551" t="s">
        <v>6518</v>
      </c>
      <c r="B551" s="110" t="str">
        <f>HYPERLINK("#'Data_Analysis_BNF'!A4261", "received_evrf_nov_date_overall_D_250_by_b_hh_type")</f>
        <v>received_evrf_nov_date_overall_D_250_by_b_hh_type</v>
      </c>
      <c r="C551" t="s">
        <v>7070</v>
      </c>
    </row>
    <row r="552" spans="1:3" x14ac:dyDescent="0.25">
      <c r="A552" t="s">
        <v>6518</v>
      </c>
      <c r="B552" s="110" t="str">
        <f>HYPERLINK("#'Data_Analysis_BNF'!A4267", "received_evrf_nov_date_overall_D_252_by_b_applied_evrf_how")</f>
        <v>received_evrf_nov_date_overall_D_252_by_b_applied_evrf_how</v>
      </c>
      <c r="C552" t="s">
        <v>7071</v>
      </c>
    </row>
    <row r="553" spans="1:3" x14ac:dyDescent="0.25">
      <c r="A553" t="s">
        <v>6518</v>
      </c>
      <c r="B553" s="110" t="str">
        <f>HYPERLINK("#'Data_Analysis_BNF'!A4274", "received_evrf_nov_date_overall_D_253_by_amount_evrf_nov_range")</f>
        <v>received_evrf_nov_date_overall_D_253_by_amount_evrf_nov_range</v>
      </c>
      <c r="C553" t="s">
        <v>7072</v>
      </c>
    </row>
    <row r="554" spans="1:3" x14ac:dyDescent="0.25">
      <c r="A554" t="s">
        <v>6518</v>
      </c>
      <c r="B554" s="110" t="str">
        <f>HYPERLINK("#'Data_Analysis_BNF'!A4282", "received_evrf_nov_date_overall_D_254_by_evrf_method")</f>
        <v>received_evrf_nov_date_overall_D_254_by_evrf_method</v>
      </c>
      <c r="C554" t="s">
        <v>7073</v>
      </c>
    </row>
    <row r="555" spans="1:3" x14ac:dyDescent="0.25">
      <c r="A555" t="s">
        <v>6518</v>
      </c>
      <c r="B555" s="110" t="str">
        <f>HYPERLINK("#'Data_Analysis_BNF'!A4289", "received_evrf_nov_date_rural_urban_251")</f>
        <v>received_evrf_nov_date_rural_urban_251</v>
      </c>
      <c r="C555" t="s">
        <v>7074</v>
      </c>
    </row>
    <row r="556" spans="1:3" x14ac:dyDescent="0.25">
      <c r="A556" t="s">
        <v>779</v>
      </c>
      <c r="B556" s="110" t="str">
        <f>HYPERLINK("#'Data_Analysis_BNF'!A4295", "reduced_fin_burden_overall_D_509_by_b_hh_type")</f>
        <v>reduced_fin_burden_overall_D_509_by_b_hh_type</v>
      </c>
      <c r="C556" t="s">
        <v>7075</v>
      </c>
    </row>
    <row r="557" spans="1:3" x14ac:dyDescent="0.25">
      <c r="A557" t="s">
        <v>779</v>
      </c>
      <c r="B557" s="110" t="str">
        <f>HYPERLINK("#'Data_Analysis_BNF'!A4301", "reduced_fin_burden_overall_D_511_by_b_hh_size_range")</f>
        <v>reduced_fin_burden_overall_D_511_by_b_hh_size_range</v>
      </c>
      <c r="C557" t="s">
        <v>7076</v>
      </c>
    </row>
    <row r="558" spans="1:3" x14ac:dyDescent="0.25">
      <c r="A558" t="s">
        <v>779</v>
      </c>
      <c r="B558" s="110" t="str">
        <f>HYPERLINK("#'Data_Analysis_BNF'!A4308", "reduced_fin_burden_overall_D_512_by_b_hh_composition")</f>
        <v>reduced_fin_burden_overall_D_512_by_b_hh_composition</v>
      </c>
      <c r="C558" t="s">
        <v>7077</v>
      </c>
    </row>
    <row r="559" spans="1:3" x14ac:dyDescent="0.25">
      <c r="A559" t="s">
        <v>779</v>
      </c>
      <c r="B559" s="110" t="str">
        <f>HYPERLINK("#'Data_Analysis_BNF'!A4319", "reduced_fin_burden_overall_D_513_by_b_hh_with_pwd")</f>
        <v>reduced_fin_burden_overall_D_513_by_b_hh_with_pwd</v>
      </c>
      <c r="C559" t="s">
        <v>7078</v>
      </c>
    </row>
    <row r="560" spans="1:3" x14ac:dyDescent="0.25">
      <c r="A560" t="s">
        <v>779</v>
      </c>
      <c r="B560" s="110" t="str">
        <f>HYPERLINK("#'Data_Analysis_BNF'!A4325", "reduced_fin_burden_overall_D_514_by_accommodation_ownership")</f>
        <v>reduced_fin_burden_overall_D_514_by_accommodation_ownership</v>
      </c>
      <c r="C560" t="s">
        <v>7079</v>
      </c>
    </row>
    <row r="561" spans="1:3" x14ac:dyDescent="0.25">
      <c r="A561" t="s">
        <v>779</v>
      </c>
      <c r="B561" s="110" t="str">
        <f>HYPERLINK("#'Data_Analysis_BNF'!A4334", "reduced_fin_burden_overall_D_515_by_b_aver_monthly_income_range")</f>
        <v>reduced_fin_burden_overall_D_515_by_b_aver_monthly_income_range</v>
      </c>
      <c r="C561" t="s">
        <v>7080</v>
      </c>
    </row>
    <row r="562" spans="1:3" x14ac:dyDescent="0.25">
      <c r="A562" t="s">
        <v>779</v>
      </c>
      <c r="B562" s="110" t="str">
        <f>HYPERLINK("#'Data_Analysis_BNF'!A4345", "reduced_fin_burden_overall_D_516_by_b_perc_expenditure_spent_on_energy_nov")</f>
        <v>reduced_fin_burden_overall_D_516_by_b_perc_expenditure_spent_on_energy_nov</v>
      </c>
      <c r="C562" t="s">
        <v>7081</v>
      </c>
    </row>
    <row r="563" spans="1:3" x14ac:dyDescent="0.25">
      <c r="A563" t="s">
        <v>779</v>
      </c>
      <c r="B563" s="110" t="str">
        <f>HYPERLINK("#'Data_Analysis_BNF'!A4354", "reduced_fin_burden_overall_D_517_by_b_perc_expenditure_spent_on_energy_dec")</f>
        <v>reduced_fin_burden_overall_D_517_by_b_perc_expenditure_spent_on_energy_dec</v>
      </c>
      <c r="C563" t="s">
        <v>7082</v>
      </c>
    </row>
    <row r="564" spans="1:3" x14ac:dyDescent="0.25">
      <c r="A564" t="s">
        <v>779</v>
      </c>
      <c r="B564" s="110" t="str">
        <f>HYPERLINK("#'Data_Analysis_BNF'!A4364", "reduced_fin_burden_overall_D_518_by_b_perc_income_spent_on_energy_nov")</f>
        <v>reduced_fin_burden_overall_D_518_by_b_perc_income_spent_on_energy_nov</v>
      </c>
      <c r="C564" t="s">
        <v>7083</v>
      </c>
    </row>
    <row r="565" spans="1:3" x14ac:dyDescent="0.25">
      <c r="A565" t="s">
        <v>779</v>
      </c>
      <c r="B565" s="110" t="str">
        <f>HYPERLINK("#'Data_Analysis_BNF'!A4374", "reduced_fin_burden_overall_D_519_by_b_perc_income_spent_on_energy_dec")</f>
        <v>reduced_fin_burden_overall_D_519_by_b_perc_income_spent_on_energy_dec</v>
      </c>
      <c r="C565" t="s">
        <v>7084</v>
      </c>
    </row>
    <row r="566" spans="1:3" x14ac:dyDescent="0.25">
      <c r="A566" t="s">
        <v>779</v>
      </c>
      <c r="B566" s="110" t="str">
        <f>HYPERLINK("#'Data_Analysis_BNF'!A4384", "reduced_fin_burden_overall_D_520_by_amount_evrf_nov_range")</f>
        <v>reduced_fin_burden_overall_D_520_by_amount_evrf_nov_range</v>
      </c>
      <c r="C566" t="s">
        <v>7085</v>
      </c>
    </row>
    <row r="567" spans="1:3" x14ac:dyDescent="0.25">
      <c r="A567" t="s">
        <v>779</v>
      </c>
      <c r="B567" s="110" t="str">
        <f>HYPERLINK("#'Data_Analysis_BNF'!A4392", "reduced_fin_burden_overall_D_521_by_amount_evrf_dec_range")</f>
        <v>reduced_fin_burden_overall_D_521_by_amount_evrf_dec_range</v>
      </c>
      <c r="C567" t="s">
        <v>7086</v>
      </c>
    </row>
    <row r="568" spans="1:3" x14ac:dyDescent="0.25">
      <c r="A568" t="s">
        <v>779</v>
      </c>
      <c r="B568" s="110" t="str">
        <f>HYPERLINK("#'Data_Analysis_BNF'!A4400", "reduced_fin_burden_rural_urban_510")</f>
        <v>reduced_fin_burden_rural_urban_510</v>
      </c>
      <c r="C568" t="s">
        <v>7087</v>
      </c>
    </row>
    <row r="569" spans="1:3" x14ac:dyDescent="0.25">
      <c r="A569" t="s">
        <v>779</v>
      </c>
      <c r="B569" s="110" t="str">
        <f>HYPERLINK("#'Data_Analysis_BNF'!A4406", "reduced_risky_activity_overall_D_522_by_b_hh_type")</f>
        <v>reduced_risky_activity_overall_D_522_by_b_hh_type</v>
      </c>
      <c r="C569" t="s">
        <v>7523</v>
      </c>
    </row>
    <row r="570" spans="1:3" x14ac:dyDescent="0.25">
      <c r="A570" t="s">
        <v>779</v>
      </c>
      <c r="B570" s="110" t="str">
        <f>HYPERLINK("#'Data_Analysis_BNF'!A4412", "reduced_risky_activity_overall_D_524_by_b_hh_size_range")</f>
        <v>reduced_risky_activity_overall_D_524_by_b_hh_size_range</v>
      </c>
      <c r="C570" t="s">
        <v>7088</v>
      </c>
    </row>
    <row r="571" spans="1:3" x14ac:dyDescent="0.25">
      <c r="A571" t="s">
        <v>779</v>
      </c>
      <c r="B571" s="110" t="str">
        <f>HYPERLINK("#'Data_Analysis_BNF'!A4419", "reduced_risky_activity_overall_D_525_by_b_hh_composition")</f>
        <v>reduced_risky_activity_overall_D_525_by_b_hh_composition</v>
      </c>
      <c r="C571" t="s">
        <v>7089</v>
      </c>
    </row>
    <row r="572" spans="1:3" x14ac:dyDescent="0.25">
      <c r="A572" t="s">
        <v>779</v>
      </c>
      <c r="B572" s="110" t="str">
        <f>HYPERLINK("#'Data_Analysis_BNF'!A4430", "reduced_risky_activity_overall_D_526_by_b_hh_with_pwd")</f>
        <v>reduced_risky_activity_overall_D_526_by_b_hh_with_pwd</v>
      </c>
      <c r="C572" t="s">
        <v>7090</v>
      </c>
    </row>
    <row r="573" spans="1:3" x14ac:dyDescent="0.25">
      <c r="A573" t="s">
        <v>779</v>
      </c>
      <c r="B573" s="110" t="str">
        <f>HYPERLINK("#'Data_Analysis_BNF'!A4436", "reduced_risky_activity_overall_D_527_by_accommodation_ownership")</f>
        <v>reduced_risky_activity_overall_D_527_by_accommodation_ownership</v>
      </c>
      <c r="C573" t="s">
        <v>7091</v>
      </c>
    </row>
    <row r="574" spans="1:3" x14ac:dyDescent="0.25">
      <c r="A574" t="s">
        <v>779</v>
      </c>
      <c r="B574" s="110" t="str">
        <f>HYPERLINK("#'Data_Analysis_BNF'!A4445", "reduced_risky_activity_overall_D_528_by_b_aver_monthly_income_range")</f>
        <v>reduced_risky_activity_overall_D_528_by_b_aver_monthly_income_range</v>
      </c>
      <c r="C574" t="s">
        <v>7092</v>
      </c>
    </row>
    <row r="575" spans="1:3" x14ac:dyDescent="0.25">
      <c r="A575" t="s">
        <v>779</v>
      </c>
      <c r="B575" s="110" t="str">
        <f>HYPERLINK("#'Data_Analysis_BNF'!A4456", "reduced_risky_activity_overall_D_529_by_b_perc_expenditure_spent_on_energy_nov")</f>
        <v>reduced_risky_activity_overall_D_529_by_b_perc_expenditure_spent_on_energy_nov</v>
      </c>
      <c r="C575" t="s">
        <v>7093</v>
      </c>
    </row>
    <row r="576" spans="1:3" x14ac:dyDescent="0.25">
      <c r="A576" t="s">
        <v>779</v>
      </c>
      <c r="B576" s="110" t="str">
        <f>HYPERLINK("#'Data_Analysis_BNF'!A4465", "reduced_risky_activity_overall_D_530_by_b_perc_expenditure_spent_on_energy_dec")</f>
        <v>reduced_risky_activity_overall_D_530_by_b_perc_expenditure_spent_on_energy_dec</v>
      </c>
      <c r="C576" t="s">
        <v>7094</v>
      </c>
    </row>
    <row r="577" spans="1:3" x14ac:dyDescent="0.25">
      <c r="A577" t="s">
        <v>779</v>
      </c>
      <c r="B577" s="110" t="str">
        <f>HYPERLINK("#'Data_Analysis_BNF'!A4475", "reduced_risky_activity_overall_D_531_by_b_perc_income_spent_on_energy_nov")</f>
        <v>reduced_risky_activity_overall_D_531_by_b_perc_income_spent_on_energy_nov</v>
      </c>
      <c r="C577" t="s">
        <v>7095</v>
      </c>
    </row>
    <row r="578" spans="1:3" x14ac:dyDescent="0.25">
      <c r="A578" t="s">
        <v>779</v>
      </c>
      <c r="B578" s="110" t="str">
        <f>HYPERLINK("#'Data_Analysis_BNF'!A4485", "reduced_risky_activity_overall_D_532_by_b_perc_income_spent_on_energy_dec")</f>
        <v>reduced_risky_activity_overall_D_532_by_b_perc_income_spent_on_energy_dec</v>
      </c>
      <c r="C578" t="s">
        <v>7096</v>
      </c>
    </row>
    <row r="579" spans="1:3" x14ac:dyDescent="0.25">
      <c r="A579" t="s">
        <v>779</v>
      </c>
      <c r="B579" s="110" t="str">
        <f>HYPERLINK("#'Data_Analysis_BNF'!A4495", "reduced_risky_activity_overall_D_533_by_amount_evrf_nov_range")</f>
        <v>reduced_risky_activity_overall_D_533_by_amount_evrf_nov_range</v>
      </c>
      <c r="C579" t="s">
        <v>7097</v>
      </c>
    </row>
    <row r="580" spans="1:3" x14ac:dyDescent="0.25">
      <c r="A580" t="s">
        <v>779</v>
      </c>
      <c r="B580" s="110" t="str">
        <f>HYPERLINK("#'Data_Analysis_BNF'!A4503", "reduced_risky_activity_overall_D_534_by_amount_evrf_dec_range")</f>
        <v>reduced_risky_activity_overall_D_534_by_amount_evrf_dec_range</v>
      </c>
      <c r="C580" t="s">
        <v>7098</v>
      </c>
    </row>
    <row r="581" spans="1:3" x14ac:dyDescent="0.25">
      <c r="A581" t="s">
        <v>779</v>
      </c>
      <c r="B581" s="110" t="str">
        <f>HYPERLINK("#'Data_Analysis_BNF'!A4511", "reduced_risky_activity_rural_urban_523")</f>
        <v>reduced_risky_activity_rural_urban_523</v>
      </c>
      <c r="C581" t="s">
        <v>7099</v>
      </c>
    </row>
    <row r="582" spans="1:3" x14ac:dyDescent="0.25">
      <c r="A582" t="s">
        <v>779</v>
      </c>
      <c r="B582" s="110" t="str">
        <f>HYPERLINK("#'Data_Analysis_BNF'!A4517", "reduced_stress_overall_D_496_by_b_hh_type")</f>
        <v>reduced_stress_overall_D_496_by_b_hh_type</v>
      </c>
      <c r="C582" t="s">
        <v>7100</v>
      </c>
    </row>
    <row r="583" spans="1:3" x14ac:dyDescent="0.25">
      <c r="A583" t="s">
        <v>779</v>
      </c>
      <c r="B583" s="110" t="str">
        <f>HYPERLINK("#'Data_Analysis_BNF'!A4523", "reduced_stress_overall_D_498_by_b_hh_size_range")</f>
        <v>reduced_stress_overall_D_498_by_b_hh_size_range</v>
      </c>
      <c r="C583" t="s">
        <v>7101</v>
      </c>
    </row>
    <row r="584" spans="1:3" x14ac:dyDescent="0.25">
      <c r="A584" t="s">
        <v>779</v>
      </c>
      <c r="B584" s="110" t="str">
        <f>HYPERLINK("#'Data_Analysis_BNF'!A4530", "reduced_stress_overall_D_499_by_b_hh_composition")</f>
        <v>reduced_stress_overall_D_499_by_b_hh_composition</v>
      </c>
      <c r="C584" t="s">
        <v>7102</v>
      </c>
    </row>
    <row r="585" spans="1:3" x14ac:dyDescent="0.25">
      <c r="A585" t="s">
        <v>779</v>
      </c>
      <c r="B585" s="110" t="str">
        <f>HYPERLINK("#'Data_Analysis_BNF'!A4541", "reduced_stress_overall_D_500_by_b_hh_with_pwd")</f>
        <v>reduced_stress_overall_D_500_by_b_hh_with_pwd</v>
      </c>
      <c r="C585" t="s">
        <v>7103</v>
      </c>
    </row>
    <row r="586" spans="1:3" x14ac:dyDescent="0.25">
      <c r="A586" t="s">
        <v>779</v>
      </c>
      <c r="B586" s="110" t="str">
        <f>HYPERLINK("#'Data_Analysis_BNF'!A4547", "reduced_stress_overall_D_501_by_accommodation_ownership")</f>
        <v>reduced_stress_overall_D_501_by_accommodation_ownership</v>
      </c>
      <c r="C586" t="s">
        <v>7104</v>
      </c>
    </row>
    <row r="587" spans="1:3" x14ac:dyDescent="0.25">
      <c r="A587" t="s">
        <v>779</v>
      </c>
      <c r="B587" s="110" t="str">
        <f>HYPERLINK("#'Data_Analysis_BNF'!A4556", "reduced_stress_overall_D_502_by_b_aver_monthly_income_range")</f>
        <v>reduced_stress_overall_D_502_by_b_aver_monthly_income_range</v>
      </c>
      <c r="C587" t="s">
        <v>7105</v>
      </c>
    </row>
    <row r="588" spans="1:3" x14ac:dyDescent="0.25">
      <c r="A588" t="s">
        <v>779</v>
      </c>
      <c r="B588" s="110" t="str">
        <f>HYPERLINK("#'Data_Analysis_BNF'!A4567", "reduced_stress_overall_D_503_by_b_perc_expenditure_spent_on_energy_nov")</f>
        <v>reduced_stress_overall_D_503_by_b_perc_expenditure_spent_on_energy_nov</v>
      </c>
      <c r="C588" t="s">
        <v>7106</v>
      </c>
    </row>
    <row r="589" spans="1:3" x14ac:dyDescent="0.25">
      <c r="A589" t="s">
        <v>779</v>
      </c>
      <c r="B589" s="110" t="str">
        <f>HYPERLINK("#'Data_Analysis_BNF'!A4576", "reduced_stress_overall_D_504_by_b_perc_expenditure_spent_on_energy_dec")</f>
        <v>reduced_stress_overall_D_504_by_b_perc_expenditure_spent_on_energy_dec</v>
      </c>
      <c r="C589" t="s">
        <v>7107</v>
      </c>
    </row>
    <row r="590" spans="1:3" x14ac:dyDescent="0.25">
      <c r="A590" t="s">
        <v>779</v>
      </c>
      <c r="B590" s="110" t="str">
        <f>HYPERLINK("#'Data_Analysis_BNF'!A4586", "reduced_stress_overall_D_505_by_b_perc_income_spent_on_energy_nov")</f>
        <v>reduced_stress_overall_D_505_by_b_perc_income_spent_on_energy_nov</v>
      </c>
      <c r="C590" t="s">
        <v>7108</v>
      </c>
    </row>
    <row r="591" spans="1:3" x14ac:dyDescent="0.25">
      <c r="A591" t="s">
        <v>779</v>
      </c>
      <c r="B591" s="110" t="str">
        <f>HYPERLINK("#'Data_Analysis_BNF'!A4596", "reduced_stress_overall_D_506_by_b_perc_income_spent_on_energy_dec")</f>
        <v>reduced_stress_overall_D_506_by_b_perc_income_spent_on_energy_dec</v>
      </c>
      <c r="C591" t="s">
        <v>7109</v>
      </c>
    </row>
    <row r="592" spans="1:3" x14ac:dyDescent="0.25">
      <c r="A592" t="s">
        <v>779</v>
      </c>
      <c r="B592" s="110" t="str">
        <f>HYPERLINK("#'Data_Analysis_BNF'!A4606", "reduced_stress_overall_D_507_by_amount_evrf_nov_range")</f>
        <v>reduced_stress_overall_D_507_by_amount_evrf_nov_range</v>
      </c>
      <c r="C592" t="s">
        <v>7110</v>
      </c>
    </row>
    <row r="593" spans="1:3" x14ac:dyDescent="0.25">
      <c r="A593" t="s">
        <v>779</v>
      </c>
      <c r="B593" s="110" t="str">
        <f>HYPERLINK("#'Data_Analysis_BNF'!A4614", "reduced_stress_overall_D_508_by_amount_evrf_dec_range")</f>
        <v>reduced_stress_overall_D_508_by_amount_evrf_dec_range</v>
      </c>
      <c r="C593" t="s">
        <v>7111</v>
      </c>
    </row>
    <row r="594" spans="1:3" x14ac:dyDescent="0.25">
      <c r="A594" t="s">
        <v>779</v>
      </c>
      <c r="B594" s="110" t="str">
        <f>HYPERLINK("#'Data_Analysis_BNF'!A4622", "reduced_stress_rural_urban_497")</f>
        <v>reduced_stress_rural_urban_497</v>
      </c>
      <c r="C594" t="s">
        <v>7112</v>
      </c>
    </row>
    <row r="595" spans="1:3" x14ac:dyDescent="0.25">
      <c r="A595" t="s">
        <v>137</v>
      </c>
      <c r="B595" s="110" t="str">
        <f>HYPERLINK("#'Data_Analysis_BNF'!A4628", "resp_age_range_overall_D_3_by_b_hh_type")</f>
        <v>resp_age_range_overall_D_3_by_b_hh_type</v>
      </c>
      <c r="C595" t="s">
        <v>7113</v>
      </c>
    </row>
    <row r="596" spans="1:3" x14ac:dyDescent="0.25">
      <c r="A596" t="s">
        <v>137</v>
      </c>
      <c r="B596" s="110" t="str">
        <f>HYPERLINK("#'Data_Analysis_BNF'!A4634", "rural_urban_overall_D_8_by_b_hh_type")</f>
        <v>rural_urban_overall_D_8_by_b_hh_type</v>
      </c>
      <c r="C596" t="s">
        <v>7114</v>
      </c>
    </row>
    <row r="597" spans="1:3" x14ac:dyDescent="0.25">
      <c r="A597" t="s">
        <v>6525</v>
      </c>
      <c r="B597" s="110" t="str">
        <f>HYPERLINK("#'Data_Analysis_BNF'!A4640", "spent_cash_on_overall_D_309_by_b_hh_type")</f>
        <v>spent_cash_on_overall_D_309_by_b_hh_type</v>
      </c>
      <c r="C597" t="s">
        <v>7115</v>
      </c>
    </row>
    <row r="598" spans="1:3" x14ac:dyDescent="0.25">
      <c r="A598" t="s">
        <v>6525</v>
      </c>
      <c r="B598" s="110" t="str">
        <f>HYPERLINK("#'Data_Analysis_BNF'!A4646", "spent_cash_on_overall_D_311_by_b_hh_composition")</f>
        <v>spent_cash_on_overall_D_311_by_b_hh_composition</v>
      </c>
      <c r="C598" t="s">
        <v>7116</v>
      </c>
    </row>
    <row r="599" spans="1:3" x14ac:dyDescent="0.25">
      <c r="A599" t="s">
        <v>6525</v>
      </c>
      <c r="B599" s="110" t="str">
        <f>HYPERLINK("#'Data_Analysis_BNF'!A4657", "spent_cash_on_overall_D_312_by_b_hh_with_pwd")</f>
        <v>spent_cash_on_overall_D_312_by_b_hh_with_pwd</v>
      </c>
      <c r="C599" t="s">
        <v>7117</v>
      </c>
    </row>
    <row r="600" spans="1:3" x14ac:dyDescent="0.25">
      <c r="A600" t="s">
        <v>6525</v>
      </c>
      <c r="B600" s="110" t="str">
        <f>HYPERLINK("#'Data_Analysis_BNF'!A4663", "spent_cash_on_rural_urban_310")</f>
        <v>spent_cash_on_rural_urban_310</v>
      </c>
      <c r="C600" t="s">
        <v>7118</v>
      </c>
    </row>
    <row r="601" spans="1:3" x14ac:dyDescent="0.25">
      <c r="A601" t="s">
        <v>6525</v>
      </c>
      <c r="B601" s="110" t="str">
        <f>HYPERLINK("#'Data_Analysis_BNF'!A4669", "voucher_overall_D_288_by_b_hh_type")</f>
        <v>voucher_overall_D_288_by_b_hh_type</v>
      </c>
      <c r="C601" t="s">
        <v>7119</v>
      </c>
    </row>
    <row r="602" spans="1:3" x14ac:dyDescent="0.25">
      <c r="A602" t="s">
        <v>6525</v>
      </c>
      <c r="B602" s="110" t="str">
        <f>HYPERLINK("#'Data_Analysis_BNF'!A4675", "voucher_overall_D_290_by_b_evrf_23_24")</f>
        <v>voucher_overall_D_290_by_b_evrf_23_24</v>
      </c>
      <c r="C602" t="s">
        <v>7120</v>
      </c>
    </row>
    <row r="603" spans="1:3" x14ac:dyDescent="0.25">
      <c r="A603" t="s">
        <v>6525</v>
      </c>
      <c r="B603" s="110" t="str">
        <f>HYPERLINK("#'Data_Analysis_BNF'!A4682", "voucher_overall_D_291_by_b_applied_evrf_how")</f>
        <v>voucher_overall_D_291_by_b_applied_evrf_how</v>
      </c>
      <c r="C603" t="s">
        <v>7121</v>
      </c>
    </row>
    <row r="604" spans="1:3" x14ac:dyDescent="0.25">
      <c r="A604" t="s">
        <v>6525</v>
      </c>
      <c r="B604" s="110" t="str">
        <f>HYPERLINK("#'Data_Analysis_BNF'!A4689", "voucher_rural_urban_289")</f>
        <v>voucher_rural_urban_289</v>
      </c>
      <c r="C604" t="s">
        <v>7122</v>
      </c>
    </row>
    <row r="605" spans="1:3" x14ac:dyDescent="0.25">
      <c r="A605" t="s">
        <v>6525</v>
      </c>
      <c r="B605" s="110" t="str">
        <f>HYPERLINK("#'Data_Analysis_BNF'!A4695", "voucher_type_overall_292")</f>
        <v>voucher_type_overall_292</v>
      </c>
      <c r="C605" t="s">
        <v>7123</v>
      </c>
    </row>
  </sheetData>
  <autoFilter ref="A1:C605" xr:uid="{B6D24495-58BF-44AA-9BEC-1E38B1356FE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F8D7B-E941-4B70-A5E8-8EA493D178CC}">
  <dimension ref="A1:S4697"/>
  <sheetViews>
    <sheetView workbookViewId="0">
      <selection activeCell="K9" sqref="K9"/>
    </sheetView>
  </sheetViews>
  <sheetFormatPr defaultColWidth="11.42578125" defaultRowHeight="15" x14ac:dyDescent="0.25"/>
  <sheetData>
    <row r="1" spans="1:7" x14ac:dyDescent="0.25">
      <c r="A1" t="s">
        <v>5548</v>
      </c>
    </row>
    <row r="2" spans="1:7" x14ac:dyDescent="0.25">
      <c r="A2" t="s">
        <v>1297</v>
      </c>
      <c r="B2" t="s">
        <v>4394</v>
      </c>
      <c r="C2" t="s">
        <v>4395</v>
      </c>
      <c r="D2" t="s">
        <v>4396</v>
      </c>
      <c r="E2" t="s">
        <v>4397</v>
      </c>
      <c r="F2" t="s">
        <v>4398</v>
      </c>
      <c r="G2" t="s">
        <v>4399</v>
      </c>
    </row>
    <row r="3" spans="1:7" x14ac:dyDescent="0.25">
      <c r="A3" t="s">
        <v>5549</v>
      </c>
      <c r="B3">
        <v>198</v>
      </c>
      <c r="C3" t="s">
        <v>4400</v>
      </c>
      <c r="D3" t="s">
        <v>4401</v>
      </c>
      <c r="E3" t="s">
        <v>4402</v>
      </c>
      <c r="F3" t="s">
        <v>4403</v>
      </c>
      <c r="G3" t="s">
        <v>4404</v>
      </c>
    </row>
    <row r="4" spans="1:7" x14ac:dyDescent="0.25">
      <c r="A4" t="s">
        <v>1397</v>
      </c>
      <c r="B4">
        <v>99</v>
      </c>
      <c r="C4" t="s">
        <v>4405</v>
      </c>
      <c r="D4" t="s">
        <v>4400</v>
      </c>
      <c r="E4" t="s">
        <v>4406</v>
      </c>
      <c r="F4" t="s">
        <v>4407</v>
      </c>
      <c r="G4" t="s">
        <v>4402</v>
      </c>
    </row>
    <row r="5" spans="1:7" x14ac:dyDescent="0.25">
      <c r="A5" t="s">
        <v>1296</v>
      </c>
      <c r="B5">
        <v>297</v>
      </c>
      <c r="C5" t="s">
        <v>4408</v>
      </c>
      <c r="D5" t="s">
        <v>4409</v>
      </c>
      <c r="E5" t="s">
        <v>4410</v>
      </c>
      <c r="F5" t="s">
        <v>4411</v>
      </c>
      <c r="G5" t="s">
        <v>4410</v>
      </c>
    </row>
    <row r="7" spans="1:7" x14ac:dyDescent="0.25">
      <c r="A7" t="s">
        <v>5550</v>
      </c>
    </row>
    <row r="8" spans="1:7" x14ac:dyDescent="0.25">
      <c r="A8" t="s">
        <v>927</v>
      </c>
      <c r="B8" t="s">
        <v>4394</v>
      </c>
      <c r="C8" t="s">
        <v>4395</v>
      </c>
      <c r="D8" t="s">
        <v>4396</v>
      </c>
      <c r="E8" t="s">
        <v>4397</v>
      </c>
      <c r="F8" t="s">
        <v>4398</v>
      </c>
      <c r="G8" t="s">
        <v>4399</v>
      </c>
    </row>
    <row r="9" spans="1:7" x14ac:dyDescent="0.25">
      <c r="A9" t="s">
        <v>109</v>
      </c>
      <c r="B9">
        <v>177</v>
      </c>
      <c r="C9" t="s">
        <v>4406</v>
      </c>
      <c r="D9" t="s">
        <v>4412</v>
      </c>
      <c r="E9" t="s">
        <v>4413</v>
      </c>
      <c r="F9" t="s">
        <v>4414</v>
      </c>
      <c r="G9" t="s">
        <v>4406</v>
      </c>
    </row>
    <row r="10" spans="1:7" x14ac:dyDescent="0.25">
      <c r="A10" t="s">
        <v>192</v>
      </c>
      <c r="B10">
        <v>120</v>
      </c>
      <c r="C10" t="s">
        <v>4415</v>
      </c>
      <c r="D10" t="s">
        <v>4416</v>
      </c>
      <c r="E10" t="s">
        <v>4417</v>
      </c>
      <c r="F10" t="s">
        <v>4418</v>
      </c>
      <c r="G10" t="s">
        <v>4419</v>
      </c>
    </row>
    <row r="11" spans="1:7" x14ac:dyDescent="0.25">
      <c r="A11" t="s">
        <v>1296</v>
      </c>
      <c r="B11">
        <v>297</v>
      </c>
      <c r="C11" t="s">
        <v>4408</v>
      </c>
      <c r="D11" t="s">
        <v>4409</v>
      </c>
      <c r="E11" t="s">
        <v>4410</v>
      </c>
      <c r="F11" t="s">
        <v>4411</v>
      </c>
      <c r="G11" t="s">
        <v>4410</v>
      </c>
    </row>
    <row r="13" spans="1:7" x14ac:dyDescent="0.25">
      <c r="A13" t="s">
        <v>5551</v>
      </c>
    </row>
    <row r="14" spans="1:7" x14ac:dyDescent="0.25">
      <c r="A14" t="s">
        <v>903</v>
      </c>
      <c r="B14" t="s">
        <v>4394</v>
      </c>
      <c r="C14" t="s">
        <v>4395</v>
      </c>
      <c r="D14" t="s">
        <v>4396</v>
      </c>
      <c r="E14" t="s">
        <v>4397</v>
      </c>
      <c r="F14" t="s">
        <v>4398</v>
      </c>
      <c r="G14" t="s">
        <v>4399</v>
      </c>
    </row>
    <row r="15" spans="1:7" x14ac:dyDescent="0.25">
      <c r="A15" t="s">
        <v>70</v>
      </c>
      <c r="B15">
        <v>85</v>
      </c>
      <c r="C15" t="s">
        <v>4420</v>
      </c>
      <c r="D15" t="s">
        <v>4421</v>
      </c>
      <c r="E15" t="s">
        <v>4422</v>
      </c>
      <c r="F15" t="s">
        <v>4423</v>
      </c>
      <c r="G15" t="s">
        <v>4424</v>
      </c>
    </row>
    <row r="16" spans="1:7" x14ac:dyDescent="0.25">
      <c r="A16" t="s">
        <v>71</v>
      </c>
      <c r="B16">
        <v>212</v>
      </c>
      <c r="C16" t="s">
        <v>4425</v>
      </c>
      <c r="D16" t="s">
        <v>4426</v>
      </c>
      <c r="E16" t="s">
        <v>4404</v>
      </c>
      <c r="F16" t="s">
        <v>4427</v>
      </c>
      <c r="G16" t="s">
        <v>4406</v>
      </c>
    </row>
    <row r="17" spans="1:7" x14ac:dyDescent="0.25">
      <c r="A17" t="s">
        <v>1296</v>
      </c>
      <c r="B17">
        <v>297</v>
      </c>
      <c r="C17" t="s">
        <v>4408</v>
      </c>
      <c r="D17" t="s">
        <v>4409</v>
      </c>
      <c r="E17" t="s">
        <v>4410</v>
      </c>
      <c r="F17" t="s">
        <v>4411</v>
      </c>
      <c r="G17" t="s">
        <v>4410</v>
      </c>
    </row>
    <row r="19" spans="1:7" x14ac:dyDescent="0.25">
      <c r="A19" t="s">
        <v>5552</v>
      </c>
    </row>
    <row r="20" spans="1:7" x14ac:dyDescent="0.25">
      <c r="A20" t="s">
        <v>1297</v>
      </c>
      <c r="B20" t="s">
        <v>4394</v>
      </c>
      <c r="C20" t="s">
        <v>4428</v>
      </c>
      <c r="D20" t="s">
        <v>4429</v>
      </c>
      <c r="E20" t="s">
        <v>4430</v>
      </c>
      <c r="F20" t="s">
        <v>4431</v>
      </c>
      <c r="G20" t="s">
        <v>4432</v>
      </c>
    </row>
    <row r="21" spans="1:7" x14ac:dyDescent="0.25">
      <c r="A21" t="s">
        <v>5549</v>
      </c>
      <c r="B21">
        <v>192</v>
      </c>
      <c r="C21">
        <v>790.36</v>
      </c>
      <c r="D21">
        <v>800</v>
      </c>
      <c r="E21">
        <v>500</v>
      </c>
      <c r="F21">
        <v>1500</v>
      </c>
      <c r="G21">
        <v>151750</v>
      </c>
    </row>
    <row r="22" spans="1:7" x14ac:dyDescent="0.25">
      <c r="A22" t="s">
        <v>1397</v>
      </c>
      <c r="B22">
        <v>95</v>
      </c>
      <c r="C22">
        <v>807.58</v>
      </c>
      <c r="D22">
        <v>800</v>
      </c>
      <c r="E22">
        <v>500</v>
      </c>
      <c r="F22">
        <v>1000</v>
      </c>
      <c r="G22">
        <v>76720</v>
      </c>
    </row>
    <row r="24" spans="1:7" x14ac:dyDescent="0.25">
      <c r="A24" t="s">
        <v>5553</v>
      </c>
    </row>
    <row r="25" spans="1:7" x14ac:dyDescent="0.25">
      <c r="A25" t="s">
        <v>1297</v>
      </c>
      <c r="B25" t="s">
        <v>4394</v>
      </c>
      <c r="C25" t="s">
        <v>1345</v>
      </c>
      <c r="D25" t="s">
        <v>1441</v>
      </c>
      <c r="E25" t="s">
        <v>1461</v>
      </c>
      <c r="F25" t="s">
        <v>5554</v>
      </c>
    </row>
    <row r="26" spans="1:7" x14ac:dyDescent="0.25">
      <c r="A26" t="s">
        <v>5549</v>
      </c>
      <c r="B26">
        <v>198</v>
      </c>
      <c r="C26" t="s">
        <v>4511</v>
      </c>
      <c r="D26" t="s">
        <v>4719</v>
      </c>
      <c r="E26" t="s">
        <v>4740</v>
      </c>
      <c r="F26" t="s">
        <v>4626</v>
      </c>
    </row>
    <row r="27" spans="1:7" x14ac:dyDescent="0.25">
      <c r="A27" t="s">
        <v>1397</v>
      </c>
      <c r="B27">
        <v>99</v>
      </c>
      <c r="C27" t="s">
        <v>4731</v>
      </c>
      <c r="D27" t="s">
        <v>5138</v>
      </c>
      <c r="E27" t="s">
        <v>4492</v>
      </c>
      <c r="F27" t="s">
        <v>4660</v>
      </c>
    </row>
    <row r="28" spans="1:7" x14ac:dyDescent="0.25">
      <c r="A28" t="s">
        <v>1296</v>
      </c>
      <c r="B28">
        <v>297</v>
      </c>
      <c r="C28" t="s">
        <v>4443</v>
      </c>
      <c r="D28" t="s">
        <v>5152</v>
      </c>
      <c r="E28" t="s">
        <v>4629</v>
      </c>
      <c r="F28" t="s">
        <v>4888</v>
      </c>
    </row>
    <row r="30" spans="1:7" x14ac:dyDescent="0.25">
      <c r="A30" t="s">
        <v>5555</v>
      </c>
    </row>
    <row r="31" spans="1:7" x14ac:dyDescent="0.25">
      <c r="A31" t="s">
        <v>905</v>
      </c>
      <c r="B31" t="s">
        <v>4394</v>
      </c>
      <c r="C31" t="s">
        <v>1345</v>
      </c>
      <c r="D31" t="s">
        <v>1441</v>
      </c>
      <c r="E31" t="s">
        <v>1461</v>
      </c>
      <c r="F31" t="s">
        <v>5554</v>
      </c>
    </row>
    <row r="32" spans="1:7" x14ac:dyDescent="0.25">
      <c r="A32" t="s">
        <v>4844</v>
      </c>
      <c r="B32">
        <v>36</v>
      </c>
      <c r="C32" t="s">
        <v>4731</v>
      </c>
      <c r="D32" t="s">
        <v>4570</v>
      </c>
      <c r="E32" t="s">
        <v>4465</v>
      </c>
      <c r="F32" t="s">
        <v>4406</v>
      </c>
    </row>
    <row r="33" spans="1:6" x14ac:dyDescent="0.25">
      <c r="A33" t="s">
        <v>4845</v>
      </c>
      <c r="B33">
        <v>230</v>
      </c>
      <c r="C33" t="s">
        <v>5157</v>
      </c>
      <c r="D33" t="s">
        <v>4702</v>
      </c>
      <c r="E33" t="s">
        <v>4489</v>
      </c>
      <c r="F33" t="s">
        <v>4692</v>
      </c>
    </row>
    <row r="34" spans="1:6" x14ac:dyDescent="0.25">
      <c r="A34" t="s">
        <v>4846</v>
      </c>
      <c r="B34">
        <v>31</v>
      </c>
      <c r="C34" t="s">
        <v>4641</v>
      </c>
      <c r="D34" t="s">
        <v>4642</v>
      </c>
      <c r="E34" t="s">
        <v>5103</v>
      </c>
      <c r="F34" t="s">
        <v>4713</v>
      </c>
    </row>
    <row r="35" spans="1:6" x14ac:dyDescent="0.25">
      <c r="A35" t="s">
        <v>1296</v>
      </c>
      <c r="B35">
        <v>297</v>
      </c>
      <c r="C35" t="s">
        <v>4443</v>
      </c>
      <c r="D35" t="s">
        <v>5152</v>
      </c>
      <c r="E35" t="s">
        <v>4629</v>
      </c>
      <c r="F35" t="s">
        <v>4888</v>
      </c>
    </row>
    <row r="37" spans="1:6" x14ac:dyDescent="0.25">
      <c r="A37" t="s">
        <v>5556</v>
      </c>
    </row>
    <row r="38" spans="1:6" x14ac:dyDescent="0.25">
      <c r="A38" t="s">
        <v>906</v>
      </c>
      <c r="B38" t="s">
        <v>4394</v>
      </c>
      <c r="C38" t="s">
        <v>1345</v>
      </c>
      <c r="D38" t="s">
        <v>1441</v>
      </c>
      <c r="E38" t="s">
        <v>1461</v>
      </c>
      <c r="F38" t="s">
        <v>5554</v>
      </c>
    </row>
    <row r="39" spans="1:6" x14ac:dyDescent="0.25">
      <c r="A39" t="s">
        <v>1338</v>
      </c>
      <c r="B39">
        <v>46</v>
      </c>
      <c r="C39" t="s">
        <v>4664</v>
      </c>
      <c r="D39" t="s">
        <v>4682</v>
      </c>
      <c r="E39" t="s">
        <v>4682</v>
      </c>
      <c r="F39" t="s">
        <v>4667</v>
      </c>
    </row>
    <row r="40" spans="1:6" x14ac:dyDescent="0.25">
      <c r="A40" t="s">
        <v>1370</v>
      </c>
      <c r="B40">
        <v>33</v>
      </c>
      <c r="C40" t="s">
        <v>4539</v>
      </c>
      <c r="D40" t="s">
        <v>4492</v>
      </c>
      <c r="E40" t="s">
        <v>4452</v>
      </c>
      <c r="F40" t="s">
        <v>4741</v>
      </c>
    </row>
    <row r="41" spans="1:6" x14ac:dyDescent="0.25">
      <c r="A41" t="s">
        <v>1439</v>
      </c>
      <c r="B41">
        <v>21</v>
      </c>
      <c r="C41" t="s">
        <v>4450</v>
      </c>
      <c r="D41" t="s">
        <v>4465</v>
      </c>
      <c r="E41" t="s">
        <v>4497</v>
      </c>
      <c r="F41" t="s">
        <v>4406</v>
      </c>
    </row>
    <row r="42" spans="1:6" x14ac:dyDescent="0.25">
      <c r="A42" t="s">
        <v>1476</v>
      </c>
      <c r="B42">
        <v>71</v>
      </c>
      <c r="C42" t="s">
        <v>4854</v>
      </c>
      <c r="D42" t="s">
        <v>5217</v>
      </c>
      <c r="E42" t="s">
        <v>4708</v>
      </c>
      <c r="F42" t="s">
        <v>4751</v>
      </c>
    </row>
    <row r="43" spans="1:6" x14ac:dyDescent="0.25">
      <c r="A43" t="s">
        <v>5476</v>
      </c>
      <c r="B43">
        <v>6</v>
      </c>
      <c r="C43" t="s">
        <v>4596</v>
      </c>
      <c r="D43" t="s">
        <v>4465</v>
      </c>
      <c r="E43" t="s">
        <v>4468</v>
      </c>
      <c r="F43" t="s">
        <v>4406</v>
      </c>
    </row>
    <row r="44" spans="1:6" x14ac:dyDescent="0.25">
      <c r="A44" t="s">
        <v>1399</v>
      </c>
      <c r="B44">
        <v>44</v>
      </c>
      <c r="C44" t="s">
        <v>4726</v>
      </c>
      <c r="D44" t="s">
        <v>4452</v>
      </c>
      <c r="E44" t="s">
        <v>4583</v>
      </c>
      <c r="F44" t="s">
        <v>4689</v>
      </c>
    </row>
    <row r="45" spans="1:6" x14ac:dyDescent="0.25">
      <c r="A45" t="s">
        <v>1415</v>
      </c>
      <c r="B45">
        <v>76</v>
      </c>
      <c r="C45" t="s">
        <v>4504</v>
      </c>
      <c r="D45" t="s">
        <v>4505</v>
      </c>
      <c r="E45" t="s">
        <v>4506</v>
      </c>
      <c r="F45" t="s">
        <v>4406</v>
      </c>
    </row>
    <row r="46" spans="1:6" x14ac:dyDescent="0.25">
      <c r="A46" t="s">
        <v>1296</v>
      </c>
      <c r="B46">
        <v>297</v>
      </c>
      <c r="C46" t="s">
        <v>4443</v>
      </c>
      <c r="D46" t="s">
        <v>5152</v>
      </c>
      <c r="E46" t="s">
        <v>4629</v>
      </c>
      <c r="F46" t="s">
        <v>4888</v>
      </c>
    </row>
    <row r="48" spans="1:6" x14ac:dyDescent="0.25">
      <c r="A48" t="s">
        <v>5557</v>
      </c>
    </row>
    <row r="49" spans="1:6" x14ac:dyDescent="0.25">
      <c r="A49" t="s">
        <v>907</v>
      </c>
      <c r="B49" t="s">
        <v>4394</v>
      </c>
      <c r="C49" t="s">
        <v>1345</v>
      </c>
      <c r="D49" t="s">
        <v>1441</v>
      </c>
      <c r="E49" t="s">
        <v>1461</v>
      </c>
      <c r="F49" t="s">
        <v>5554</v>
      </c>
    </row>
    <row r="50" spans="1:6" x14ac:dyDescent="0.25">
      <c r="A50" t="s">
        <v>109</v>
      </c>
      <c r="B50">
        <v>257</v>
      </c>
      <c r="C50" t="s">
        <v>4440</v>
      </c>
      <c r="D50" t="s">
        <v>4871</v>
      </c>
      <c r="E50" t="s">
        <v>4442</v>
      </c>
      <c r="F50" t="s">
        <v>4757</v>
      </c>
    </row>
    <row r="51" spans="1:6" x14ac:dyDescent="0.25">
      <c r="A51" t="s">
        <v>192</v>
      </c>
      <c r="B51">
        <v>40</v>
      </c>
      <c r="C51" t="s">
        <v>4643</v>
      </c>
      <c r="D51" t="s">
        <v>4761</v>
      </c>
      <c r="E51" t="s">
        <v>4458</v>
      </c>
      <c r="F51" t="s">
        <v>4645</v>
      </c>
    </row>
    <row r="52" spans="1:6" x14ac:dyDescent="0.25">
      <c r="A52" t="s">
        <v>1296</v>
      </c>
      <c r="B52">
        <v>297</v>
      </c>
      <c r="C52" t="s">
        <v>4443</v>
      </c>
      <c r="D52" t="s">
        <v>5152</v>
      </c>
      <c r="E52" t="s">
        <v>4629</v>
      </c>
      <c r="F52" t="s">
        <v>4888</v>
      </c>
    </row>
    <row r="54" spans="1:6" x14ac:dyDescent="0.25">
      <c r="A54" t="s">
        <v>5558</v>
      </c>
    </row>
    <row r="55" spans="1:6" x14ac:dyDescent="0.25">
      <c r="A55" t="s">
        <v>1295</v>
      </c>
      <c r="B55" t="s">
        <v>4394</v>
      </c>
      <c r="C55" t="s">
        <v>1345</v>
      </c>
      <c r="D55" t="s">
        <v>1441</v>
      </c>
      <c r="E55" t="s">
        <v>1461</v>
      </c>
      <c r="F55" t="s">
        <v>5554</v>
      </c>
    </row>
    <row r="56" spans="1:6" x14ac:dyDescent="0.25">
      <c r="A56" t="s">
        <v>4395</v>
      </c>
      <c r="B56">
        <v>32</v>
      </c>
      <c r="C56" t="s">
        <v>4520</v>
      </c>
      <c r="D56" t="s">
        <v>4520</v>
      </c>
      <c r="E56" t="s">
        <v>4462</v>
      </c>
      <c r="F56" t="s">
        <v>4479</v>
      </c>
    </row>
    <row r="57" spans="1:6" x14ac:dyDescent="0.25">
      <c r="A57" t="s">
        <v>4396</v>
      </c>
      <c r="B57">
        <v>169</v>
      </c>
      <c r="C57" t="s">
        <v>4511</v>
      </c>
      <c r="D57" t="s">
        <v>4570</v>
      </c>
      <c r="E57" t="s">
        <v>4708</v>
      </c>
      <c r="F57" t="s">
        <v>4424</v>
      </c>
    </row>
    <row r="58" spans="1:6" x14ac:dyDescent="0.25">
      <c r="A58" t="s">
        <v>4397</v>
      </c>
      <c r="B58">
        <v>2</v>
      </c>
      <c r="C58" t="s">
        <v>4406</v>
      </c>
      <c r="D58" t="s">
        <v>4406</v>
      </c>
      <c r="E58" t="s">
        <v>4468</v>
      </c>
      <c r="F58" t="s">
        <v>4468</v>
      </c>
    </row>
    <row r="59" spans="1:6" x14ac:dyDescent="0.25">
      <c r="A59" t="s">
        <v>4398</v>
      </c>
      <c r="B59">
        <v>92</v>
      </c>
      <c r="C59" t="s">
        <v>5074</v>
      </c>
      <c r="D59" t="s">
        <v>4712</v>
      </c>
      <c r="E59" t="s">
        <v>4712</v>
      </c>
      <c r="F59" t="s">
        <v>4825</v>
      </c>
    </row>
    <row r="60" spans="1:6" x14ac:dyDescent="0.25">
      <c r="A60" t="s">
        <v>4399</v>
      </c>
      <c r="B60">
        <v>2</v>
      </c>
      <c r="C60" t="s">
        <v>4406</v>
      </c>
      <c r="D60" t="s">
        <v>4454</v>
      </c>
      <c r="E60" t="s">
        <v>4406</v>
      </c>
      <c r="F60" t="s">
        <v>4406</v>
      </c>
    </row>
    <row r="61" spans="1:6" x14ac:dyDescent="0.25">
      <c r="A61" t="s">
        <v>1296</v>
      </c>
      <c r="B61">
        <v>297</v>
      </c>
      <c r="C61" t="s">
        <v>4443</v>
      </c>
      <c r="D61" t="s">
        <v>5152</v>
      </c>
      <c r="E61" t="s">
        <v>4629</v>
      </c>
      <c r="F61" t="s">
        <v>4888</v>
      </c>
    </row>
    <row r="63" spans="1:6" x14ac:dyDescent="0.25">
      <c r="A63" t="s">
        <v>5559</v>
      </c>
    </row>
    <row r="64" spans="1:6" x14ac:dyDescent="0.25">
      <c r="A64" t="s">
        <v>910</v>
      </c>
      <c r="B64" t="s">
        <v>4394</v>
      </c>
      <c r="C64" t="s">
        <v>1345</v>
      </c>
      <c r="D64" t="s">
        <v>1441</v>
      </c>
      <c r="E64" t="s">
        <v>1461</v>
      </c>
      <c r="F64" t="s">
        <v>5554</v>
      </c>
    </row>
    <row r="65" spans="1:6" x14ac:dyDescent="0.25">
      <c r="A65" t="s">
        <v>1371</v>
      </c>
      <c r="B65">
        <v>42</v>
      </c>
      <c r="C65" t="s">
        <v>4604</v>
      </c>
      <c r="D65" t="s">
        <v>4497</v>
      </c>
      <c r="E65" t="s">
        <v>4449</v>
      </c>
      <c r="F65" t="s">
        <v>4749</v>
      </c>
    </row>
    <row r="66" spans="1:6" x14ac:dyDescent="0.25">
      <c r="A66" t="s">
        <v>1452</v>
      </c>
      <c r="B66">
        <v>18</v>
      </c>
      <c r="C66" t="s">
        <v>4465</v>
      </c>
      <c r="D66" t="s">
        <v>4444</v>
      </c>
      <c r="E66" t="s">
        <v>4482</v>
      </c>
      <c r="F66" t="s">
        <v>4406</v>
      </c>
    </row>
    <row r="67" spans="1:6" x14ac:dyDescent="0.25">
      <c r="A67" t="s">
        <v>5560</v>
      </c>
      <c r="B67">
        <v>59</v>
      </c>
      <c r="C67" t="s">
        <v>4933</v>
      </c>
      <c r="D67" t="s">
        <v>5328</v>
      </c>
      <c r="E67" t="s">
        <v>5053</v>
      </c>
      <c r="F67" t="s">
        <v>4689</v>
      </c>
    </row>
    <row r="68" spans="1:6" x14ac:dyDescent="0.25">
      <c r="A68" t="s">
        <v>1424</v>
      </c>
      <c r="B68">
        <v>120</v>
      </c>
      <c r="C68" t="s">
        <v>4451</v>
      </c>
      <c r="D68" t="s">
        <v>4458</v>
      </c>
      <c r="E68" t="s">
        <v>4465</v>
      </c>
      <c r="F68" t="s">
        <v>4645</v>
      </c>
    </row>
    <row r="69" spans="1:6" x14ac:dyDescent="0.25">
      <c r="A69" t="s">
        <v>1340</v>
      </c>
      <c r="B69">
        <v>31</v>
      </c>
      <c r="C69" t="s">
        <v>4858</v>
      </c>
      <c r="D69" t="s">
        <v>5071</v>
      </c>
      <c r="E69" t="s">
        <v>4563</v>
      </c>
      <c r="F69" t="s">
        <v>4713</v>
      </c>
    </row>
    <row r="70" spans="1:6" x14ac:dyDescent="0.25">
      <c r="A70" t="s">
        <v>5561</v>
      </c>
      <c r="B70">
        <v>8</v>
      </c>
      <c r="C70" t="s">
        <v>4479</v>
      </c>
      <c r="D70" t="s">
        <v>4602</v>
      </c>
      <c r="E70" t="s">
        <v>4462</v>
      </c>
      <c r="F70" t="s">
        <v>4406</v>
      </c>
    </row>
    <row r="71" spans="1:6" x14ac:dyDescent="0.25">
      <c r="A71" t="s">
        <v>1416</v>
      </c>
      <c r="B71">
        <v>19</v>
      </c>
      <c r="C71" t="s">
        <v>4490</v>
      </c>
      <c r="D71" t="s">
        <v>4490</v>
      </c>
      <c r="E71" t="s">
        <v>4491</v>
      </c>
      <c r="F71" t="s">
        <v>4406</v>
      </c>
    </row>
    <row r="72" spans="1:6" x14ac:dyDescent="0.25">
      <c r="A72" t="s">
        <v>1296</v>
      </c>
      <c r="B72">
        <v>297</v>
      </c>
      <c r="C72" t="s">
        <v>4443</v>
      </c>
      <c r="D72" t="s">
        <v>5152</v>
      </c>
      <c r="E72" t="s">
        <v>4629</v>
      </c>
      <c r="F72" t="s">
        <v>4888</v>
      </c>
    </row>
    <row r="74" spans="1:6" x14ac:dyDescent="0.25">
      <c r="A74" t="s">
        <v>5562</v>
      </c>
    </row>
    <row r="75" spans="1:6" x14ac:dyDescent="0.25">
      <c r="A75" t="s">
        <v>928</v>
      </c>
      <c r="B75" t="s">
        <v>4394</v>
      </c>
      <c r="C75" t="s">
        <v>1345</v>
      </c>
      <c r="D75" t="s">
        <v>1441</v>
      </c>
      <c r="E75" t="s">
        <v>1461</v>
      </c>
      <c r="F75" t="s">
        <v>5554</v>
      </c>
    </row>
    <row r="76" spans="1:6" x14ac:dyDescent="0.25">
      <c r="A76" t="s">
        <v>4433</v>
      </c>
      <c r="B76">
        <v>5</v>
      </c>
      <c r="C76" t="s">
        <v>4457</v>
      </c>
      <c r="D76" t="s">
        <v>4458</v>
      </c>
      <c r="E76" t="s">
        <v>4406</v>
      </c>
      <c r="F76" t="s">
        <v>4406</v>
      </c>
    </row>
    <row r="77" spans="1:6" x14ac:dyDescent="0.25">
      <c r="A77" t="s">
        <v>4434</v>
      </c>
      <c r="B77">
        <v>119</v>
      </c>
      <c r="C77" t="s">
        <v>4522</v>
      </c>
      <c r="D77" t="s">
        <v>4926</v>
      </c>
      <c r="E77" t="s">
        <v>5563</v>
      </c>
      <c r="F77" t="s">
        <v>4751</v>
      </c>
    </row>
    <row r="78" spans="1:6" x14ac:dyDescent="0.25">
      <c r="A78" t="s">
        <v>4435</v>
      </c>
      <c r="B78">
        <v>90</v>
      </c>
      <c r="C78" t="s">
        <v>4551</v>
      </c>
      <c r="D78" t="s">
        <v>4903</v>
      </c>
      <c r="E78" t="s">
        <v>4546</v>
      </c>
      <c r="F78" t="s">
        <v>4581</v>
      </c>
    </row>
    <row r="79" spans="1:6" x14ac:dyDescent="0.25">
      <c r="A79" t="s">
        <v>4436</v>
      </c>
      <c r="B79">
        <v>81</v>
      </c>
      <c r="C79" t="s">
        <v>4538</v>
      </c>
      <c r="D79" t="s">
        <v>4683</v>
      </c>
      <c r="E79" t="s">
        <v>4548</v>
      </c>
      <c r="F79" t="s">
        <v>4954</v>
      </c>
    </row>
    <row r="80" spans="1:6" x14ac:dyDescent="0.25">
      <c r="A80" t="s">
        <v>4437</v>
      </c>
      <c r="B80">
        <v>2</v>
      </c>
      <c r="C80" t="s">
        <v>4468</v>
      </c>
      <c r="D80" t="s">
        <v>4406</v>
      </c>
      <c r="E80" t="s">
        <v>4468</v>
      </c>
      <c r="F80" t="s">
        <v>4406</v>
      </c>
    </row>
    <row r="81" spans="1:6" x14ac:dyDescent="0.25">
      <c r="A81" t="s">
        <v>1296</v>
      </c>
      <c r="B81">
        <v>297</v>
      </c>
      <c r="C81" t="s">
        <v>4443</v>
      </c>
      <c r="D81" t="s">
        <v>5152</v>
      </c>
      <c r="E81" t="s">
        <v>4629</v>
      </c>
      <c r="F81" t="s">
        <v>4888</v>
      </c>
    </row>
    <row r="83" spans="1:6" x14ac:dyDescent="0.25">
      <c r="A83" t="s">
        <v>5564</v>
      </c>
    </row>
    <row r="84" spans="1:6" x14ac:dyDescent="0.25">
      <c r="A84" t="s">
        <v>913</v>
      </c>
      <c r="B84" t="s">
        <v>4394</v>
      </c>
      <c r="C84" t="s">
        <v>1345</v>
      </c>
      <c r="D84" t="s">
        <v>1441</v>
      </c>
      <c r="E84" t="s">
        <v>1461</v>
      </c>
      <c r="F84" t="s">
        <v>5554</v>
      </c>
    </row>
    <row r="85" spans="1:6" x14ac:dyDescent="0.25">
      <c r="A85" t="s">
        <v>1561</v>
      </c>
      <c r="B85">
        <v>3</v>
      </c>
      <c r="C85" t="s">
        <v>4469</v>
      </c>
      <c r="D85" t="s">
        <v>4465</v>
      </c>
      <c r="E85" t="s">
        <v>4406</v>
      </c>
      <c r="F85" t="s">
        <v>4406</v>
      </c>
    </row>
    <row r="86" spans="1:6" x14ac:dyDescent="0.25">
      <c r="A86" t="s">
        <v>1460</v>
      </c>
      <c r="B86">
        <v>67</v>
      </c>
      <c r="C86" t="s">
        <v>4979</v>
      </c>
      <c r="D86" t="s">
        <v>4678</v>
      </c>
      <c r="E86" t="s">
        <v>5198</v>
      </c>
      <c r="F86" t="s">
        <v>4626</v>
      </c>
    </row>
    <row r="87" spans="1:6" x14ac:dyDescent="0.25">
      <c r="A87" t="s">
        <v>1342</v>
      </c>
      <c r="B87">
        <v>67</v>
      </c>
      <c r="C87" t="s">
        <v>4858</v>
      </c>
      <c r="D87" t="s">
        <v>4829</v>
      </c>
      <c r="E87" t="s">
        <v>4459</v>
      </c>
      <c r="F87" t="s">
        <v>4626</v>
      </c>
    </row>
    <row r="88" spans="1:6" x14ac:dyDescent="0.25">
      <c r="A88" t="s">
        <v>1375</v>
      </c>
      <c r="B88">
        <v>93</v>
      </c>
      <c r="C88" t="s">
        <v>4511</v>
      </c>
      <c r="D88" t="s">
        <v>4563</v>
      </c>
      <c r="E88" t="s">
        <v>5319</v>
      </c>
      <c r="F88" t="s">
        <v>4667</v>
      </c>
    </row>
    <row r="89" spans="1:6" x14ac:dyDescent="0.25">
      <c r="A89" t="s">
        <v>1401</v>
      </c>
      <c r="B89">
        <v>66</v>
      </c>
      <c r="C89" t="s">
        <v>4465</v>
      </c>
      <c r="D89" t="s">
        <v>5209</v>
      </c>
      <c r="E89" t="s">
        <v>4539</v>
      </c>
      <c r="F89" t="s">
        <v>4626</v>
      </c>
    </row>
    <row r="90" spans="1:6" x14ac:dyDescent="0.25">
      <c r="A90" t="s">
        <v>1682</v>
      </c>
      <c r="B90">
        <v>1</v>
      </c>
      <c r="C90" t="s">
        <v>4454</v>
      </c>
      <c r="D90" t="s">
        <v>4406</v>
      </c>
      <c r="E90" t="s">
        <v>4406</v>
      </c>
      <c r="F90" t="s">
        <v>4406</v>
      </c>
    </row>
    <row r="91" spans="1:6" x14ac:dyDescent="0.25">
      <c r="A91" t="s">
        <v>1296</v>
      </c>
      <c r="B91">
        <v>297</v>
      </c>
      <c r="C91" t="s">
        <v>4443</v>
      </c>
      <c r="D91" t="s">
        <v>5152</v>
      </c>
      <c r="E91" t="s">
        <v>4629</v>
      </c>
      <c r="F91" t="s">
        <v>4888</v>
      </c>
    </row>
    <row r="93" spans="1:6" x14ac:dyDescent="0.25">
      <c r="A93" t="s">
        <v>5565</v>
      </c>
    </row>
    <row r="94" spans="1:6" x14ac:dyDescent="0.25">
      <c r="A94" t="s">
        <v>5477</v>
      </c>
      <c r="B94" t="s">
        <v>4394</v>
      </c>
      <c r="C94" t="s">
        <v>1345</v>
      </c>
      <c r="D94" t="s">
        <v>1441</v>
      </c>
      <c r="E94" t="s">
        <v>1461</v>
      </c>
      <c r="F94" t="s">
        <v>5554</v>
      </c>
    </row>
    <row r="95" spans="1:6" x14ac:dyDescent="0.25">
      <c r="A95" t="s">
        <v>4438</v>
      </c>
      <c r="B95">
        <v>95</v>
      </c>
      <c r="C95" t="s">
        <v>4867</v>
      </c>
      <c r="D95" t="s">
        <v>4816</v>
      </c>
      <c r="E95" t="s">
        <v>4458</v>
      </c>
      <c r="F95" t="s">
        <v>4825</v>
      </c>
    </row>
    <row r="96" spans="1:6" x14ac:dyDescent="0.25">
      <c r="A96" t="s">
        <v>4439</v>
      </c>
      <c r="B96">
        <v>128</v>
      </c>
      <c r="C96" t="s">
        <v>4766</v>
      </c>
      <c r="D96" t="s">
        <v>4665</v>
      </c>
      <c r="E96" t="s">
        <v>4520</v>
      </c>
      <c r="F96" t="s">
        <v>5467</v>
      </c>
    </row>
    <row r="97" spans="1:6" x14ac:dyDescent="0.25">
      <c r="A97" t="s">
        <v>1400</v>
      </c>
      <c r="B97">
        <v>7</v>
      </c>
      <c r="C97" t="s">
        <v>4447</v>
      </c>
      <c r="D97" t="s">
        <v>4450</v>
      </c>
      <c r="E97" t="s">
        <v>4450</v>
      </c>
      <c r="F97" t="s">
        <v>4406</v>
      </c>
    </row>
    <row r="98" spans="1:6" x14ac:dyDescent="0.25">
      <c r="A98" t="s">
        <v>5566</v>
      </c>
      <c r="B98">
        <v>36</v>
      </c>
      <c r="C98" t="s">
        <v>4596</v>
      </c>
      <c r="D98" t="s">
        <v>4648</v>
      </c>
      <c r="E98" t="s">
        <v>4482</v>
      </c>
      <c r="F98" t="s">
        <v>4649</v>
      </c>
    </row>
    <row r="99" spans="1:6" x14ac:dyDescent="0.25">
      <c r="A99" t="s">
        <v>1426</v>
      </c>
      <c r="B99">
        <v>1</v>
      </c>
      <c r="C99" t="s">
        <v>4406</v>
      </c>
      <c r="D99" t="s">
        <v>4406</v>
      </c>
      <c r="E99" t="s">
        <v>4454</v>
      </c>
      <c r="F99" t="s">
        <v>4406</v>
      </c>
    </row>
    <row r="100" spans="1:6" x14ac:dyDescent="0.25">
      <c r="A100" t="s">
        <v>1372</v>
      </c>
      <c r="B100">
        <v>30</v>
      </c>
      <c r="C100" t="s">
        <v>5107</v>
      </c>
      <c r="D100" t="s">
        <v>4489</v>
      </c>
      <c r="E100" t="s">
        <v>4607</v>
      </c>
      <c r="F100" t="s">
        <v>4651</v>
      </c>
    </row>
    <row r="101" spans="1:6" x14ac:dyDescent="0.25">
      <c r="A101" t="s">
        <v>1296</v>
      </c>
      <c r="B101">
        <v>297</v>
      </c>
      <c r="C101" t="s">
        <v>4443</v>
      </c>
      <c r="D101" t="s">
        <v>5152</v>
      </c>
      <c r="E101" t="s">
        <v>4629</v>
      </c>
      <c r="F101" t="s">
        <v>4888</v>
      </c>
    </row>
    <row r="103" spans="1:6" x14ac:dyDescent="0.25">
      <c r="A103" t="s">
        <v>5567</v>
      </c>
    </row>
    <row r="104" spans="1:6" x14ac:dyDescent="0.25">
      <c r="A104" t="s">
        <v>912</v>
      </c>
      <c r="B104" t="s">
        <v>4394</v>
      </c>
      <c r="C104" t="s">
        <v>1345</v>
      </c>
      <c r="D104" t="s">
        <v>1441</v>
      </c>
      <c r="E104" t="s">
        <v>1461</v>
      </c>
      <c r="F104" t="s">
        <v>5554</v>
      </c>
    </row>
    <row r="105" spans="1:6" x14ac:dyDescent="0.25">
      <c r="A105" t="s">
        <v>4438</v>
      </c>
      <c r="B105">
        <v>80</v>
      </c>
      <c r="C105" t="s">
        <v>4472</v>
      </c>
      <c r="D105" t="s">
        <v>4761</v>
      </c>
      <c r="E105" t="s">
        <v>4771</v>
      </c>
      <c r="F105" t="s">
        <v>4659</v>
      </c>
    </row>
    <row r="106" spans="1:6" x14ac:dyDescent="0.25">
      <c r="A106" t="s">
        <v>4439</v>
      </c>
      <c r="B106">
        <v>106</v>
      </c>
      <c r="C106" t="s">
        <v>4747</v>
      </c>
      <c r="D106" t="s">
        <v>4658</v>
      </c>
      <c r="E106" t="s">
        <v>5458</v>
      </c>
      <c r="F106" t="s">
        <v>4649</v>
      </c>
    </row>
    <row r="107" spans="1:6" x14ac:dyDescent="0.25">
      <c r="A107" t="s">
        <v>1400</v>
      </c>
      <c r="B107">
        <v>30</v>
      </c>
      <c r="C107" t="s">
        <v>4596</v>
      </c>
      <c r="D107" t="s">
        <v>4512</v>
      </c>
      <c r="E107" t="s">
        <v>4489</v>
      </c>
      <c r="F107" t="s">
        <v>4646</v>
      </c>
    </row>
    <row r="108" spans="1:6" x14ac:dyDescent="0.25">
      <c r="A108" t="s">
        <v>1340</v>
      </c>
      <c r="B108">
        <v>31</v>
      </c>
      <c r="C108" t="s">
        <v>4858</v>
      </c>
      <c r="D108" t="s">
        <v>5071</v>
      </c>
      <c r="E108" t="s">
        <v>4563</v>
      </c>
      <c r="F108" t="s">
        <v>4713</v>
      </c>
    </row>
    <row r="109" spans="1:6" x14ac:dyDescent="0.25">
      <c r="A109" t="s">
        <v>1426</v>
      </c>
      <c r="B109">
        <v>15</v>
      </c>
      <c r="C109" t="s">
        <v>4472</v>
      </c>
      <c r="D109" t="s">
        <v>4465</v>
      </c>
      <c r="E109" t="s">
        <v>4458</v>
      </c>
      <c r="F109" t="s">
        <v>4416</v>
      </c>
    </row>
    <row r="110" spans="1:6" x14ac:dyDescent="0.25">
      <c r="A110" t="s">
        <v>1372</v>
      </c>
      <c r="B110">
        <v>35</v>
      </c>
      <c r="C110" t="s">
        <v>4458</v>
      </c>
      <c r="D110" t="s">
        <v>4447</v>
      </c>
      <c r="E110" t="s">
        <v>4522</v>
      </c>
      <c r="F110" t="s">
        <v>4697</v>
      </c>
    </row>
    <row r="111" spans="1:6" x14ac:dyDescent="0.25">
      <c r="A111" t="s">
        <v>1296</v>
      </c>
      <c r="B111">
        <v>297</v>
      </c>
      <c r="C111" t="s">
        <v>4443</v>
      </c>
      <c r="D111" t="s">
        <v>5152</v>
      </c>
      <c r="E111" t="s">
        <v>4629</v>
      </c>
      <c r="F111" t="s">
        <v>4888</v>
      </c>
    </row>
    <row r="113" spans="1:7" x14ac:dyDescent="0.25">
      <c r="A113" t="s">
        <v>5568</v>
      </c>
    </row>
    <row r="114" spans="1:7" x14ac:dyDescent="0.25">
      <c r="A114" t="s">
        <v>903</v>
      </c>
      <c r="B114" t="s">
        <v>4394</v>
      </c>
      <c r="C114" t="s">
        <v>1345</v>
      </c>
      <c r="D114" t="s">
        <v>1441</v>
      </c>
      <c r="E114" t="s">
        <v>1461</v>
      </c>
      <c r="F114" t="s">
        <v>5554</v>
      </c>
    </row>
    <row r="115" spans="1:7" x14ac:dyDescent="0.25">
      <c r="A115" t="s">
        <v>70</v>
      </c>
      <c r="B115">
        <v>85</v>
      </c>
      <c r="C115" t="s">
        <v>4493</v>
      </c>
      <c r="D115" t="s">
        <v>4458</v>
      </c>
      <c r="E115" t="s">
        <v>4593</v>
      </c>
      <c r="F115" t="s">
        <v>4424</v>
      </c>
    </row>
    <row r="116" spans="1:7" x14ac:dyDescent="0.25">
      <c r="A116" t="s">
        <v>71</v>
      </c>
      <c r="B116">
        <v>212</v>
      </c>
      <c r="C116" t="s">
        <v>4874</v>
      </c>
      <c r="D116" t="s">
        <v>4661</v>
      </c>
      <c r="E116" t="s">
        <v>4477</v>
      </c>
      <c r="F116" t="s">
        <v>4720</v>
      </c>
    </row>
    <row r="117" spans="1:7" x14ac:dyDescent="0.25">
      <c r="A117" t="s">
        <v>1296</v>
      </c>
      <c r="B117">
        <v>297</v>
      </c>
      <c r="C117" t="s">
        <v>4443</v>
      </c>
      <c r="D117" t="s">
        <v>5152</v>
      </c>
      <c r="E117" t="s">
        <v>4629</v>
      </c>
      <c r="F117" t="s">
        <v>4888</v>
      </c>
    </row>
    <row r="119" spans="1:7" x14ac:dyDescent="0.25">
      <c r="A119" t="s">
        <v>5569</v>
      </c>
    </row>
    <row r="120" spans="1:7" x14ac:dyDescent="0.25">
      <c r="A120" t="s">
        <v>903</v>
      </c>
      <c r="B120" t="s">
        <v>4394</v>
      </c>
      <c r="C120" t="s">
        <v>4428</v>
      </c>
      <c r="D120" t="s">
        <v>4429</v>
      </c>
      <c r="E120" t="s">
        <v>4430</v>
      </c>
      <c r="F120" t="s">
        <v>4431</v>
      </c>
      <c r="G120" t="s">
        <v>4432</v>
      </c>
    </row>
    <row r="121" spans="1:7" x14ac:dyDescent="0.25">
      <c r="A121" t="s">
        <v>70</v>
      </c>
      <c r="B121">
        <v>83</v>
      </c>
      <c r="C121">
        <v>756.99</v>
      </c>
      <c r="D121">
        <v>800</v>
      </c>
      <c r="E121">
        <v>500</v>
      </c>
      <c r="F121">
        <v>1000</v>
      </c>
      <c r="G121">
        <v>62830</v>
      </c>
    </row>
    <row r="122" spans="1:7" x14ac:dyDescent="0.25">
      <c r="A122" t="s">
        <v>71</v>
      </c>
      <c r="B122">
        <v>204</v>
      </c>
      <c r="C122">
        <v>811.96</v>
      </c>
      <c r="D122">
        <v>800</v>
      </c>
      <c r="E122">
        <v>500</v>
      </c>
      <c r="F122">
        <v>1500</v>
      </c>
      <c r="G122">
        <v>165640</v>
      </c>
    </row>
    <row r="123" spans="1:7" x14ac:dyDescent="0.25">
      <c r="A123" t="s">
        <v>1296</v>
      </c>
      <c r="B123">
        <v>287</v>
      </c>
      <c r="C123">
        <v>796.06</v>
      </c>
      <c r="D123">
        <v>800</v>
      </c>
      <c r="E123">
        <v>500</v>
      </c>
      <c r="F123">
        <v>1500</v>
      </c>
      <c r="G123">
        <v>228470</v>
      </c>
    </row>
    <row r="125" spans="1:7" x14ac:dyDescent="0.25">
      <c r="A125" t="s">
        <v>5570</v>
      </c>
    </row>
    <row r="126" spans="1:7" x14ac:dyDescent="0.25">
      <c r="A126" t="s">
        <v>1297</v>
      </c>
      <c r="B126" t="s">
        <v>4394</v>
      </c>
      <c r="C126" t="s">
        <v>4428</v>
      </c>
      <c r="D126" t="s">
        <v>4429</v>
      </c>
      <c r="E126" t="s">
        <v>4430</v>
      </c>
      <c r="F126" t="s">
        <v>4431</v>
      </c>
      <c r="G126" t="s">
        <v>4432</v>
      </c>
    </row>
    <row r="127" spans="1:7" x14ac:dyDescent="0.25">
      <c r="A127" t="s">
        <v>5549</v>
      </c>
      <c r="B127">
        <v>196</v>
      </c>
      <c r="C127">
        <v>463.48</v>
      </c>
      <c r="D127">
        <v>420</v>
      </c>
      <c r="E127">
        <v>300</v>
      </c>
      <c r="F127">
        <v>800</v>
      </c>
      <c r="G127">
        <v>90843</v>
      </c>
    </row>
    <row r="128" spans="1:7" x14ac:dyDescent="0.25">
      <c r="A128" t="s">
        <v>1397</v>
      </c>
      <c r="B128">
        <v>99</v>
      </c>
      <c r="C128">
        <v>472.63</v>
      </c>
      <c r="D128">
        <v>400</v>
      </c>
      <c r="E128">
        <v>300</v>
      </c>
      <c r="F128">
        <v>800</v>
      </c>
      <c r="G128">
        <v>46790</v>
      </c>
    </row>
    <row r="130" spans="1:6" x14ac:dyDescent="0.25">
      <c r="A130" t="s">
        <v>5571</v>
      </c>
    </row>
    <row r="131" spans="1:6" x14ac:dyDescent="0.25">
      <c r="A131" t="s">
        <v>1297</v>
      </c>
      <c r="B131" t="s">
        <v>4394</v>
      </c>
      <c r="C131" t="s">
        <v>1343</v>
      </c>
      <c r="D131" t="s">
        <v>1345</v>
      </c>
      <c r="E131" t="s">
        <v>1466</v>
      </c>
      <c r="F131" t="s">
        <v>5554</v>
      </c>
    </row>
    <row r="132" spans="1:6" x14ac:dyDescent="0.25">
      <c r="A132" t="s">
        <v>5549</v>
      </c>
      <c r="B132">
        <v>198</v>
      </c>
      <c r="C132" t="s">
        <v>5327</v>
      </c>
      <c r="D132" t="s">
        <v>4493</v>
      </c>
      <c r="E132" t="s">
        <v>4589</v>
      </c>
      <c r="F132" t="s">
        <v>4402</v>
      </c>
    </row>
    <row r="133" spans="1:6" x14ac:dyDescent="0.25">
      <c r="A133" t="s">
        <v>1397</v>
      </c>
      <c r="B133">
        <v>99</v>
      </c>
      <c r="C133" t="s">
        <v>4473</v>
      </c>
      <c r="D133" t="s">
        <v>4539</v>
      </c>
      <c r="E133" t="s">
        <v>4443</v>
      </c>
      <c r="F133" t="s">
        <v>4406</v>
      </c>
    </row>
    <row r="134" spans="1:6" x14ac:dyDescent="0.25">
      <c r="A134" t="s">
        <v>1296</v>
      </c>
      <c r="B134">
        <v>297</v>
      </c>
      <c r="C134" t="s">
        <v>5572</v>
      </c>
      <c r="D134" t="s">
        <v>4598</v>
      </c>
      <c r="E134" t="s">
        <v>5318</v>
      </c>
      <c r="F134" t="s">
        <v>4410</v>
      </c>
    </row>
    <row r="136" spans="1:6" x14ac:dyDescent="0.25">
      <c r="A136" t="s">
        <v>5573</v>
      </c>
    </row>
    <row r="137" spans="1:6" x14ac:dyDescent="0.25">
      <c r="A137" t="s">
        <v>905</v>
      </c>
      <c r="B137" t="s">
        <v>4394</v>
      </c>
      <c r="C137" t="s">
        <v>1343</v>
      </c>
      <c r="D137" t="s">
        <v>1345</v>
      </c>
      <c r="E137" t="s">
        <v>1466</v>
      </c>
      <c r="F137" t="s">
        <v>5554</v>
      </c>
    </row>
    <row r="138" spans="1:6" x14ac:dyDescent="0.25">
      <c r="A138" t="s">
        <v>4844</v>
      </c>
      <c r="B138">
        <v>36</v>
      </c>
      <c r="C138" t="s">
        <v>4469</v>
      </c>
      <c r="D138" t="s">
        <v>4858</v>
      </c>
      <c r="E138" t="s">
        <v>4859</v>
      </c>
      <c r="F138" t="s">
        <v>4406</v>
      </c>
    </row>
    <row r="139" spans="1:6" x14ac:dyDescent="0.25">
      <c r="A139" t="s">
        <v>4845</v>
      </c>
      <c r="B139">
        <v>230</v>
      </c>
      <c r="C139" t="s">
        <v>4787</v>
      </c>
      <c r="D139" t="s">
        <v>4612</v>
      </c>
      <c r="E139" t="s">
        <v>5003</v>
      </c>
      <c r="F139" t="s">
        <v>4902</v>
      </c>
    </row>
    <row r="140" spans="1:6" x14ac:dyDescent="0.25">
      <c r="A140" t="s">
        <v>4846</v>
      </c>
      <c r="B140">
        <v>31</v>
      </c>
      <c r="C140" t="s">
        <v>4608</v>
      </c>
      <c r="D140" t="s">
        <v>4563</v>
      </c>
      <c r="E140" t="s">
        <v>4858</v>
      </c>
      <c r="F140" t="s">
        <v>4406</v>
      </c>
    </row>
    <row r="141" spans="1:6" x14ac:dyDescent="0.25">
      <c r="A141" t="s">
        <v>1296</v>
      </c>
      <c r="B141">
        <v>297</v>
      </c>
      <c r="C141" t="s">
        <v>5572</v>
      </c>
      <c r="D141" t="s">
        <v>4598</v>
      </c>
      <c r="E141" t="s">
        <v>5318</v>
      </c>
      <c r="F141" t="s">
        <v>4410</v>
      </c>
    </row>
    <row r="143" spans="1:6" x14ac:dyDescent="0.25">
      <c r="A143" t="s">
        <v>5574</v>
      </c>
    </row>
    <row r="144" spans="1:6" x14ac:dyDescent="0.25">
      <c r="A144" t="s">
        <v>906</v>
      </c>
      <c r="B144" t="s">
        <v>4394</v>
      </c>
      <c r="C144" t="s">
        <v>1343</v>
      </c>
      <c r="D144" t="s">
        <v>1345</v>
      </c>
      <c r="E144" t="s">
        <v>1466</v>
      </c>
      <c r="F144" t="s">
        <v>5554</v>
      </c>
    </row>
    <row r="145" spans="1:6" x14ac:dyDescent="0.25">
      <c r="A145" t="s">
        <v>1338</v>
      </c>
      <c r="B145">
        <v>46</v>
      </c>
      <c r="C145" t="s">
        <v>4579</v>
      </c>
      <c r="D145" t="s">
        <v>4580</v>
      </c>
      <c r="E145" t="s">
        <v>4581</v>
      </c>
      <c r="F145" t="s">
        <v>4406</v>
      </c>
    </row>
    <row r="146" spans="1:6" x14ac:dyDescent="0.25">
      <c r="A146" t="s">
        <v>1370</v>
      </c>
      <c r="B146">
        <v>33</v>
      </c>
      <c r="C146" t="s">
        <v>4767</v>
      </c>
      <c r="D146" t="s">
        <v>5118</v>
      </c>
      <c r="E146" t="s">
        <v>4863</v>
      </c>
      <c r="F146" t="s">
        <v>4406</v>
      </c>
    </row>
    <row r="147" spans="1:6" x14ac:dyDescent="0.25">
      <c r="A147" t="s">
        <v>1439</v>
      </c>
      <c r="B147">
        <v>21</v>
      </c>
      <c r="C147" t="s">
        <v>4585</v>
      </c>
      <c r="D147" t="s">
        <v>4450</v>
      </c>
      <c r="E147" t="s">
        <v>4556</v>
      </c>
      <c r="F147" t="s">
        <v>4406</v>
      </c>
    </row>
    <row r="148" spans="1:6" x14ac:dyDescent="0.25">
      <c r="A148" t="s">
        <v>1476</v>
      </c>
      <c r="B148">
        <v>71</v>
      </c>
      <c r="C148" t="s">
        <v>5327</v>
      </c>
      <c r="D148" t="s">
        <v>4704</v>
      </c>
      <c r="E148" t="s">
        <v>4701</v>
      </c>
      <c r="F148" t="s">
        <v>4649</v>
      </c>
    </row>
    <row r="149" spans="1:6" x14ac:dyDescent="0.25">
      <c r="A149" t="s">
        <v>5476</v>
      </c>
      <c r="B149">
        <v>6</v>
      </c>
      <c r="C149" t="s">
        <v>4468</v>
      </c>
      <c r="D149" t="s">
        <v>4596</v>
      </c>
      <c r="E149" t="s">
        <v>4465</v>
      </c>
      <c r="F149" t="s">
        <v>4406</v>
      </c>
    </row>
    <row r="150" spans="1:6" x14ac:dyDescent="0.25">
      <c r="A150" t="s">
        <v>1399</v>
      </c>
      <c r="B150">
        <v>44</v>
      </c>
      <c r="C150" t="s">
        <v>4588</v>
      </c>
      <c r="D150" t="s">
        <v>4589</v>
      </c>
      <c r="E150" t="s">
        <v>4568</v>
      </c>
      <c r="F150" t="s">
        <v>4406</v>
      </c>
    </row>
    <row r="151" spans="1:6" x14ac:dyDescent="0.25">
      <c r="A151" t="s">
        <v>1415</v>
      </c>
      <c r="B151">
        <v>76</v>
      </c>
      <c r="C151" t="s">
        <v>4590</v>
      </c>
      <c r="D151" t="s">
        <v>4529</v>
      </c>
      <c r="E151" t="s">
        <v>4591</v>
      </c>
      <c r="F151" t="s">
        <v>4406</v>
      </c>
    </row>
    <row r="152" spans="1:6" x14ac:dyDescent="0.25">
      <c r="A152" t="s">
        <v>1296</v>
      </c>
      <c r="B152">
        <v>297</v>
      </c>
      <c r="C152" t="s">
        <v>5572</v>
      </c>
      <c r="D152" t="s">
        <v>4598</v>
      </c>
      <c r="E152" t="s">
        <v>5318</v>
      </c>
      <c r="F152" t="s">
        <v>4410</v>
      </c>
    </row>
    <row r="154" spans="1:6" x14ac:dyDescent="0.25">
      <c r="A154" t="s">
        <v>5575</v>
      </c>
    </row>
    <row r="155" spans="1:6" x14ac:dyDescent="0.25">
      <c r="A155" t="s">
        <v>907</v>
      </c>
      <c r="B155" t="s">
        <v>4394</v>
      </c>
      <c r="C155" t="s">
        <v>1343</v>
      </c>
      <c r="D155" t="s">
        <v>1345</v>
      </c>
      <c r="E155" t="s">
        <v>1466</v>
      </c>
      <c r="F155" t="s">
        <v>5554</v>
      </c>
    </row>
    <row r="156" spans="1:6" x14ac:dyDescent="0.25">
      <c r="A156" t="s">
        <v>109</v>
      </c>
      <c r="B156">
        <v>257</v>
      </c>
      <c r="C156" t="s">
        <v>5427</v>
      </c>
      <c r="D156" t="s">
        <v>4612</v>
      </c>
      <c r="E156" t="s">
        <v>4546</v>
      </c>
      <c r="F156" t="s">
        <v>4417</v>
      </c>
    </row>
    <row r="157" spans="1:6" x14ac:dyDescent="0.25">
      <c r="A157" t="s">
        <v>192</v>
      </c>
      <c r="B157">
        <v>40</v>
      </c>
      <c r="C157" t="s">
        <v>4594</v>
      </c>
      <c r="D157" t="s">
        <v>4480</v>
      </c>
      <c r="E157" t="s">
        <v>4535</v>
      </c>
      <c r="F157" t="s">
        <v>4406</v>
      </c>
    </row>
    <row r="158" spans="1:6" x14ac:dyDescent="0.25">
      <c r="A158" t="s">
        <v>1296</v>
      </c>
      <c r="B158">
        <v>297</v>
      </c>
      <c r="C158" t="s">
        <v>5572</v>
      </c>
      <c r="D158" t="s">
        <v>4598</v>
      </c>
      <c r="E158" t="s">
        <v>5318</v>
      </c>
      <c r="F158" t="s">
        <v>4410</v>
      </c>
    </row>
    <row r="160" spans="1:6" x14ac:dyDescent="0.25">
      <c r="A160" t="s">
        <v>5576</v>
      </c>
    </row>
    <row r="161" spans="1:6" x14ac:dyDescent="0.25">
      <c r="A161" t="s">
        <v>1295</v>
      </c>
      <c r="B161" t="s">
        <v>4394</v>
      </c>
      <c r="C161" t="s">
        <v>1343</v>
      </c>
      <c r="D161" t="s">
        <v>1345</v>
      </c>
      <c r="E161" t="s">
        <v>1466</v>
      </c>
      <c r="F161" t="s">
        <v>5554</v>
      </c>
    </row>
    <row r="162" spans="1:6" x14ac:dyDescent="0.25">
      <c r="A162" t="s">
        <v>4395</v>
      </c>
      <c r="B162">
        <v>32</v>
      </c>
      <c r="C162" t="s">
        <v>4542</v>
      </c>
      <c r="D162" t="s">
        <v>4543</v>
      </c>
      <c r="E162" t="s">
        <v>4462</v>
      </c>
      <c r="F162" t="s">
        <v>4406</v>
      </c>
    </row>
    <row r="163" spans="1:6" x14ac:dyDescent="0.25">
      <c r="A163" t="s">
        <v>4396</v>
      </c>
      <c r="B163">
        <v>169</v>
      </c>
      <c r="C163" t="s">
        <v>5107</v>
      </c>
      <c r="D163" t="s">
        <v>4911</v>
      </c>
      <c r="E163" t="s">
        <v>4647</v>
      </c>
      <c r="F163" t="s">
        <v>4422</v>
      </c>
    </row>
    <row r="164" spans="1:6" x14ac:dyDescent="0.25">
      <c r="A164" t="s">
        <v>4397</v>
      </c>
      <c r="B164">
        <v>2</v>
      </c>
      <c r="C164" t="s">
        <v>4454</v>
      </c>
      <c r="D164" t="s">
        <v>4406</v>
      </c>
      <c r="E164" t="s">
        <v>4406</v>
      </c>
      <c r="F164" t="s">
        <v>4406</v>
      </c>
    </row>
    <row r="165" spans="1:6" x14ac:dyDescent="0.25">
      <c r="A165" t="s">
        <v>4398</v>
      </c>
      <c r="B165">
        <v>92</v>
      </c>
      <c r="C165" t="s">
        <v>4547</v>
      </c>
      <c r="D165" t="s">
        <v>4548</v>
      </c>
      <c r="E165" t="s">
        <v>4549</v>
      </c>
      <c r="F165" t="s">
        <v>4406</v>
      </c>
    </row>
    <row r="166" spans="1:6" x14ac:dyDescent="0.25">
      <c r="A166" t="s">
        <v>4399</v>
      </c>
      <c r="B166">
        <v>2</v>
      </c>
      <c r="C166" t="s">
        <v>4406</v>
      </c>
      <c r="D166" t="s">
        <v>4406</v>
      </c>
      <c r="E166" t="s">
        <v>4454</v>
      </c>
      <c r="F166" t="s">
        <v>4406</v>
      </c>
    </row>
    <row r="167" spans="1:6" x14ac:dyDescent="0.25">
      <c r="A167" t="s">
        <v>1296</v>
      </c>
      <c r="B167">
        <v>297</v>
      </c>
      <c r="C167" t="s">
        <v>5572</v>
      </c>
      <c r="D167" t="s">
        <v>4598</v>
      </c>
      <c r="E167" t="s">
        <v>5318</v>
      </c>
      <c r="F167" t="s">
        <v>4410</v>
      </c>
    </row>
    <row r="169" spans="1:6" x14ac:dyDescent="0.25">
      <c r="A169" t="s">
        <v>5577</v>
      </c>
    </row>
    <row r="170" spans="1:6" x14ac:dyDescent="0.25">
      <c r="A170" t="s">
        <v>910</v>
      </c>
      <c r="B170" t="s">
        <v>4394</v>
      </c>
      <c r="C170" t="s">
        <v>1343</v>
      </c>
      <c r="D170" t="s">
        <v>1345</v>
      </c>
      <c r="E170" t="s">
        <v>1466</v>
      </c>
      <c r="F170" t="s">
        <v>5554</v>
      </c>
    </row>
    <row r="171" spans="1:6" x14ac:dyDescent="0.25">
      <c r="A171" t="s">
        <v>1371</v>
      </c>
      <c r="B171">
        <v>42</v>
      </c>
      <c r="C171" t="s">
        <v>5103</v>
      </c>
      <c r="D171" t="s">
        <v>4465</v>
      </c>
      <c r="E171" t="s">
        <v>4785</v>
      </c>
      <c r="F171" t="s">
        <v>4424</v>
      </c>
    </row>
    <row r="172" spans="1:6" x14ac:dyDescent="0.25">
      <c r="A172" t="s">
        <v>1452</v>
      </c>
      <c r="B172">
        <v>18</v>
      </c>
      <c r="C172" t="s">
        <v>4468</v>
      </c>
      <c r="D172" t="s">
        <v>4570</v>
      </c>
      <c r="E172" t="s">
        <v>4571</v>
      </c>
      <c r="F172" t="s">
        <v>4406</v>
      </c>
    </row>
    <row r="173" spans="1:6" x14ac:dyDescent="0.25">
      <c r="A173" t="s">
        <v>5560</v>
      </c>
      <c r="B173">
        <v>59</v>
      </c>
      <c r="C173" t="s">
        <v>4595</v>
      </c>
      <c r="D173" t="s">
        <v>4541</v>
      </c>
      <c r="E173" t="s">
        <v>5248</v>
      </c>
      <c r="F173" t="s">
        <v>4406</v>
      </c>
    </row>
    <row r="174" spans="1:6" x14ac:dyDescent="0.25">
      <c r="A174" t="s">
        <v>1424</v>
      </c>
      <c r="B174">
        <v>120</v>
      </c>
      <c r="C174" t="s">
        <v>4688</v>
      </c>
      <c r="D174" t="s">
        <v>4462</v>
      </c>
      <c r="E174" t="s">
        <v>4643</v>
      </c>
      <c r="F174" t="s">
        <v>4417</v>
      </c>
    </row>
    <row r="175" spans="1:6" x14ac:dyDescent="0.25">
      <c r="A175" t="s">
        <v>1340</v>
      </c>
      <c r="B175">
        <v>31</v>
      </c>
      <c r="C175" t="s">
        <v>4577</v>
      </c>
      <c r="D175" t="s">
        <v>4578</v>
      </c>
      <c r="E175" t="s">
        <v>4564</v>
      </c>
      <c r="F175" t="s">
        <v>4406</v>
      </c>
    </row>
    <row r="176" spans="1:6" x14ac:dyDescent="0.25">
      <c r="A176" t="s">
        <v>5561</v>
      </c>
      <c r="B176">
        <v>8</v>
      </c>
      <c r="C176" t="s">
        <v>4602</v>
      </c>
      <c r="D176" t="s">
        <v>4479</v>
      </c>
      <c r="E176" t="s">
        <v>4462</v>
      </c>
      <c r="F176" t="s">
        <v>4406</v>
      </c>
    </row>
    <row r="177" spans="1:6" x14ac:dyDescent="0.25">
      <c r="A177" t="s">
        <v>1416</v>
      </c>
      <c r="B177">
        <v>19</v>
      </c>
      <c r="C177" t="s">
        <v>4407</v>
      </c>
      <c r="D177" t="s">
        <v>4504</v>
      </c>
      <c r="E177" t="s">
        <v>4406</v>
      </c>
      <c r="F177" t="s">
        <v>4406</v>
      </c>
    </row>
    <row r="178" spans="1:6" x14ac:dyDescent="0.25">
      <c r="A178" t="s">
        <v>1296</v>
      </c>
      <c r="B178">
        <v>297</v>
      </c>
      <c r="C178" t="s">
        <v>5572</v>
      </c>
      <c r="D178" t="s">
        <v>4598</v>
      </c>
      <c r="E178" t="s">
        <v>5318</v>
      </c>
      <c r="F178" t="s">
        <v>4410</v>
      </c>
    </row>
    <row r="180" spans="1:6" x14ac:dyDescent="0.25">
      <c r="A180" t="s">
        <v>5578</v>
      </c>
    </row>
    <row r="181" spans="1:6" x14ac:dyDescent="0.25">
      <c r="A181" t="s">
        <v>928</v>
      </c>
      <c r="B181" t="s">
        <v>4394</v>
      </c>
      <c r="C181" t="s">
        <v>1343</v>
      </c>
      <c r="D181" t="s">
        <v>1345</v>
      </c>
      <c r="E181" t="s">
        <v>1466</v>
      </c>
      <c r="F181" t="s">
        <v>5554</v>
      </c>
    </row>
    <row r="182" spans="1:6" x14ac:dyDescent="0.25">
      <c r="A182" t="s">
        <v>4433</v>
      </c>
      <c r="B182">
        <v>5</v>
      </c>
      <c r="C182" t="s">
        <v>4457</v>
      </c>
      <c r="D182" t="s">
        <v>4458</v>
      </c>
      <c r="E182" t="s">
        <v>4406</v>
      </c>
      <c r="F182" t="s">
        <v>4406</v>
      </c>
    </row>
    <row r="183" spans="1:6" x14ac:dyDescent="0.25">
      <c r="A183" t="s">
        <v>4434</v>
      </c>
      <c r="B183">
        <v>119</v>
      </c>
      <c r="C183" t="s">
        <v>4550</v>
      </c>
      <c r="D183" t="s">
        <v>4551</v>
      </c>
      <c r="E183" t="s">
        <v>4552</v>
      </c>
      <c r="F183" t="s">
        <v>4406</v>
      </c>
    </row>
    <row r="184" spans="1:6" x14ac:dyDescent="0.25">
      <c r="A184" t="s">
        <v>4435</v>
      </c>
      <c r="B184">
        <v>90</v>
      </c>
      <c r="C184" t="s">
        <v>5107</v>
      </c>
      <c r="D184" t="s">
        <v>4415</v>
      </c>
      <c r="E184" t="s">
        <v>5182</v>
      </c>
      <c r="F184" t="s">
        <v>4825</v>
      </c>
    </row>
    <row r="185" spans="1:6" x14ac:dyDescent="0.25">
      <c r="A185" t="s">
        <v>4436</v>
      </c>
      <c r="B185">
        <v>81</v>
      </c>
      <c r="C185" t="s">
        <v>4683</v>
      </c>
      <c r="D185" t="s">
        <v>4619</v>
      </c>
      <c r="E185" t="s">
        <v>4708</v>
      </c>
      <c r="F185" t="s">
        <v>4422</v>
      </c>
    </row>
    <row r="186" spans="1:6" x14ac:dyDescent="0.25">
      <c r="A186" t="s">
        <v>4437</v>
      </c>
      <c r="B186">
        <v>2</v>
      </c>
      <c r="C186" t="s">
        <v>4468</v>
      </c>
      <c r="D186" t="s">
        <v>4468</v>
      </c>
      <c r="E186" t="s">
        <v>4406</v>
      </c>
      <c r="F186" t="s">
        <v>4406</v>
      </c>
    </row>
    <row r="187" spans="1:6" x14ac:dyDescent="0.25">
      <c r="A187" t="s">
        <v>1296</v>
      </c>
      <c r="B187">
        <v>297</v>
      </c>
      <c r="C187" t="s">
        <v>5572</v>
      </c>
      <c r="D187" t="s">
        <v>4598</v>
      </c>
      <c r="E187" t="s">
        <v>5318</v>
      </c>
      <c r="F187" t="s">
        <v>4410</v>
      </c>
    </row>
    <row r="189" spans="1:6" x14ac:dyDescent="0.25">
      <c r="A189" t="s">
        <v>5579</v>
      </c>
    </row>
    <row r="190" spans="1:6" x14ac:dyDescent="0.25">
      <c r="A190" t="s">
        <v>913</v>
      </c>
      <c r="B190" t="s">
        <v>4394</v>
      </c>
      <c r="C190" t="s">
        <v>1343</v>
      </c>
      <c r="D190" t="s">
        <v>1345</v>
      </c>
      <c r="E190" t="s">
        <v>1466</v>
      </c>
      <c r="F190" t="s">
        <v>5554</v>
      </c>
    </row>
    <row r="191" spans="1:6" x14ac:dyDescent="0.25">
      <c r="A191" t="s">
        <v>1561</v>
      </c>
      <c r="B191">
        <v>3</v>
      </c>
      <c r="C191" t="s">
        <v>4454</v>
      </c>
      <c r="D191" t="s">
        <v>4406</v>
      </c>
      <c r="E191" t="s">
        <v>4406</v>
      </c>
      <c r="F191" t="s">
        <v>4406</v>
      </c>
    </row>
    <row r="192" spans="1:6" x14ac:dyDescent="0.25">
      <c r="A192" t="s">
        <v>1460</v>
      </c>
      <c r="B192">
        <v>67</v>
      </c>
      <c r="C192" t="s">
        <v>4557</v>
      </c>
      <c r="D192" t="s">
        <v>4558</v>
      </c>
      <c r="E192" t="s">
        <v>4559</v>
      </c>
      <c r="F192" t="s">
        <v>4406</v>
      </c>
    </row>
    <row r="193" spans="1:6" x14ac:dyDescent="0.25">
      <c r="A193" t="s">
        <v>1342</v>
      </c>
      <c r="B193">
        <v>67</v>
      </c>
      <c r="C193" t="s">
        <v>4748</v>
      </c>
      <c r="D193" t="s">
        <v>4507</v>
      </c>
      <c r="E193" t="s">
        <v>4507</v>
      </c>
      <c r="F193" t="s">
        <v>4680</v>
      </c>
    </row>
    <row r="194" spans="1:6" x14ac:dyDescent="0.25">
      <c r="A194" t="s">
        <v>1375</v>
      </c>
      <c r="B194">
        <v>93</v>
      </c>
      <c r="C194" t="s">
        <v>4562</v>
      </c>
      <c r="D194" t="s">
        <v>4563</v>
      </c>
      <c r="E194" t="s">
        <v>4564</v>
      </c>
      <c r="F194" t="s">
        <v>4406</v>
      </c>
    </row>
    <row r="195" spans="1:6" x14ac:dyDescent="0.25">
      <c r="A195" t="s">
        <v>1401</v>
      </c>
      <c r="B195">
        <v>66</v>
      </c>
      <c r="C195" t="s">
        <v>4452</v>
      </c>
      <c r="D195" t="s">
        <v>4766</v>
      </c>
      <c r="E195" t="s">
        <v>4453</v>
      </c>
      <c r="F195" t="s">
        <v>4680</v>
      </c>
    </row>
    <row r="196" spans="1:6" x14ac:dyDescent="0.25">
      <c r="A196" t="s">
        <v>1682</v>
      </c>
      <c r="B196">
        <v>1</v>
      </c>
      <c r="C196" t="s">
        <v>4406</v>
      </c>
      <c r="D196" t="s">
        <v>4454</v>
      </c>
      <c r="E196" t="s">
        <v>4406</v>
      </c>
      <c r="F196" t="s">
        <v>4406</v>
      </c>
    </row>
    <row r="197" spans="1:6" x14ac:dyDescent="0.25">
      <c r="A197" t="s">
        <v>1296</v>
      </c>
      <c r="B197">
        <v>297</v>
      </c>
      <c r="C197" t="s">
        <v>5572</v>
      </c>
      <c r="D197" t="s">
        <v>4598</v>
      </c>
      <c r="E197" t="s">
        <v>5318</v>
      </c>
      <c r="F197" t="s">
        <v>4410</v>
      </c>
    </row>
    <row r="199" spans="1:6" x14ac:dyDescent="0.25">
      <c r="A199" t="s">
        <v>5580</v>
      </c>
    </row>
    <row r="200" spans="1:6" x14ac:dyDescent="0.25">
      <c r="A200" t="s">
        <v>5481</v>
      </c>
      <c r="B200" t="s">
        <v>4394</v>
      </c>
      <c r="C200" t="s">
        <v>1343</v>
      </c>
      <c r="D200" t="s">
        <v>1345</v>
      </c>
      <c r="E200" t="s">
        <v>1466</v>
      </c>
      <c r="F200" t="s">
        <v>5554</v>
      </c>
    </row>
    <row r="201" spans="1:6" x14ac:dyDescent="0.25">
      <c r="A201" t="s">
        <v>4438</v>
      </c>
      <c r="B201">
        <v>129</v>
      </c>
      <c r="C201" t="s">
        <v>4683</v>
      </c>
      <c r="D201" t="s">
        <v>5155</v>
      </c>
      <c r="E201" t="s">
        <v>4498</v>
      </c>
      <c r="F201" t="s">
        <v>4635</v>
      </c>
    </row>
    <row r="202" spans="1:6" x14ac:dyDescent="0.25">
      <c r="A202" t="s">
        <v>4439</v>
      </c>
      <c r="B202">
        <v>93</v>
      </c>
      <c r="C202" t="s">
        <v>4577</v>
      </c>
      <c r="D202" t="s">
        <v>4420</v>
      </c>
      <c r="E202" t="s">
        <v>4858</v>
      </c>
      <c r="F202" t="s">
        <v>4406</v>
      </c>
    </row>
    <row r="203" spans="1:6" x14ac:dyDescent="0.25">
      <c r="A203" t="s">
        <v>1400</v>
      </c>
      <c r="B203">
        <v>5</v>
      </c>
      <c r="C203" t="s">
        <v>4458</v>
      </c>
      <c r="D203" t="s">
        <v>4472</v>
      </c>
      <c r="E203" t="s">
        <v>4458</v>
      </c>
      <c r="F203" t="s">
        <v>4406</v>
      </c>
    </row>
    <row r="204" spans="1:6" x14ac:dyDescent="0.25">
      <c r="A204" t="s">
        <v>5566</v>
      </c>
      <c r="B204">
        <v>36</v>
      </c>
      <c r="C204" t="s">
        <v>4469</v>
      </c>
      <c r="D204" t="s">
        <v>4858</v>
      </c>
      <c r="E204" t="s">
        <v>4859</v>
      </c>
      <c r="F204" t="s">
        <v>4406</v>
      </c>
    </row>
    <row r="205" spans="1:6" x14ac:dyDescent="0.25">
      <c r="A205" t="s">
        <v>1372</v>
      </c>
      <c r="B205">
        <v>34</v>
      </c>
      <c r="C205" t="s">
        <v>4822</v>
      </c>
      <c r="D205" t="s">
        <v>4616</v>
      </c>
      <c r="E205" t="s">
        <v>4616</v>
      </c>
      <c r="F205" t="s">
        <v>4406</v>
      </c>
    </row>
    <row r="206" spans="1:6" x14ac:dyDescent="0.25">
      <c r="A206" t="s">
        <v>1296</v>
      </c>
      <c r="B206">
        <v>297</v>
      </c>
      <c r="C206" t="s">
        <v>5572</v>
      </c>
      <c r="D206" t="s">
        <v>4598</v>
      </c>
      <c r="E206" t="s">
        <v>5318</v>
      </c>
      <c r="F206" t="s">
        <v>4410</v>
      </c>
    </row>
    <row r="208" spans="1:6" x14ac:dyDescent="0.25">
      <c r="A208" t="s">
        <v>5581</v>
      </c>
    </row>
    <row r="209" spans="1:6" x14ac:dyDescent="0.25">
      <c r="A209" t="s">
        <v>911</v>
      </c>
      <c r="B209" t="s">
        <v>4394</v>
      </c>
      <c r="C209" t="s">
        <v>1343</v>
      </c>
      <c r="D209" t="s">
        <v>1345</v>
      </c>
      <c r="E209" t="s">
        <v>1466</v>
      </c>
      <c r="F209" t="s">
        <v>5554</v>
      </c>
    </row>
    <row r="210" spans="1:6" x14ac:dyDescent="0.25">
      <c r="A210" t="s">
        <v>4438</v>
      </c>
      <c r="B210">
        <v>122</v>
      </c>
      <c r="C210" t="s">
        <v>4608</v>
      </c>
      <c r="D210" t="s">
        <v>4453</v>
      </c>
      <c r="E210" t="s">
        <v>4573</v>
      </c>
      <c r="F210" t="s">
        <v>4635</v>
      </c>
    </row>
    <row r="211" spans="1:6" x14ac:dyDescent="0.25">
      <c r="A211" t="s">
        <v>4439</v>
      </c>
      <c r="B211">
        <v>79</v>
      </c>
      <c r="C211" t="s">
        <v>4597</v>
      </c>
      <c r="D211" t="s">
        <v>4598</v>
      </c>
      <c r="E211" t="s">
        <v>4599</v>
      </c>
      <c r="F211" t="s">
        <v>4406</v>
      </c>
    </row>
    <row r="212" spans="1:6" x14ac:dyDescent="0.25">
      <c r="A212" t="s">
        <v>1400</v>
      </c>
      <c r="B212">
        <v>19</v>
      </c>
      <c r="C212" t="s">
        <v>4466</v>
      </c>
      <c r="D212" t="s">
        <v>4600</v>
      </c>
      <c r="E212" t="s">
        <v>4601</v>
      </c>
      <c r="F212" t="s">
        <v>4406</v>
      </c>
    </row>
    <row r="213" spans="1:6" x14ac:dyDescent="0.25">
      <c r="A213" t="s">
        <v>1340</v>
      </c>
      <c r="B213">
        <v>31</v>
      </c>
      <c r="C213" t="s">
        <v>4577</v>
      </c>
      <c r="D213" t="s">
        <v>4578</v>
      </c>
      <c r="E213" t="s">
        <v>4564</v>
      </c>
      <c r="F213" t="s">
        <v>4406</v>
      </c>
    </row>
    <row r="214" spans="1:6" x14ac:dyDescent="0.25">
      <c r="A214" t="s">
        <v>1426</v>
      </c>
      <c r="B214">
        <v>8</v>
      </c>
      <c r="C214" t="s">
        <v>4602</v>
      </c>
      <c r="D214" t="s">
        <v>4479</v>
      </c>
      <c r="E214" t="s">
        <v>4462</v>
      </c>
      <c r="F214" t="s">
        <v>4406</v>
      </c>
    </row>
    <row r="215" spans="1:6" x14ac:dyDescent="0.25">
      <c r="A215" t="s">
        <v>1372</v>
      </c>
      <c r="B215">
        <v>38</v>
      </c>
      <c r="C215" t="s">
        <v>4603</v>
      </c>
      <c r="D215" t="s">
        <v>4524</v>
      </c>
      <c r="E215" t="s">
        <v>4527</v>
      </c>
      <c r="F215" t="s">
        <v>4406</v>
      </c>
    </row>
    <row r="216" spans="1:6" x14ac:dyDescent="0.25">
      <c r="A216" t="s">
        <v>1296</v>
      </c>
      <c r="B216">
        <v>297</v>
      </c>
      <c r="C216" t="s">
        <v>5572</v>
      </c>
      <c r="D216" t="s">
        <v>4598</v>
      </c>
      <c r="E216" t="s">
        <v>5318</v>
      </c>
      <c r="F216" t="s">
        <v>4410</v>
      </c>
    </row>
    <row r="218" spans="1:6" x14ac:dyDescent="0.25">
      <c r="A218" t="s">
        <v>5582</v>
      </c>
    </row>
    <row r="219" spans="1:6" x14ac:dyDescent="0.25">
      <c r="A219" t="s">
        <v>903</v>
      </c>
      <c r="B219" t="s">
        <v>4394</v>
      </c>
      <c r="C219" t="s">
        <v>1343</v>
      </c>
      <c r="D219" t="s">
        <v>1345</v>
      </c>
      <c r="E219" t="s">
        <v>1466</v>
      </c>
      <c r="F219" t="s">
        <v>5554</v>
      </c>
    </row>
    <row r="220" spans="1:6" x14ac:dyDescent="0.25">
      <c r="A220" t="s">
        <v>70</v>
      </c>
      <c r="B220">
        <v>85</v>
      </c>
      <c r="C220" t="s">
        <v>4618</v>
      </c>
      <c r="D220" t="s">
        <v>4593</v>
      </c>
      <c r="E220" t="s">
        <v>4619</v>
      </c>
      <c r="F220" t="s">
        <v>4406</v>
      </c>
    </row>
    <row r="221" spans="1:6" x14ac:dyDescent="0.25">
      <c r="A221" t="s">
        <v>71</v>
      </c>
      <c r="B221">
        <v>212</v>
      </c>
      <c r="C221" t="s">
        <v>5140</v>
      </c>
      <c r="D221" t="s">
        <v>4462</v>
      </c>
      <c r="E221" t="s">
        <v>4647</v>
      </c>
      <c r="F221" t="s">
        <v>4902</v>
      </c>
    </row>
    <row r="222" spans="1:6" x14ac:dyDescent="0.25">
      <c r="A222" t="s">
        <v>1296</v>
      </c>
      <c r="B222">
        <v>297</v>
      </c>
      <c r="C222" t="s">
        <v>5572</v>
      </c>
      <c r="D222" t="s">
        <v>4598</v>
      </c>
      <c r="E222" t="s">
        <v>5318</v>
      </c>
      <c r="F222" t="s">
        <v>4410</v>
      </c>
    </row>
    <row r="224" spans="1:6" x14ac:dyDescent="0.25">
      <c r="A224" t="s">
        <v>5583</v>
      </c>
    </row>
    <row r="225" spans="1:7" x14ac:dyDescent="0.25">
      <c r="A225" t="s">
        <v>903</v>
      </c>
      <c r="B225" t="s">
        <v>4394</v>
      </c>
      <c r="C225" t="s">
        <v>4428</v>
      </c>
      <c r="D225" t="s">
        <v>4429</v>
      </c>
      <c r="E225" t="s">
        <v>4430</v>
      </c>
      <c r="F225" t="s">
        <v>4431</v>
      </c>
      <c r="G225" t="s">
        <v>4432</v>
      </c>
    </row>
    <row r="226" spans="1:7" x14ac:dyDescent="0.25">
      <c r="A226" t="s">
        <v>70</v>
      </c>
      <c r="B226">
        <v>85</v>
      </c>
      <c r="C226">
        <v>492.51</v>
      </c>
      <c r="D226">
        <v>480</v>
      </c>
      <c r="E226">
        <v>300</v>
      </c>
      <c r="F226">
        <v>800</v>
      </c>
      <c r="G226">
        <v>41863</v>
      </c>
    </row>
    <row r="227" spans="1:7" x14ac:dyDescent="0.25">
      <c r="A227" t="s">
        <v>71</v>
      </c>
      <c r="B227">
        <v>210</v>
      </c>
      <c r="C227">
        <v>456.05</v>
      </c>
      <c r="D227">
        <v>400</v>
      </c>
      <c r="E227">
        <v>300</v>
      </c>
      <c r="F227">
        <v>800</v>
      </c>
      <c r="G227">
        <v>95770</v>
      </c>
    </row>
    <row r="228" spans="1:7" x14ac:dyDescent="0.25">
      <c r="A228" t="s">
        <v>1296</v>
      </c>
      <c r="B228">
        <v>295</v>
      </c>
      <c r="C228">
        <v>466.55</v>
      </c>
      <c r="D228">
        <v>400</v>
      </c>
      <c r="E228">
        <v>300</v>
      </c>
      <c r="F228">
        <v>800</v>
      </c>
      <c r="G228">
        <v>137633</v>
      </c>
    </row>
    <row r="230" spans="1:7" x14ac:dyDescent="0.25">
      <c r="A230" t="s">
        <v>5584</v>
      </c>
    </row>
    <row r="231" spans="1:7" x14ac:dyDescent="0.25">
      <c r="A231" t="s">
        <v>1297</v>
      </c>
      <c r="B231" t="s">
        <v>4394</v>
      </c>
      <c r="C231" t="s">
        <v>4620</v>
      </c>
      <c r="D231" t="s">
        <v>4621</v>
      </c>
      <c r="E231" t="s">
        <v>4622</v>
      </c>
      <c r="F231" t="s">
        <v>4623</v>
      </c>
      <c r="G231" t="s">
        <v>4624</v>
      </c>
    </row>
    <row r="232" spans="1:7" x14ac:dyDescent="0.25">
      <c r="A232" t="s">
        <v>5549</v>
      </c>
      <c r="B232">
        <v>198</v>
      </c>
      <c r="C232" t="s">
        <v>4625</v>
      </c>
      <c r="D232" t="s">
        <v>4465</v>
      </c>
      <c r="E232" t="s">
        <v>4532</v>
      </c>
      <c r="F232" t="s">
        <v>4626</v>
      </c>
      <c r="G232" t="s">
        <v>4627</v>
      </c>
    </row>
    <row r="233" spans="1:7" x14ac:dyDescent="0.25">
      <c r="A233" t="s">
        <v>1397</v>
      </c>
      <c r="B233">
        <v>99</v>
      </c>
      <c r="C233" t="s">
        <v>4400</v>
      </c>
      <c r="D233" t="s">
        <v>4501</v>
      </c>
      <c r="E233" t="s">
        <v>4570</v>
      </c>
      <c r="F233" t="s">
        <v>4626</v>
      </c>
      <c r="G233" t="s">
        <v>4625</v>
      </c>
    </row>
    <row r="234" spans="1:7" x14ac:dyDescent="0.25">
      <c r="A234" t="s">
        <v>1296</v>
      </c>
      <c r="B234">
        <v>297</v>
      </c>
      <c r="C234" t="s">
        <v>4628</v>
      </c>
      <c r="D234" t="s">
        <v>4629</v>
      </c>
      <c r="E234" t="s">
        <v>4630</v>
      </c>
      <c r="F234" t="s">
        <v>4626</v>
      </c>
      <c r="G234" t="s">
        <v>4631</v>
      </c>
    </row>
    <row r="236" spans="1:7" x14ac:dyDescent="0.25">
      <c r="A236" t="s">
        <v>5585</v>
      </c>
    </row>
    <row r="237" spans="1:7" x14ac:dyDescent="0.25">
      <c r="A237" t="s">
        <v>905</v>
      </c>
      <c r="B237" t="s">
        <v>4394</v>
      </c>
      <c r="C237" t="s">
        <v>4620</v>
      </c>
      <c r="D237" t="s">
        <v>4621</v>
      </c>
      <c r="E237" t="s">
        <v>4622</v>
      </c>
      <c r="F237" t="s">
        <v>4623</v>
      </c>
      <c r="G237" t="s">
        <v>4624</v>
      </c>
    </row>
    <row r="238" spans="1:7" x14ac:dyDescent="0.25">
      <c r="A238" t="s">
        <v>4844</v>
      </c>
      <c r="B238">
        <v>36</v>
      </c>
      <c r="C238" t="s">
        <v>4676</v>
      </c>
      <c r="D238" t="s">
        <v>4596</v>
      </c>
      <c r="E238" t="s">
        <v>5425</v>
      </c>
      <c r="F238" t="s">
        <v>4406</v>
      </c>
      <c r="G238" t="s">
        <v>4943</v>
      </c>
    </row>
    <row r="239" spans="1:7" x14ac:dyDescent="0.25">
      <c r="A239" t="s">
        <v>4845</v>
      </c>
      <c r="B239">
        <v>230</v>
      </c>
      <c r="C239" t="s">
        <v>4494</v>
      </c>
      <c r="D239" t="s">
        <v>4513</v>
      </c>
      <c r="E239" t="s">
        <v>5158</v>
      </c>
      <c r="F239" t="s">
        <v>4692</v>
      </c>
      <c r="G239" t="s">
        <v>4943</v>
      </c>
    </row>
    <row r="240" spans="1:7" x14ac:dyDescent="0.25">
      <c r="A240" t="s">
        <v>4846</v>
      </c>
      <c r="B240">
        <v>31</v>
      </c>
      <c r="C240" t="s">
        <v>4420</v>
      </c>
      <c r="D240" t="s">
        <v>5111</v>
      </c>
      <c r="E240" t="s">
        <v>4862</v>
      </c>
      <c r="F240" t="s">
        <v>4406</v>
      </c>
      <c r="G240" t="s">
        <v>4420</v>
      </c>
    </row>
    <row r="241" spans="1:7" x14ac:dyDescent="0.25">
      <c r="A241" t="s">
        <v>1296</v>
      </c>
      <c r="B241">
        <v>297</v>
      </c>
      <c r="C241" t="s">
        <v>4628</v>
      </c>
      <c r="D241" t="s">
        <v>4629</v>
      </c>
      <c r="E241" t="s">
        <v>4630</v>
      </c>
      <c r="F241" t="s">
        <v>4626</v>
      </c>
      <c r="G241" t="s">
        <v>4631</v>
      </c>
    </row>
    <row r="243" spans="1:7" x14ac:dyDescent="0.25">
      <c r="A243" t="s">
        <v>5586</v>
      </c>
    </row>
    <row r="244" spans="1:7" x14ac:dyDescent="0.25">
      <c r="A244" t="s">
        <v>906</v>
      </c>
      <c r="B244" t="s">
        <v>4394</v>
      </c>
      <c r="C244" t="s">
        <v>4620</v>
      </c>
      <c r="D244" t="s">
        <v>4621</v>
      </c>
      <c r="E244" t="s">
        <v>4622</v>
      </c>
      <c r="F244" t="s">
        <v>4623</v>
      </c>
      <c r="G244" t="s">
        <v>4624</v>
      </c>
    </row>
    <row r="245" spans="1:7" x14ac:dyDescent="0.25">
      <c r="A245" t="s">
        <v>1338</v>
      </c>
      <c r="B245">
        <v>46</v>
      </c>
      <c r="C245" t="s">
        <v>4681</v>
      </c>
      <c r="D245" t="s">
        <v>4682</v>
      </c>
      <c r="E245" t="s">
        <v>4683</v>
      </c>
      <c r="F245" t="s">
        <v>4667</v>
      </c>
      <c r="G245" t="s">
        <v>4684</v>
      </c>
    </row>
    <row r="246" spans="1:7" x14ac:dyDescent="0.25">
      <c r="A246" t="s">
        <v>1370</v>
      </c>
      <c r="B246">
        <v>33</v>
      </c>
      <c r="C246" t="s">
        <v>4451</v>
      </c>
      <c r="D246" t="s">
        <v>4451</v>
      </c>
      <c r="E246" t="s">
        <v>4452</v>
      </c>
      <c r="F246" t="s">
        <v>4406</v>
      </c>
      <c r="G246" t="s">
        <v>4741</v>
      </c>
    </row>
    <row r="247" spans="1:7" x14ac:dyDescent="0.25">
      <c r="A247" t="s">
        <v>1439</v>
      </c>
      <c r="B247">
        <v>21</v>
      </c>
      <c r="C247" t="s">
        <v>4522</v>
      </c>
      <c r="D247" t="s">
        <v>4497</v>
      </c>
      <c r="E247" t="s">
        <v>4450</v>
      </c>
      <c r="F247" t="s">
        <v>4675</v>
      </c>
      <c r="G247" t="s">
        <v>4675</v>
      </c>
    </row>
    <row r="248" spans="1:7" x14ac:dyDescent="0.25">
      <c r="A248" t="s">
        <v>1476</v>
      </c>
      <c r="B248">
        <v>71</v>
      </c>
      <c r="C248" t="s">
        <v>4414</v>
      </c>
      <c r="D248" t="s">
        <v>4687</v>
      </c>
      <c r="E248" t="s">
        <v>4688</v>
      </c>
      <c r="F248" t="s">
        <v>4406</v>
      </c>
      <c r="G248" t="s">
        <v>4414</v>
      </c>
    </row>
    <row r="249" spans="1:7" x14ac:dyDescent="0.25">
      <c r="A249" t="s">
        <v>5476</v>
      </c>
      <c r="B249">
        <v>6</v>
      </c>
      <c r="C249" t="s">
        <v>4406</v>
      </c>
      <c r="D249" t="s">
        <v>4465</v>
      </c>
      <c r="E249" t="s">
        <v>4465</v>
      </c>
      <c r="F249" t="s">
        <v>4406</v>
      </c>
      <c r="G249" t="s">
        <v>4465</v>
      </c>
    </row>
    <row r="250" spans="1:7" x14ac:dyDescent="0.25">
      <c r="A250" t="s">
        <v>1399</v>
      </c>
      <c r="B250">
        <v>44</v>
      </c>
      <c r="C250" t="s">
        <v>4689</v>
      </c>
      <c r="D250" t="s">
        <v>4492</v>
      </c>
      <c r="E250" t="s">
        <v>4690</v>
      </c>
      <c r="F250" t="s">
        <v>4691</v>
      </c>
      <c r="G250" t="s">
        <v>4589</v>
      </c>
    </row>
    <row r="251" spans="1:7" x14ac:dyDescent="0.25">
      <c r="A251" t="s">
        <v>1415</v>
      </c>
      <c r="B251">
        <v>76</v>
      </c>
      <c r="C251" t="s">
        <v>4527</v>
      </c>
      <c r="D251" t="s">
        <v>4523</v>
      </c>
      <c r="E251" t="s">
        <v>4506</v>
      </c>
      <c r="F251" t="s">
        <v>4692</v>
      </c>
      <c r="G251" t="s">
        <v>4640</v>
      </c>
    </row>
    <row r="252" spans="1:7" x14ac:dyDescent="0.25">
      <c r="A252" t="s">
        <v>1296</v>
      </c>
      <c r="B252">
        <v>297</v>
      </c>
      <c r="C252" t="s">
        <v>4628</v>
      </c>
      <c r="D252" t="s">
        <v>4629</v>
      </c>
      <c r="E252" t="s">
        <v>4630</v>
      </c>
      <c r="F252" t="s">
        <v>4626</v>
      </c>
      <c r="G252" t="s">
        <v>4631</v>
      </c>
    </row>
    <row r="254" spans="1:7" x14ac:dyDescent="0.25">
      <c r="A254" t="s">
        <v>5587</v>
      </c>
    </row>
    <row r="255" spans="1:7" x14ac:dyDescent="0.25">
      <c r="A255" t="s">
        <v>907</v>
      </c>
      <c r="B255" t="s">
        <v>4394</v>
      </c>
      <c r="C255" t="s">
        <v>4620</v>
      </c>
      <c r="D255" t="s">
        <v>4621</v>
      </c>
      <c r="E255" t="s">
        <v>4622</v>
      </c>
      <c r="F255" t="s">
        <v>4623</v>
      </c>
      <c r="G255" t="s">
        <v>4624</v>
      </c>
    </row>
    <row r="256" spans="1:7" x14ac:dyDescent="0.25">
      <c r="A256" t="s">
        <v>109</v>
      </c>
      <c r="B256">
        <v>257</v>
      </c>
      <c r="C256" t="s">
        <v>4693</v>
      </c>
      <c r="D256" t="s">
        <v>4509</v>
      </c>
      <c r="E256" t="s">
        <v>4694</v>
      </c>
      <c r="F256" t="s">
        <v>4695</v>
      </c>
      <c r="G256" t="s">
        <v>4696</v>
      </c>
    </row>
    <row r="257" spans="1:7" x14ac:dyDescent="0.25">
      <c r="A257" t="s">
        <v>192</v>
      </c>
      <c r="B257">
        <v>40</v>
      </c>
      <c r="C257" t="s">
        <v>4480</v>
      </c>
      <c r="D257" t="s">
        <v>4535</v>
      </c>
      <c r="E257" t="s">
        <v>4489</v>
      </c>
      <c r="F257" t="s">
        <v>4645</v>
      </c>
      <c r="G257" t="s">
        <v>4479</v>
      </c>
    </row>
    <row r="258" spans="1:7" x14ac:dyDescent="0.25">
      <c r="A258" t="s">
        <v>1296</v>
      </c>
      <c r="B258">
        <v>297</v>
      </c>
      <c r="C258" t="s">
        <v>4628</v>
      </c>
      <c r="D258" t="s">
        <v>4629</v>
      </c>
      <c r="E258" t="s">
        <v>4630</v>
      </c>
      <c r="F258" t="s">
        <v>4626</v>
      </c>
      <c r="G258" t="s">
        <v>4631</v>
      </c>
    </row>
    <row r="260" spans="1:7" x14ac:dyDescent="0.25">
      <c r="A260" t="s">
        <v>5588</v>
      </c>
    </row>
    <row r="261" spans="1:7" x14ac:dyDescent="0.25">
      <c r="A261" t="s">
        <v>910</v>
      </c>
      <c r="B261" t="s">
        <v>4394</v>
      </c>
      <c r="C261" t="s">
        <v>4620</v>
      </c>
      <c r="D261" t="s">
        <v>4621</v>
      </c>
      <c r="E261" t="s">
        <v>4622</v>
      </c>
      <c r="F261" t="s">
        <v>4623</v>
      </c>
      <c r="G261" t="s">
        <v>4624</v>
      </c>
    </row>
    <row r="262" spans="1:7" x14ac:dyDescent="0.25">
      <c r="A262" t="s">
        <v>1371</v>
      </c>
      <c r="B262">
        <v>42</v>
      </c>
      <c r="C262" t="s">
        <v>4522</v>
      </c>
      <c r="D262" t="s">
        <v>4674</v>
      </c>
      <c r="E262" t="s">
        <v>4468</v>
      </c>
      <c r="F262" t="s">
        <v>4406</v>
      </c>
      <c r="G262" t="s">
        <v>4675</v>
      </c>
    </row>
    <row r="263" spans="1:7" x14ac:dyDescent="0.25">
      <c r="A263" t="s">
        <v>1452</v>
      </c>
      <c r="B263">
        <v>18</v>
      </c>
      <c r="C263" t="s">
        <v>4596</v>
      </c>
      <c r="D263" t="s">
        <v>4468</v>
      </c>
      <c r="E263" t="s">
        <v>4596</v>
      </c>
      <c r="F263" t="s">
        <v>4676</v>
      </c>
      <c r="G263" t="s">
        <v>4571</v>
      </c>
    </row>
    <row r="264" spans="1:7" x14ac:dyDescent="0.25">
      <c r="A264" t="s">
        <v>5560</v>
      </c>
      <c r="B264">
        <v>59</v>
      </c>
      <c r="C264" t="s">
        <v>4925</v>
      </c>
      <c r="D264" t="s">
        <v>4769</v>
      </c>
      <c r="E264" t="s">
        <v>4484</v>
      </c>
      <c r="F264" t="s">
        <v>4419</v>
      </c>
      <c r="G264" t="s">
        <v>4703</v>
      </c>
    </row>
    <row r="265" spans="1:7" x14ac:dyDescent="0.25">
      <c r="A265" t="s">
        <v>1424</v>
      </c>
      <c r="B265">
        <v>120</v>
      </c>
      <c r="C265" t="s">
        <v>4408</v>
      </c>
      <c r="D265" t="s">
        <v>4567</v>
      </c>
      <c r="E265" t="s">
        <v>4484</v>
      </c>
      <c r="F265" t="s">
        <v>4645</v>
      </c>
      <c r="G265" t="s">
        <v>4416</v>
      </c>
    </row>
    <row r="266" spans="1:7" x14ac:dyDescent="0.25">
      <c r="A266" t="s">
        <v>1340</v>
      </c>
      <c r="B266">
        <v>31</v>
      </c>
      <c r="C266" t="s">
        <v>4641</v>
      </c>
      <c r="D266" t="s">
        <v>4642</v>
      </c>
      <c r="E266" t="s">
        <v>4578</v>
      </c>
      <c r="F266" t="s">
        <v>4564</v>
      </c>
      <c r="G266" t="s">
        <v>4641</v>
      </c>
    </row>
    <row r="267" spans="1:7" x14ac:dyDescent="0.25">
      <c r="A267" t="s">
        <v>5561</v>
      </c>
      <c r="B267">
        <v>8</v>
      </c>
      <c r="C267" t="s">
        <v>4479</v>
      </c>
      <c r="D267" t="s">
        <v>4481</v>
      </c>
      <c r="E267" t="s">
        <v>4468</v>
      </c>
      <c r="F267" t="s">
        <v>4406</v>
      </c>
      <c r="G267" t="s">
        <v>4406</v>
      </c>
    </row>
    <row r="268" spans="1:7" x14ac:dyDescent="0.25">
      <c r="A268" t="s">
        <v>1416</v>
      </c>
      <c r="B268">
        <v>19</v>
      </c>
      <c r="C268" t="s">
        <v>4504</v>
      </c>
      <c r="D268" t="s">
        <v>4601</v>
      </c>
      <c r="E268" t="s">
        <v>4504</v>
      </c>
      <c r="F268" t="s">
        <v>4406</v>
      </c>
      <c r="G268" t="s">
        <v>4640</v>
      </c>
    </row>
    <row r="269" spans="1:7" x14ac:dyDescent="0.25">
      <c r="A269" t="s">
        <v>1296</v>
      </c>
      <c r="B269">
        <v>297</v>
      </c>
      <c r="C269" t="s">
        <v>4628</v>
      </c>
      <c r="D269" t="s">
        <v>4629</v>
      </c>
      <c r="E269" t="s">
        <v>4630</v>
      </c>
      <c r="F269" t="s">
        <v>4626</v>
      </c>
      <c r="G269" t="s">
        <v>4631</v>
      </c>
    </row>
    <row r="271" spans="1:7" x14ac:dyDescent="0.25">
      <c r="A271" t="s">
        <v>5589</v>
      </c>
    </row>
    <row r="272" spans="1:7" x14ac:dyDescent="0.25">
      <c r="A272" t="s">
        <v>5481</v>
      </c>
      <c r="B272" t="s">
        <v>4394</v>
      </c>
      <c r="C272" t="s">
        <v>4620</v>
      </c>
      <c r="D272" t="s">
        <v>4621</v>
      </c>
      <c r="E272" t="s">
        <v>4622</v>
      </c>
      <c r="F272" t="s">
        <v>4623</v>
      </c>
      <c r="G272" t="s">
        <v>4624</v>
      </c>
    </row>
    <row r="273" spans="1:7" x14ac:dyDescent="0.25">
      <c r="A273" t="s">
        <v>4438</v>
      </c>
      <c r="B273">
        <v>129</v>
      </c>
      <c r="C273" t="s">
        <v>4715</v>
      </c>
      <c r="D273" t="s">
        <v>4568</v>
      </c>
      <c r="E273" t="s">
        <v>4920</v>
      </c>
      <c r="F273" t="s">
        <v>4753</v>
      </c>
      <c r="G273" t="s">
        <v>4917</v>
      </c>
    </row>
    <row r="274" spans="1:7" x14ac:dyDescent="0.25">
      <c r="A274" t="s">
        <v>4439</v>
      </c>
      <c r="B274">
        <v>93</v>
      </c>
      <c r="C274" t="s">
        <v>4650</v>
      </c>
      <c r="D274" t="s">
        <v>5438</v>
      </c>
      <c r="E274" t="s">
        <v>5071</v>
      </c>
      <c r="F274" t="s">
        <v>4713</v>
      </c>
      <c r="G274" t="s">
        <v>4408</v>
      </c>
    </row>
    <row r="275" spans="1:7" x14ac:dyDescent="0.25">
      <c r="A275" t="s">
        <v>1400</v>
      </c>
      <c r="B275">
        <v>5</v>
      </c>
      <c r="C275" t="s">
        <v>4406</v>
      </c>
      <c r="D275" t="s">
        <v>4472</v>
      </c>
      <c r="E275" t="s">
        <v>4457</v>
      </c>
      <c r="F275" t="s">
        <v>4406</v>
      </c>
      <c r="G275" t="s">
        <v>4472</v>
      </c>
    </row>
    <row r="276" spans="1:7" x14ac:dyDescent="0.25">
      <c r="A276" t="s">
        <v>5566</v>
      </c>
      <c r="B276">
        <v>36</v>
      </c>
      <c r="C276" t="s">
        <v>4596</v>
      </c>
      <c r="D276" t="s">
        <v>5176</v>
      </c>
      <c r="E276" t="s">
        <v>4462</v>
      </c>
      <c r="F276" t="s">
        <v>4943</v>
      </c>
      <c r="G276" t="s">
        <v>4859</v>
      </c>
    </row>
    <row r="277" spans="1:7" x14ac:dyDescent="0.25">
      <c r="A277" t="s">
        <v>1372</v>
      </c>
      <c r="B277">
        <v>34</v>
      </c>
      <c r="C277" t="s">
        <v>4526</v>
      </c>
      <c r="D277" t="s">
        <v>4526</v>
      </c>
      <c r="E277" t="s">
        <v>4871</v>
      </c>
      <c r="F277" t="s">
        <v>4406</v>
      </c>
      <c r="G277" t="s">
        <v>4699</v>
      </c>
    </row>
    <row r="278" spans="1:7" x14ac:dyDescent="0.25">
      <c r="A278" t="s">
        <v>1296</v>
      </c>
      <c r="B278">
        <v>297</v>
      </c>
      <c r="C278" t="s">
        <v>4628</v>
      </c>
      <c r="D278" t="s">
        <v>4629</v>
      </c>
      <c r="E278" t="s">
        <v>4630</v>
      </c>
      <c r="F278" t="s">
        <v>4626</v>
      </c>
      <c r="G278" t="s">
        <v>4631</v>
      </c>
    </row>
    <row r="280" spans="1:7" x14ac:dyDescent="0.25">
      <c r="A280" t="s">
        <v>5590</v>
      </c>
    </row>
    <row r="281" spans="1:7" x14ac:dyDescent="0.25">
      <c r="A281" t="s">
        <v>5477</v>
      </c>
      <c r="B281" t="s">
        <v>4394</v>
      </c>
      <c r="C281" t="s">
        <v>4620</v>
      </c>
      <c r="D281" t="s">
        <v>4621</v>
      </c>
      <c r="E281" t="s">
        <v>4622</v>
      </c>
      <c r="F281" t="s">
        <v>4623</v>
      </c>
      <c r="G281" t="s">
        <v>4624</v>
      </c>
    </row>
    <row r="282" spans="1:7" x14ac:dyDescent="0.25">
      <c r="A282" t="s">
        <v>4438</v>
      </c>
      <c r="B282">
        <v>95</v>
      </c>
      <c r="C282" t="s">
        <v>5182</v>
      </c>
      <c r="D282" t="s">
        <v>5175</v>
      </c>
      <c r="E282" t="s">
        <v>4458</v>
      </c>
      <c r="F282" t="s">
        <v>4825</v>
      </c>
      <c r="G282" t="s">
        <v>4958</v>
      </c>
    </row>
    <row r="283" spans="1:7" x14ac:dyDescent="0.25">
      <c r="A283" t="s">
        <v>4439</v>
      </c>
      <c r="B283">
        <v>128</v>
      </c>
      <c r="C283" t="s">
        <v>5066</v>
      </c>
      <c r="D283" t="s">
        <v>4629</v>
      </c>
      <c r="E283" t="s">
        <v>5071</v>
      </c>
      <c r="F283" t="s">
        <v>4695</v>
      </c>
      <c r="G283" t="s">
        <v>4850</v>
      </c>
    </row>
    <row r="284" spans="1:7" x14ac:dyDescent="0.25">
      <c r="A284" t="s">
        <v>1400</v>
      </c>
      <c r="B284">
        <v>7</v>
      </c>
      <c r="C284" t="s">
        <v>4522</v>
      </c>
      <c r="D284" t="s">
        <v>4450</v>
      </c>
      <c r="E284" t="s">
        <v>4447</v>
      </c>
      <c r="F284" t="s">
        <v>4406</v>
      </c>
      <c r="G284" t="s">
        <v>4522</v>
      </c>
    </row>
    <row r="285" spans="1:7" x14ac:dyDescent="0.25">
      <c r="A285" t="s">
        <v>5566</v>
      </c>
      <c r="B285">
        <v>36</v>
      </c>
      <c r="C285" t="s">
        <v>4596</v>
      </c>
      <c r="D285" t="s">
        <v>5176</v>
      </c>
      <c r="E285" t="s">
        <v>4462</v>
      </c>
      <c r="F285" t="s">
        <v>4943</v>
      </c>
      <c r="G285" t="s">
        <v>4859</v>
      </c>
    </row>
    <row r="286" spans="1:7" x14ac:dyDescent="0.25">
      <c r="A286" t="s">
        <v>1426</v>
      </c>
      <c r="B286">
        <v>1</v>
      </c>
      <c r="C286" t="s">
        <v>4406</v>
      </c>
      <c r="D286" t="s">
        <v>4406</v>
      </c>
      <c r="E286" t="s">
        <v>4454</v>
      </c>
      <c r="F286" t="s">
        <v>4406</v>
      </c>
      <c r="G286" t="s">
        <v>4406</v>
      </c>
    </row>
    <row r="287" spans="1:7" x14ac:dyDescent="0.25">
      <c r="A287" t="s">
        <v>1372</v>
      </c>
      <c r="B287">
        <v>30</v>
      </c>
      <c r="C287" t="s">
        <v>4607</v>
      </c>
      <c r="D287" t="s">
        <v>4415</v>
      </c>
      <c r="E287" t="s">
        <v>4468</v>
      </c>
      <c r="F287" t="s">
        <v>4651</v>
      </c>
      <c r="G287" t="s">
        <v>4416</v>
      </c>
    </row>
    <row r="288" spans="1:7" x14ac:dyDescent="0.25">
      <c r="A288" t="s">
        <v>1296</v>
      </c>
      <c r="B288">
        <v>297</v>
      </c>
      <c r="C288" t="s">
        <v>4628</v>
      </c>
      <c r="D288" t="s">
        <v>4629</v>
      </c>
      <c r="E288" t="s">
        <v>4630</v>
      </c>
      <c r="F288" t="s">
        <v>4626</v>
      </c>
      <c r="G288" t="s">
        <v>4631</v>
      </c>
    </row>
    <row r="290" spans="1:7" x14ac:dyDescent="0.25">
      <c r="A290" t="s">
        <v>5591</v>
      </c>
    </row>
    <row r="291" spans="1:7" x14ac:dyDescent="0.25">
      <c r="A291" t="s">
        <v>911</v>
      </c>
      <c r="B291" t="s">
        <v>4394</v>
      </c>
      <c r="C291" t="s">
        <v>4620</v>
      </c>
      <c r="D291" t="s">
        <v>4621</v>
      </c>
      <c r="E291" t="s">
        <v>4622</v>
      </c>
      <c r="F291" t="s">
        <v>4623</v>
      </c>
      <c r="G291" t="s">
        <v>4624</v>
      </c>
    </row>
    <row r="292" spans="1:7" x14ac:dyDescent="0.25">
      <c r="A292" t="s">
        <v>4438</v>
      </c>
      <c r="B292">
        <v>122</v>
      </c>
      <c r="C292" t="s">
        <v>4632</v>
      </c>
      <c r="D292" t="s">
        <v>4633</v>
      </c>
      <c r="E292" t="s">
        <v>4634</v>
      </c>
      <c r="F292" t="s">
        <v>4635</v>
      </c>
      <c r="G292" t="s">
        <v>4636</v>
      </c>
    </row>
    <row r="293" spans="1:7" x14ac:dyDescent="0.25">
      <c r="A293" t="s">
        <v>4439</v>
      </c>
      <c r="B293">
        <v>79</v>
      </c>
      <c r="C293" t="s">
        <v>4637</v>
      </c>
      <c r="D293" t="s">
        <v>4638</v>
      </c>
      <c r="E293" t="s">
        <v>4639</v>
      </c>
      <c r="F293" t="s">
        <v>4627</v>
      </c>
      <c r="G293" t="s">
        <v>4552</v>
      </c>
    </row>
    <row r="294" spans="1:7" x14ac:dyDescent="0.25">
      <c r="A294" t="s">
        <v>1400</v>
      </c>
      <c r="B294">
        <v>19</v>
      </c>
      <c r="C294" t="s">
        <v>4406</v>
      </c>
      <c r="D294" t="s">
        <v>4491</v>
      </c>
      <c r="E294" t="s">
        <v>4461</v>
      </c>
      <c r="F294" t="s">
        <v>4406</v>
      </c>
      <c r="G294" t="s">
        <v>4640</v>
      </c>
    </row>
    <row r="295" spans="1:7" x14ac:dyDescent="0.25">
      <c r="A295" t="s">
        <v>1340</v>
      </c>
      <c r="B295">
        <v>31</v>
      </c>
      <c r="C295" t="s">
        <v>4641</v>
      </c>
      <c r="D295" t="s">
        <v>4642</v>
      </c>
      <c r="E295" t="s">
        <v>4578</v>
      </c>
      <c r="F295" t="s">
        <v>4564</v>
      </c>
      <c r="G295" t="s">
        <v>4641</v>
      </c>
    </row>
    <row r="296" spans="1:7" x14ac:dyDescent="0.25">
      <c r="A296" t="s">
        <v>1426</v>
      </c>
      <c r="B296">
        <v>8</v>
      </c>
      <c r="C296" t="s">
        <v>4406</v>
      </c>
      <c r="D296" t="s">
        <v>4481</v>
      </c>
      <c r="E296" t="s">
        <v>4468</v>
      </c>
      <c r="F296" t="s">
        <v>4406</v>
      </c>
      <c r="G296" t="s">
        <v>4479</v>
      </c>
    </row>
    <row r="297" spans="1:7" x14ac:dyDescent="0.25">
      <c r="A297" t="s">
        <v>1372</v>
      </c>
      <c r="B297">
        <v>38</v>
      </c>
      <c r="C297" t="s">
        <v>4529</v>
      </c>
      <c r="D297" t="s">
        <v>4504</v>
      </c>
      <c r="E297" t="s">
        <v>4523</v>
      </c>
      <c r="F297" t="s">
        <v>4406</v>
      </c>
      <c r="G297" t="s">
        <v>4640</v>
      </c>
    </row>
    <row r="298" spans="1:7" x14ac:dyDescent="0.25">
      <c r="A298" t="s">
        <v>1296</v>
      </c>
      <c r="B298">
        <v>297</v>
      </c>
      <c r="C298" t="s">
        <v>4628</v>
      </c>
      <c r="D298" t="s">
        <v>4629</v>
      </c>
      <c r="E298" t="s">
        <v>4630</v>
      </c>
      <c r="F298" t="s">
        <v>4626</v>
      </c>
      <c r="G298" t="s">
        <v>4631</v>
      </c>
    </row>
    <row r="300" spans="1:7" x14ac:dyDescent="0.25">
      <c r="A300" t="s">
        <v>5592</v>
      </c>
    </row>
    <row r="301" spans="1:7" x14ac:dyDescent="0.25">
      <c r="A301" t="s">
        <v>912</v>
      </c>
      <c r="B301" t="s">
        <v>4394</v>
      </c>
      <c r="C301" t="s">
        <v>4620</v>
      </c>
      <c r="D301" t="s">
        <v>4621</v>
      </c>
      <c r="E301" t="s">
        <v>4622</v>
      </c>
      <c r="F301" t="s">
        <v>4623</v>
      </c>
      <c r="G301" t="s">
        <v>4624</v>
      </c>
    </row>
    <row r="302" spans="1:7" x14ac:dyDescent="0.25">
      <c r="A302" t="s">
        <v>4438</v>
      </c>
      <c r="B302">
        <v>80</v>
      </c>
      <c r="C302" t="s">
        <v>4643</v>
      </c>
      <c r="D302" t="s">
        <v>4644</v>
      </c>
      <c r="E302" t="s">
        <v>4481</v>
      </c>
      <c r="F302" t="s">
        <v>4645</v>
      </c>
      <c r="G302" t="s">
        <v>4646</v>
      </c>
    </row>
    <row r="303" spans="1:7" x14ac:dyDescent="0.25">
      <c r="A303" t="s">
        <v>4439</v>
      </c>
      <c r="B303">
        <v>106</v>
      </c>
      <c r="C303" t="s">
        <v>4647</v>
      </c>
      <c r="D303" t="s">
        <v>4578</v>
      </c>
      <c r="E303" t="s">
        <v>4648</v>
      </c>
      <c r="F303" t="s">
        <v>4649</v>
      </c>
      <c r="G303" t="s">
        <v>4650</v>
      </c>
    </row>
    <row r="304" spans="1:7" x14ac:dyDescent="0.25">
      <c r="A304" t="s">
        <v>1400</v>
      </c>
      <c r="B304">
        <v>30</v>
      </c>
      <c r="C304" t="s">
        <v>4651</v>
      </c>
      <c r="D304" t="s">
        <v>4652</v>
      </c>
      <c r="E304" t="s">
        <v>4415</v>
      </c>
      <c r="F304" t="s">
        <v>4651</v>
      </c>
      <c r="G304" t="s">
        <v>4646</v>
      </c>
    </row>
    <row r="305" spans="1:7" x14ac:dyDescent="0.25">
      <c r="A305" t="s">
        <v>1340</v>
      </c>
      <c r="B305">
        <v>31</v>
      </c>
      <c r="C305" t="s">
        <v>4641</v>
      </c>
      <c r="D305" t="s">
        <v>4642</v>
      </c>
      <c r="E305" t="s">
        <v>4578</v>
      </c>
      <c r="F305" t="s">
        <v>4564</v>
      </c>
      <c r="G305" t="s">
        <v>4641</v>
      </c>
    </row>
    <row r="306" spans="1:7" x14ac:dyDescent="0.25">
      <c r="A306" t="s">
        <v>1426</v>
      </c>
      <c r="B306">
        <v>15</v>
      </c>
      <c r="C306" t="s">
        <v>4406</v>
      </c>
      <c r="D306" t="s">
        <v>4465</v>
      </c>
      <c r="E306" t="s">
        <v>4469</v>
      </c>
      <c r="F306" t="s">
        <v>4406</v>
      </c>
      <c r="G306" t="s">
        <v>4406</v>
      </c>
    </row>
    <row r="307" spans="1:7" x14ac:dyDescent="0.25">
      <c r="A307" t="s">
        <v>1372</v>
      </c>
      <c r="B307">
        <v>35</v>
      </c>
      <c r="C307" t="s">
        <v>4653</v>
      </c>
      <c r="D307" t="s">
        <v>4450</v>
      </c>
      <c r="E307" t="s">
        <v>4496</v>
      </c>
      <c r="F307" t="s">
        <v>4406</v>
      </c>
      <c r="G307" t="s">
        <v>4654</v>
      </c>
    </row>
    <row r="308" spans="1:7" x14ac:dyDescent="0.25">
      <c r="A308" t="s">
        <v>1296</v>
      </c>
      <c r="B308">
        <v>297</v>
      </c>
      <c r="C308" t="s">
        <v>4628</v>
      </c>
      <c r="D308" t="s">
        <v>4629</v>
      </c>
      <c r="E308" t="s">
        <v>4630</v>
      </c>
      <c r="F308" t="s">
        <v>4626</v>
      </c>
      <c r="G308" t="s">
        <v>4631</v>
      </c>
    </row>
    <row r="310" spans="1:7" x14ac:dyDescent="0.25">
      <c r="A310" t="s">
        <v>5593</v>
      </c>
    </row>
    <row r="311" spans="1:7" x14ac:dyDescent="0.25">
      <c r="A311" t="s">
        <v>920</v>
      </c>
      <c r="B311" t="s">
        <v>4394</v>
      </c>
      <c r="C311" t="s">
        <v>4620</v>
      </c>
      <c r="D311" t="s">
        <v>4621</v>
      </c>
      <c r="E311" t="s">
        <v>4622</v>
      </c>
      <c r="F311" t="s">
        <v>4623</v>
      </c>
      <c r="G311" t="s">
        <v>4624</v>
      </c>
    </row>
    <row r="312" spans="1:7" x14ac:dyDescent="0.25">
      <c r="A312" t="s">
        <v>1343</v>
      </c>
      <c r="B312">
        <v>170</v>
      </c>
      <c r="C312" t="s">
        <v>4420</v>
      </c>
      <c r="D312" t="s">
        <v>4526</v>
      </c>
      <c r="E312" t="s">
        <v>4655</v>
      </c>
      <c r="F312" t="s">
        <v>4656</v>
      </c>
      <c r="G312" t="s">
        <v>4631</v>
      </c>
    </row>
    <row r="313" spans="1:7" x14ac:dyDescent="0.25">
      <c r="A313" t="s">
        <v>1345</v>
      </c>
      <c r="B313">
        <v>75</v>
      </c>
      <c r="C313" t="s">
        <v>4657</v>
      </c>
      <c r="D313" t="s">
        <v>4658</v>
      </c>
      <c r="E313" t="s">
        <v>4458</v>
      </c>
      <c r="F313" t="s">
        <v>4659</v>
      </c>
      <c r="G313" t="s">
        <v>4660</v>
      </c>
    </row>
    <row r="314" spans="1:7" x14ac:dyDescent="0.25">
      <c r="A314" t="s">
        <v>1466</v>
      </c>
      <c r="B314">
        <v>50</v>
      </c>
      <c r="C314" t="s">
        <v>4646</v>
      </c>
      <c r="D314" t="s">
        <v>4661</v>
      </c>
      <c r="E314" t="s">
        <v>4629</v>
      </c>
      <c r="F314" t="s">
        <v>4406</v>
      </c>
      <c r="G314" t="s">
        <v>4657</v>
      </c>
    </row>
    <row r="315" spans="1:7" x14ac:dyDescent="0.25">
      <c r="A315" t="s">
        <v>5554</v>
      </c>
      <c r="B315">
        <v>2</v>
      </c>
      <c r="C315" t="s">
        <v>4406</v>
      </c>
      <c r="D315" t="s">
        <v>4406</v>
      </c>
      <c r="E315" t="s">
        <v>4454</v>
      </c>
      <c r="F315" t="s">
        <v>4406</v>
      </c>
      <c r="G315" t="s">
        <v>4406</v>
      </c>
    </row>
    <row r="316" spans="1:7" x14ac:dyDescent="0.25">
      <c r="A316" t="s">
        <v>1296</v>
      </c>
      <c r="B316">
        <v>297</v>
      </c>
      <c r="C316" t="s">
        <v>4628</v>
      </c>
      <c r="D316" t="s">
        <v>4629</v>
      </c>
      <c r="E316" t="s">
        <v>4630</v>
      </c>
      <c r="F316" t="s">
        <v>4626</v>
      </c>
      <c r="G316" t="s">
        <v>4631</v>
      </c>
    </row>
    <row r="318" spans="1:7" x14ac:dyDescent="0.25">
      <c r="A318" t="s">
        <v>5594</v>
      </c>
    </row>
    <row r="319" spans="1:7" x14ac:dyDescent="0.25">
      <c r="A319" t="s">
        <v>924</v>
      </c>
      <c r="B319" t="s">
        <v>4394</v>
      </c>
      <c r="C319" t="s">
        <v>4620</v>
      </c>
      <c r="D319" t="s">
        <v>4621</v>
      </c>
      <c r="E319" t="s">
        <v>4622</v>
      </c>
      <c r="F319" t="s">
        <v>4623</v>
      </c>
      <c r="G319" t="s">
        <v>4624</v>
      </c>
    </row>
    <row r="320" spans="1:7" x14ac:dyDescent="0.25">
      <c r="A320" t="s">
        <v>1345</v>
      </c>
      <c r="B320">
        <v>69</v>
      </c>
      <c r="C320" t="s">
        <v>4663</v>
      </c>
      <c r="D320" t="s">
        <v>4664</v>
      </c>
      <c r="E320" t="s">
        <v>4665</v>
      </c>
      <c r="F320" t="s">
        <v>4666</v>
      </c>
      <c r="G320" t="s">
        <v>4667</v>
      </c>
    </row>
    <row r="321" spans="1:7" x14ac:dyDescent="0.25">
      <c r="A321" t="s">
        <v>1441</v>
      </c>
      <c r="B321">
        <v>123</v>
      </c>
      <c r="C321" t="s">
        <v>4668</v>
      </c>
      <c r="D321" t="s">
        <v>4669</v>
      </c>
      <c r="E321" t="s">
        <v>4630</v>
      </c>
      <c r="F321" t="s">
        <v>4635</v>
      </c>
      <c r="G321" t="s">
        <v>4670</v>
      </c>
    </row>
    <row r="322" spans="1:7" x14ac:dyDescent="0.25">
      <c r="A322" t="s">
        <v>1461</v>
      </c>
      <c r="B322">
        <v>95</v>
      </c>
      <c r="C322" t="s">
        <v>4671</v>
      </c>
      <c r="D322" t="s">
        <v>4598</v>
      </c>
      <c r="E322" t="s">
        <v>4672</v>
      </c>
      <c r="F322" t="s">
        <v>4673</v>
      </c>
      <c r="G322" t="s">
        <v>4671</v>
      </c>
    </row>
    <row r="323" spans="1:7" x14ac:dyDescent="0.25">
      <c r="A323" t="s">
        <v>5554</v>
      </c>
      <c r="B323">
        <v>10</v>
      </c>
      <c r="C323" t="s">
        <v>4472</v>
      </c>
      <c r="D323" t="s">
        <v>4472</v>
      </c>
      <c r="E323" t="s">
        <v>4458</v>
      </c>
      <c r="F323" t="s">
        <v>4406</v>
      </c>
      <c r="G323" t="s">
        <v>4472</v>
      </c>
    </row>
    <row r="324" spans="1:7" x14ac:dyDescent="0.25">
      <c r="A324" t="s">
        <v>1296</v>
      </c>
      <c r="B324">
        <v>297</v>
      </c>
      <c r="C324" t="s">
        <v>4628</v>
      </c>
      <c r="D324" t="s">
        <v>4629</v>
      </c>
      <c r="E324" t="s">
        <v>4630</v>
      </c>
      <c r="F324" t="s">
        <v>4626</v>
      </c>
      <c r="G324" t="s">
        <v>4631</v>
      </c>
    </row>
    <row r="326" spans="1:7" x14ac:dyDescent="0.25">
      <c r="A326" t="s">
        <v>5595</v>
      </c>
    </row>
    <row r="327" spans="1:7" x14ac:dyDescent="0.25">
      <c r="A327" t="s">
        <v>903</v>
      </c>
      <c r="B327" t="s">
        <v>4394</v>
      </c>
      <c r="C327" t="s">
        <v>4620</v>
      </c>
      <c r="D327" t="s">
        <v>4621</v>
      </c>
      <c r="E327" t="s">
        <v>4622</v>
      </c>
      <c r="F327" t="s">
        <v>4623</v>
      </c>
      <c r="G327" t="s">
        <v>4624</v>
      </c>
    </row>
    <row r="328" spans="1:7" x14ac:dyDescent="0.25">
      <c r="A328" t="s">
        <v>70</v>
      </c>
      <c r="B328">
        <v>85</v>
      </c>
      <c r="C328" t="s">
        <v>4423</v>
      </c>
      <c r="D328" t="s">
        <v>4717</v>
      </c>
      <c r="E328" t="s">
        <v>4532</v>
      </c>
      <c r="F328" t="s">
        <v>4422</v>
      </c>
      <c r="G328" t="s">
        <v>4696</v>
      </c>
    </row>
    <row r="329" spans="1:7" x14ac:dyDescent="0.25">
      <c r="A329" t="s">
        <v>71</v>
      </c>
      <c r="B329">
        <v>212</v>
      </c>
      <c r="C329" t="s">
        <v>4647</v>
      </c>
      <c r="D329" t="s">
        <v>4718</v>
      </c>
      <c r="E329" t="s">
        <v>4719</v>
      </c>
      <c r="F329" t="s">
        <v>4720</v>
      </c>
      <c r="G329" t="s">
        <v>4636</v>
      </c>
    </row>
    <row r="330" spans="1:7" x14ac:dyDescent="0.25">
      <c r="A330" t="s">
        <v>1296</v>
      </c>
      <c r="B330">
        <v>297</v>
      </c>
      <c r="C330" t="s">
        <v>4628</v>
      </c>
      <c r="D330" t="s">
        <v>4629</v>
      </c>
      <c r="E330" t="s">
        <v>4630</v>
      </c>
      <c r="F330" t="s">
        <v>4626</v>
      </c>
      <c r="G330" t="s">
        <v>4631</v>
      </c>
    </row>
    <row r="332" spans="1:7" x14ac:dyDescent="0.25">
      <c r="A332" t="s">
        <v>5596</v>
      </c>
    </row>
    <row r="333" spans="1:7" x14ac:dyDescent="0.25">
      <c r="A333" t="s">
        <v>1297</v>
      </c>
      <c r="B333" t="s">
        <v>4394</v>
      </c>
      <c r="C333" t="s">
        <v>4721</v>
      </c>
      <c r="D333" t="s">
        <v>4722</v>
      </c>
      <c r="E333" t="s">
        <v>4723</v>
      </c>
    </row>
    <row r="334" spans="1:7" x14ac:dyDescent="0.25">
      <c r="A334" t="s">
        <v>5549</v>
      </c>
      <c r="B334">
        <v>198</v>
      </c>
      <c r="C334" t="s">
        <v>4724</v>
      </c>
      <c r="D334" t="s">
        <v>4404</v>
      </c>
      <c r="E334" t="s">
        <v>4426</v>
      </c>
    </row>
    <row r="335" spans="1:7" x14ac:dyDescent="0.25">
      <c r="A335" t="s">
        <v>1397</v>
      </c>
      <c r="B335">
        <v>99</v>
      </c>
      <c r="C335" t="s">
        <v>4725</v>
      </c>
      <c r="D335" t="s">
        <v>4660</v>
      </c>
      <c r="E335" t="s">
        <v>4726</v>
      </c>
    </row>
    <row r="336" spans="1:7" x14ac:dyDescent="0.25">
      <c r="A336" t="s">
        <v>1296</v>
      </c>
      <c r="B336">
        <v>297</v>
      </c>
      <c r="C336" t="s">
        <v>4727</v>
      </c>
      <c r="D336" t="s">
        <v>4419</v>
      </c>
      <c r="E336" t="s">
        <v>4728</v>
      </c>
    </row>
    <row r="338" spans="1:10" x14ac:dyDescent="0.25">
      <c r="A338" t="s">
        <v>5597</v>
      </c>
    </row>
    <row r="339" spans="1:10" x14ac:dyDescent="0.25">
      <c r="A339" t="s">
        <v>903</v>
      </c>
      <c r="B339" t="s">
        <v>4394</v>
      </c>
      <c r="C339" t="s">
        <v>4721</v>
      </c>
      <c r="D339" t="s">
        <v>4722</v>
      </c>
      <c r="E339" t="s">
        <v>4723</v>
      </c>
    </row>
    <row r="340" spans="1:10" x14ac:dyDescent="0.25">
      <c r="A340" t="s">
        <v>70</v>
      </c>
      <c r="B340">
        <v>85</v>
      </c>
      <c r="C340" t="s">
        <v>4699</v>
      </c>
      <c r="D340" t="s">
        <v>4406</v>
      </c>
      <c r="E340" t="s">
        <v>4729</v>
      </c>
    </row>
    <row r="341" spans="1:10" x14ac:dyDescent="0.25">
      <c r="A341" t="s">
        <v>71</v>
      </c>
      <c r="B341">
        <v>212</v>
      </c>
      <c r="C341" t="s">
        <v>4730</v>
      </c>
      <c r="D341" t="s">
        <v>4424</v>
      </c>
      <c r="E341" t="s">
        <v>4731</v>
      </c>
    </row>
    <row r="342" spans="1:10" x14ac:dyDescent="0.25">
      <c r="A342" t="s">
        <v>1296</v>
      </c>
      <c r="B342">
        <v>297</v>
      </c>
      <c r="C342" t="s">
        <v>4727</v>
      </c>
      <c r="D342" t="s">
        <v>4419</v>
      </c>
      <c r="E342" t="s">
        <v>4728</v>
      </c>
    </row>
    <row r="344" spans="1:10" x14ac:dyDescent="0.25">
      <c r="A344" t="s">
        <v>5598</v>
      </c>
    </row>
    <row r="345" spans="1:10" x14ac:dyDescent="0.25">
      <c r="A345" t="s">
        <v>1297</v>
      </c>
      <c r="B345" t="s">
        <v>4394</v>
      </c>
      <c r="C345" t="s">
        <v>4732</v>
      </c>
      <c r="D345" t="s">
        <v>4733</v>
      </c>
      <c r="E345" t="s">
        <v>4734</v>
      </c>
      <c r="F345" t="s">
        <v>4735</v>
      </c>
      <c r="G345" t="s">
        <v>4736</v>
      </c>
      <c r="H345" t="s">
        <v>4737</v>
      </c>
      <c r="I345" t="s">
        <v>4738</v>
      </c>
      <c r="J345" t="s">
        <v>4739</v>
      </c>
    </row>
    <row r="346" spans="1:10" x14ac:dyDescent="0.25">
      <c r="A346" t="s">
        <v>5549</v>
      </c>
      <c r="B346">
        <v>198</v>
      </c>
      <c r="C346" t="s">
        <v>4740</v>
      </c>
      <c r="D346" t="s">
        <v>4741</v>
      </c>
      <c r="E346" t="s">
        <v>4492</v>
      </c>
      <c r="F346" t="s">
        <v>4726</v>
      </c>
      <c r="G346" t="s">
        <v>4627</v>
      </c>
      <c r="H346" t="s">
        <v>4406</v>
      </c>
      <c r="I346" t="s">
        <v>4742</v>
      </c>
      <c r="J346" t="s">
        <v>4504</v>
      </c>
    </row>
    <row r="347" spans="1:10" x14ac:dyDescent="0.25">
      <c r="A347" t="s">
        <v>1397</v>
      </c>
      <c r="B347">
        <v>99</v>
      </c>
      <c r="C347" t="s">
        <v>4743</v>
      </c>
      <c r="D347" t="s">
        <v>4744</v>
      </c>
      <c r="E347" t="s">
        <v>4453</v>
      </c>
      <c r="F347" t="s">
        <v>4405</v>
      </c>
      <c r="G347" t="s">
        <v>4741</v>
      </c>
      <c r="H347" t="s">
        <v>4406</v>
      </c>
      <c r="I347" t="s">
        <v>4402</v>
      </c>
      <c r="J347" t="s">
        <v>4405</v>
      </c>
    </row>
    <row r="348" spans="1:10" x14ac:dyDescent="0.25">
      <c r="A348" t="s">
        <v>1296</v>
      </c>
      <c r="B348">
        <v>297</v>
      </c>
      <c r="C348" t="s">
        <v>4745</v>
      </c>
      <c r="D348" t="s">
        <v>4656</v>
      </c>
      <c r="E348" t="s">
        <v>4710</v>
      </c>
      <c r="F348" t="s">
        <v>4451</v>
      </c>
      <c r="G348" t="s">
        <v>4746</v>
      </c>
      <c r="H348" t="s">
        <v>4406</v>
      </c>
      <c r="I348" t="s">
        <v>4656</v>
      </c>
      <c r="J348" t="s">
        <v>4747</v>
      </c>
    </row>
    <row r="350" spans="1:10" x14ac:dyDescent="0.25">
      <c r="A350" t="s">
        <v>5599</v>
      </c>
    </row>
    <row r="351" spans="1:10" x14ac:dyDescent="0.25">
      <c r="A351" t="s">
        <v>906</v>
      </c>
      <c r="B351" t="s">
        <v>4394</v>
      </c>
      <c r="C351" t="s">
        <v>4732</v>
      </c>
      <c r="D351" t="s">
        <v>4733</v>
      </c>
      <c r="E351" t="s">
        <v>4734</v>
      </c>
      <c r="F351" t="s">
        <v>4735</v>
      </c>
      <c r="G351" t="s">
        <v>4736</v>
      </c>
      <c r="H351" t="s">
        <v>4737</v>
      </c>
      <c r="I351" t="s">
        <v>4738</v>
      </c>
      <c r="J351" t="s">
        <v>4739</v>
      </c>
    </row>
    <row r="352" spans="1:10" x14ac:dyDescent="0.25">
      <c r="A352" t="s">
        <v>1338</v>
      </c>
      <c r="B352">
        <v>46</v>
      </c>
      <c r="C352" t="s">
        <v>4687</v>
      </c>
      <c r="D352" t="s">
        <v>4681</v>
      </c>
      <c r="E352" t="s">
        <v>4748</v>
      </c>
      <c r="F352" t="s">
        <v>4549</v>
      </c>
      <c r="G352" t="s">
        <v>4406</v>
      </c>
      <c r="H352" t="s">
        <v>4406</v>
      </c>
      <c r="I352" t="s">
        <v>4670</v>
      </c>
      <c r="J352" t="s">
        <v>4687</v>
      </c>
    </row>
    <row r="353" spans="1:10" x14ac:dyDescent="0.25">
      <c r="A353" t="s">
        <v>1370</v>
      </c>
      <c r="B353">
        <v>33</v>
      </c>
      <c r="C353" t="s">
        <v>4807</v>
      </c>
      <c r="D353" t="s">
        <v>4406</v>
      </c>
      <c r="E353" t="s">
        <v>5118</v>
      </c>
      <c r="F353" t="s">
        <v>4453</v>
      </c>
      <c r="G353" t="s">
        <v>4406</v>
      </c>
      <c r="H353" t="s">
        <v>4406</v>
      </c>
      <c r="I353" t="s">
        <v>4852</v>
      </c>
      <c r="J353" t="s">
        <v>4465</v>
      </c>
    </row>
    <row r="354" spans="1:10" x14ac:dyDescent="0.25">
      <c r="A354" t="s">
        <v>1439</v>
      </c>
      <c r="B354">
        <v>21</v>
      </c>
      <c r="C354" t="s">
        <v>4465</v>
      </c>
      <c r="D354" t="s">
        <v>4749</v>
      </c>
      <c r="E354" t="s">
        <v>4556</v>
      </c>
      <c r="F354" t="s">
        <v>4585</v>
      </c>
      <c r="G354" t="s">
        <v>4406</v>
      </c>
      <c r="H354" t="s">
        <v>4406</v>
      </c>
      <c r="I354" t="s">
        <v>4522</v>
      </c>
      <c r="J354" t="s">
        <v>4556</v>
      </c>
    </row>
    <row r="355" spans="1:10" x14ac:dyDescent="0.25">
      <c r="A355" t="s">
        <v>1476</v>
      </c>
      <c r="B355">
        <v>71</v>
      </c>
      <c r="C355" t="s">
        <v>4533</v>
      </c>
      <c r="D355" t="s">
        <v>4750</v>
      </c>
      <c r="E355" t="s">
        <v>4708</v>
      </c>
      <c r="F355" t="s">
        <v>4480</v>
      </c>
      <c r="G355" t="s">
        <v>4751</v>
      </c>
      <c r="H355" t="s">
        <v>4406</v>
      </c>
      <c r="I355" t="s">
        <v>4649</v>
      </c>
      <c r="J355" t="s">
        <v>4704</v>
      </c>
    </row>
    <row r="356" spans="1:10" x14ac:dyDescent="0.25">
      <c r="A356" t="s">
        <v>5476</v>
      </c>
      <c r="B356">
        <v>6</v>
      </c>
      <c r="C356" t="s">
        <v>4465</v>
      </c>
      <c r="D356" t="s">
        <v>4406</v>
      </c>
      <c r="E356" t="s">
        <v>4465</v>
      </c>
      <c r="F356" t="s">
        <v>4596</v>
      </c>
      <c r="G356" t="s">
        <v>4406</v>
      </c>
      <c r="H356" t="s">
        <v>4406</v>
      </c>
      <c r="I356" t="s">
        <v>4406</v>
      </c>
      <c r="J356" t="s">
        <v>4465</v>
      </c>
    </row>
    <row r="357" spans="1:10" x14ac:dyDescent="0.25">
      <c r="A357" t="s">
        <v>1399</v>
      </c>
      <c r="B357">
        <v>44</v>
      </c>
      <c r="C357" t="s">
        <v>4752</v>
      </c>
      <c r="D357" t="s">
        <v>4753</v>
      </c>
      <c r="E357" t="s">
        <v>4493</v>
      </c>
      <c r="F357" t="s">
        <v>4405</v>
      </c>
      <c r="G357" t="s">
        <v>4637</v>
      </c>
      <c r="H357" t="s">
        <v>4406</v>
      </c>
      <c r="I357" t="s">
        <v>4406</v>
      </c>
      <c r="J357" t="s">
        <v>4589</v>
      </c>
    </row>
    <row r="358" spans="1:10" x14ac:dyDescent="0.25">
      <c r="A358" t="s">
        <v>1415</v>
      </c>
      <c r="B358">
        <v>76</v>
      </c>
      <c r="C358" t="s">
        <v>4453</v>
      </c>
      <c r="D358" t="s">
        <v>4714</v>
      </c>
      <c r="E358" t="s">
        <v>4505</v>
      </c>
      <c r="F358" t="s">
        <v>4462</v>
      </c>
      <c r="G358" t="s">
        <v>4600</v>
      </c>
      <c r="H358" t="s">
        <v>4406</v>
      </c>
      <c r="I358" t="s">
        <v>4692</v>
      </c>
      <c r="J358" t="s">
        <v>4754</v>
      </c>
    </row>
    <row r="359" spans="1:10" x14ac:dyDescent="0.25">
      <c r="A359" t="s">
        <v>1296</v>
      </c>
      <c r="B359">
        <v>297</v>
      </c>
      <c r="C359" t="s">
        <v>4745</v>
      </c>
      <c r="D359" t="s">
        <v>4656</v>
      </c>
      <c r="E359" t="s">
        <v>4710</v>
      </c>
      <c r="F359" t="s">
        <v>4451</v>
      </c>
      <c r="G359" t="s">
        <v>4746</v>
      </c>
      <c r="H359" t="s">
        <v>4406</v>
      </c>
      <c r="I359" t="s">
        <v>4656</v>
      </c>
      <c r="J359" t="s">
        <v>4747</v>
      </c>
    </row>
    <row r="361" spans="1:10" x14ac:dyDescent="0.25">
      <c r="A361" t="s">
        <v>5600</v>
      </c>
    </row>
    <row r="362" spans="1:10" x14ac:dyDescent="0.25">
      <c r="A362" t="s">
        <v>907</v>
      </c>
      <c r="B362" t="s">
        <v>4394</v>
      </c>
      <c r="C362" t="s">
        <v>4732</v>
      </c>
      <c r="D362" t="s">
        <v>4733</v>
      </c>
      <c r="E362" t="s">
        <v>4734</v>
      </c>
      <c r="F362" t="s">
        <v>4735</v>
      </c>
      <c r="G362" t="s">
        <v>4736</v>
      </c>
      <c r="H362" t="s">
        <v>4737</v>
      </c>
      <c r="I362" t="s">
        <v>4738</v>
      </c>
      <c r="J362" t="s">
        <v>4739</v>
      </c>
    </row>
    <row r="363" spans="1:10" x14ac:dyDescent="0.25">
      <c r="A363" t="s">
        <v>109</v>
      </c>
      <c r="B363">
        <v>257</v>
      </c>
      <c r="C363" t="s">
        <v>4745</v>
      </c>
      <c r="D363" t="s">
        <v>4656</v>
      </c>
      <c r="E363" t="s">
        <v>4755</v>
      </c>
      <c r="F363" t="s">
        <v>4511</v>
      </c>
      <c r="G363" t="s">
        <v>4756</v>
      </c>
      <c r="H363" t="s">
        <v>4406</v>
      </c>
      <c r="I363" t="s">
        <v>4757</v>
      </c>
      <c r="J363" t="s">
        <v>4483</v>
      </c>
    </row>
    <row r="364" spans="1:10" x14ac:dyDescent="0.25">
      <c r="A364" t="s">
        <v>192</v>
      </c>
      <c r="B364">
        <v>40</v>
      </c>
      <c r="C364" t="s">
        <v>4535</v>
      </c>
      <c r="D364" t="s">
        <v>4758</v>
      </c>
      <c r="E364" t="s">
        <v>4759</v>
      </c>
      <c r="F364" t="s">
        <v>4760</v>
      </c>
      <c r="G364" t="s">
        <v>4645</v>
      </c>
      <c r="H364" t="s">
        <v>4406</v>
      </c>
      <c r="I364" t="s">
        <v>4479</v>
      </c>
      <c r="J364" t="s">
        <v>4761</v>
      </c>
    </row>
    <row r="365" spans="1:10" x14ac:dyDescent="0.25">
      <c r="A365" t="s">
        <v>1296</v>
      </c>
      <c r="B365">
        <v>297</v>
      </c>
      <c r="C365" t="s">
        <v>4745</v>
      </c>
      <c r="D365" t="s">
        <v>4656</v>
      </c>
      <c r="E365" t="s">
        <v>4710</v>
      </c>
      <c r="F365" t="s">
        <v>4451</v>
      </c>
      <c r="G365" t="s">
        <v>4746</v>
      </c>
      <c r="H365" t="s">
        <v>4406</v>
      </c>
      <c r="I365" t="s">
        <v>4656</v>
      </c>
      <c r="J365" t="s">
        <v>4747</v>
      </c>
    </row>
    <row r="367" spans="1:10" x14ac:dyDescent="0.25">
      <c r="A367" t="s">
        <v>5601</v>
      </c>
    </row>
    <row r="368" spans="1:10" x14ac:dyDescent="0.25">
      <c r="A368" t="s">
        <v>913</v>
      </c>
      <c r="B368" t="s">
        <v>4394</v>
      </c>
      <c r="C368" t="s">
        <v>4732</v>
      </c>
      <c r="D368" t="s">
        <v>4733</v>
      </c>
      <c r="E368" t="s">
        <v>4734</v>
      </c>
      <c r="F368" t="s">
        <v>4735</v>
      </c>
      <c r="G368" t="s">
        <v>4736</v>
      </c>
      <c r="H368" t="s">
        <v>4737</v>
      </c>
      <c r="I368" t="s">
        <v>4738</v>
      </c>
      <c r="J368" t="s">
        <v>4739</v>
      </c>
    </row>
    <row r="369" spans="1:10" x14ac:dyDescent="0.25">
      <c r="A369" t="s">
        <v>1561</v>
      </c>
      <c r="B369">
        <v>3</v>
      </c>
      <c r="C369" t="s">
        <v>4465</v>
      </c>
      <c r="D369" t="s">
        <v>4406</v>
      </c>
      <c r="E369" t="s">
        <v>4465</v>
      </c>
      <c r="F369" t="s">
        <v>4465</v>
      </c>
      <c r="G369" t="s">
        <v>4406</v>
      </c>
      <c r="H369" t="s">
        <v>4406</v>
      </c>
      <c r="I369" t="s">
        <v>4406</v>
      </c>
      <c r="J369" t="s">
        <v>4406</v>
      </c>
    </row>
    <row r="370" spans="1:10" x14ac:dyDescent="0.25">
      <c r="A370" t="s">
        <v>1460</v>
      </c>
      <c r="B370">
        <v>67</v>
      </c>
      <c r="C370" t="s">
        <v>4762</v>
      </c>
      <c r="D370" t="s">
        <v>4626</v>
      </c>
      <c r="E370" t="s">
        <v>4536</v>
      </c>
      <c r="F370" t="s">
        <v>4519</v>
      </c>
      <c r="G370" t="s">
        <v>4691</v>
      </c>
      <c r="H370" t="s">
        <v>4406</v>
      </c>
      <c r="I370" t="s">
        <v>4626</v>
      </c>
      <c r="J370" t="s">
        <v>4559</v>
      </c>
    </row>
    <row r="371" spans="1:10" x14ac:dyDescent="0.25">
      <c r="A371" t="s">
        <v>1342</v>
      </c>
      <c r="B371">
        <v>67</v>
      </c>
      <c r="C371" t="s">
        <v>4519</v>
      </c>
      <c r="D371" t="s">
        <v>4559</v>
      </c>
      <c r="E371" t="s">
        <v>4763</v>
      </c>
      <c r="F371" t="s">
        <v>4519</v>
      </c>
      <c r="G371" t="s">
        <v>4636</v>
      </c>
      <c r="H371" t="s">
        <v>4406</v>
      </c>
      <c r="I371" t="s">
        <v>4626</v>
      </c>
      <c r="J371" t="s">
        <v>4650</v>
      </c>
    </row>
    <row r="372" spans="1:10" x14ac:dyDescent="0.25">
      <c r="A372" t="s">
        <v>1375</v>
      </c>
      <c r="B372">
        <v>93</v>
      </c>
      <c r="C372" t="s">
        <v>4752</v>
      </c>
      <c r="D372" t="s">
        <v>4670</v>
      </c>
      <c r="E372" t="s">
        <v>4465</v>
      </c>
      <c r="F372" t="s">
        <v>4764</v>
      </c>
      <c r="G372" t="s">
        <v>4746</v>
      </c>
      <c r="H372" t="s">
        <v>4406</v>
      </c>
      <c r="I372" t="s">
        <v>4670</v>
      </c>
      <c r="J372" t="s">
        <v>4765</v>
      </c>
    </row>
    <row r="373" spans="1:10" x14ac:dyDescent="0.25">
      <c r="A373" t="s">
        <v>1401</v>
      </c>
      <c r="B373">
        <v>66</v>
      </c>
      <c r="C373" t="s">
        <v>4405</v>
      </c>
      <c r="D373" t="s">
        <v>4626</v>
      </c>
      <c r="E373" t="s">
        <v>4596</v>
      </c>
      <c r="F373" t="s">
        <v>4766</v>
      </c>
      <c r="G373" t="s">
        <v>4626</v>
      </c>
      <c r="H373" t="s">
        <v>4406</v>
      </c>
      <c r="I373" t="s">
        <v>4741</v>
      </c>
      <c r="J373" t="s">
        <v>4767</v>
      </c>
    </row>
    <row r="374" spans="1:10" x14ac:dyDescent="0.25">
      <c r="A374" t="s">
        <v>1682</v>
      </c>
      <c r="B374">
        <v>1</v>
      </c>
      <c r="C374" t="s">
        <v>4406</v>
      </c>
      <c r="D374" t="s">
        <v>4406</v>
      </c>
      <c r="E374" t="s">
        <v>4454</v>
      </c>
      <c r="F374" t="s">
        <v>4406</v>
      </c>
      <c r="G374" t="s">
        <v>4406</v>
      </c>
      <c r="H374" t="s">
        <v>4406</v>
      </c>
      <c r="I374" t="s">
        <v>4406</v>
      </c>
      <c r="J374" t="s">
        <v>4406</v>
      </c>
    </row>
    <row r="375" spans="1:10" x14ac:dyDescent="0.25">
      <c r="A375" t="s">
        <v>1296</v>
      </c>
      <c r="B375">
        <v>297</v>
      </c>
      <c r="C375" t="s">
        <v>4745</v>
      </c>
      <c r="D375" t="s">
        <v>4656</v>
      </c>
      <c r="E375" t="s">
        <v>4710</v>
      </c>
      <c r="F375" t="s">
        <v>4451</v>
      </c>
      <c r="G375" t="s">
        <v>4746</v>
      </c>
      <c r="H375" t="s">
        <v>4406</v>
      </c>
      <c r="I375" t="s">
        <v>4656</v>
      </c>
      <c r="J375" t="s">
        <v>4747</v>
      </c>
    </row>
    <row r="377" spans="1:10" x14ac:dyDescent="0.25">
      <c r="A377" t="s">
        <v>5602</v>
      </c>
    </row>
    <row r="378" spans="1:10" x14ac:dyDescent="0.25">
      <c r="A378" t="s">
        <v>903</v>
      </c>
      <c r="B378" t="s">
        <v>4394</v>
      </c>
      <c r="C378" t="s">
        <v>4732</v>
      </c>
      <c r="D378" t="s">
        <v>4733</v>
      </c>
      <c r="E378" t="s">
        <v>4734</v>
      </c>
      <c r="F378" t="s">
        <v>4735</v>
      </c>
      <c r="G378" t="s">
        <v>4736</v>
      </c>
      <c r="H378" t="s">
        <v>4737</v>
      </c>
      <c r="I378" t="s">
        <v>4738</v>
      </c>
      <c r="J378" t="s">
        <v>4739</v>
      </c>
    </row>
    <row r="379" spans="1:10" x14ac:dyDescent="0.25">
      <c r="A379" t="s">
        <v>70</v>
      </c>
      <c r="B379">
        <v>85</v>
      </c>
      <c r="C379" t="s">
        <v>4619</v>
      </c>
      <c r="D379" t="s">
        <v>4656</v>
      </c>
      <c r="E379" t="s">
        <v>4558</v>
      </c>
      <c r="F379" t="s">
        <v>4769</v>
      </c>
      <c r="G379" t="s">
        <v>4757</v>
      </c>
      <c r="H379" t="s">
        <v>4406</v>
      </c>
      <c r="I379" t="s">
        <v>4696</v>
      </c>
      <c r="J379" t="s">
        <v>4770</v>
      </c>
    </row>
    <row r="380" spans="1:10" x14ac:dyDescent="0.25">
      <c r="A380" t="s">
        <v>71</v>
      </c>
      <c r="B380">
        <v>212</v>
      </c>
      <c r="C380" t="s">
        <v>4771</v>
      </c>
      <c r="D380" t="s">
        <v>4656</v>
      </c>
      <c r="E380" t="s">
        <v>4427</v>
      </c>
      <c r="F380" t="s">
        <v>4566</v>
      </c>
      <c r="G380" t="s">
        <v>4741</v>
      </c>
      <c r="H380" t="s">
        <v>4406</v>
      </c>
      <c r="I380" t="s">
        <v>4651</v>
      </c>
      <c r="J380" t="s">
        <v>4772</v>
      </c>
    </row>
    <row r="381" spans="1:10" x14ac:dyDescent="0.25">
      <c r="A381" t="s">
        <v>1296</v>
      </c>
      <c r="B381">
        <v>297</v>
      </c>
      <c r="C381" t="s">
        <v>4745</v>
      </c>
      <c r="D381" t="s">
        <v>4656</v>
      </c>
      <c r="E381" t="s">
        <v>4710</v>
      </c>
      <c r="F381" t="s">
        <v>4451</v>
      </c>
      <c r="G381" t="s">
        <v>4746</v>
      </c>
      <c r="H381" t="s">
        <v>4406</v>
      </c>
      <c r="I381" t="s">
        <v>4656</v>
      </c>
      <c r="J381" t="s">
        <v>4747</v>
      </c>
    </row>
    <row r="383" spans="1:10" x14ac:dyDescent="0.25">
      <c r="A383" t="s">
        <v>5603</v>
      </c>
    </row>
    <row r="384" spans="1:10" x14ac:dyDescent="0.25">
      <c r="A384" t="s">
        <v>1297</v>
      </c>
      <c r="B384" t="s">
        <v>4394</v>
      </c>
      <c r="C384" t="s">
        <v>4773</v>
      </c>
      <c r="D384" t="s">
        <v>4774</v>
      </c>
      <c r="E384" t="s">
        <v>4775</v>
      </c>
      <c r="F384" t="s">
        <v>4776</v>
      </c>
      <c r="G384" t="s">
        <v>4736</v>
      </c>
      <c r="H384" t="s">
        <v>4737</v>
      </c>
    </row>
    <row r="385" spans="1:8" x14ac:dyDescent="0.25">
      <c r="A385" t="s">
        <v>5549</v>
      </c>
      <c r="B385">
        <v>9</v>
      </c>
      <c r="C385">
        <v>0</v>
      </c>
      <c r="D385">
        <v>0</v>
      </c>
      <c r="E385">
        <v>9</v>
      </c>
      <c r="F385">
        <v>1</v>
      </c>
      <c r="G385">
        <v>0</v>
      </c>
      <c r="H385">
        <v>0</v>
      </c>
    </row>
    <row r="386" spans="1:8" x14ac:dyDescent="0.25">
      <c r="A386" t="s">
        <v>1397</v>
      </c>
      <c r="B386">
        <v>15</v>
      </c>
      <c r="C386">
        <v>1</v>
      </c>
      <c r="D386">
        <v>1</v>
      </c>
      <c r="E386">
        <v>13</v>
      </c>
      <c r="F386">
        <v>2</v>
      </c>
      <c r="G386">
        <v>0</v>
      </c>
      <c r="H386">
        <v>0</v>
      </c>
    </row>
    <row r="387" spans="1:8" x14ac:dyDescent="0.25">
      <c r="A387" t="s">
        <v>1296</v>
      </c>
      <c r="B387">
        <v>24</v>
      </c>
      <c r="C387">
        <v>1</v>
      </c>
      <c r="D387">
        <v>1</v>
      </c>
      <c r="E387">
        <v>22</v>
      </c>
      <c r="F387">
        <v>3</v>
      </c>
      <c r="G387">
        <v>0</v>
      </c>
      <c r="H387">
        <v>0</v>
      </c>
    </row>
    <row r="389" spans="1:8" x14ac:dyDescent="0.25">
      <c r="A389" t="s">
        <v>5604</v>
      </c>
    </row>
    <row r="390" spans="1:8" x14ac:dyDescent="0.25">
      <c r="A390" t="s">
        <v>906</v>
      </c>
      <c r="B390" t="s">
        <v>4394</v>
      </c>
      <c r="C390" t="s">
        <v>4773</v>
      </c>
      <c r="D390" t="s">
        <v>4774</v>
      </c>
      <c r="E390" t="s">
        <v>4775</v>
      </c>
      <c r="F390" t="s">
        <v>4776</v>
      </c>
      <c r="G390" t="s">
        <v>4736</v>
      </c>
      <c r="H390" t="s">
        <v>4737</v>
      </c>
    </row>
    <row r="391" spans="1:8" x14ac:dyDescent="0.25">
      <c r="A391" t="s">
        <v>1338</v>
      </c>
      <c r="B391">
        <v>2</v>
      </c>
      <c r="C391">
        <v>0</v>
      </c>
      <c r="D391">
        <v>0</v>
      </c>
      <c r="E391">
        <v>2</v>
      </c>
      <c r="F391">
        <v>1</v>
      </c>
      <c r="G391">
        <v>0</v>
      </c>
      <c r="H391">
        <v>0</v>
      </c>
    </row>
    <row r="392" spans="1:8" x14ac:dyDescent="0.25">
      <c r="A392" t="s">
        <v>1370</v>
      </c>
      <c r="B392">
        <v>7</v>
      </c>
      <c r="C392">
        <v>0</v>
      </c>
      <c r="D392">
        <v>1</v>
      </c>
      <c r="E392">
        <v>5</v>
      </c>
      <c r="F392">
        <v>1</v>
      </c>
      <c r="G392">
        <v>0</v>
      </c>
      <c r="H392">
        <v>0</v>
      </c>
    </row>
    <row r="393" spans="1:8" x14ac:dyDescent="0.25">
      <c r="A393" t="s">
        <v>1439</v>
      </c>
      <c r="B393">
        <v>4</v>
      </c>
      <c r="C393">
        <v>0</v>
      </c>
      <c r="D393">
        <v>0</v>
      </c>
      <c r="E393">
        <v>4</v>
      </c>
      <c r="F393">
        <v>0</v>
      </c>
      <c r="G393">
        <v>0</v>
      </c>
      <c r="H393">
        <v>0</v>
      </c>
    </row>
    <row r="394" spans="1:8" x14ac:dyDescent="0.25">
      <c r="A394" t="s">
        <v>1476</v>
      </c>
      <c r="B394">
        <v>3</v>
      </c>
      <c r="C394">
        <v>1</v>
      </c>
      <c r="D394">
        <v>0</v>
      </c>
      <c r="E394">
        <v>3</v>
      </c>
      <c r="F394">
        <v>1</v>
      </c>
      <c r="G394">
        <v>0</v>
      </c>
      <c r="H394">
        <v>0</v>
      </c>
    </row>
    <row r="395" spans="1:8" x14ac:dyDescent="0.25">
      <c r="A395" t="s">
        <v>1399</v>
      </c>
      <c r="B395">
        <v>5</v>
      </c>
      <c r="C395">
        <v>0</v>
      </c>
      <c r="D395">
        <v>0</v>
      </c>
      <c r="E395">
        <v>5</v>
      </c>
      <c r="F395">
        <v>0</v>
      </c>
      <c r="G395">
        <v>0</v>
      </c>
      <c r="H395">
        <v>0</v>
      </c>
    </row>
    <row r="396" spans="1:8" x14ac:dyDescent="0.25">
      <c r="A396" t="s">
        <v>1415</v>
      </c>
      <c r="B396">
        <v>3</v>
      </c>
      <c r="C396">
        <v>0</v>
      </c>
      <c r="D396">
        <v>0</v>
      </c>
      <c r="E396">
        <v>3</v>
      </c>
      <c r="F396">
        <v>0</v>
      </c>
      <c r="G396">
        <v>0</v>
      </c>
      <c r="H396">
        <v>0</v>
      </c>
    </row>
    <row r="397" spans="1:8" x14ac:dyDescent="0.25">
      <c r="A397" t="s">
        <v>1296</v>
      </c>
      <c r="B397">
        <v>24</v>
      </c>
      <c r="C397">
        <v>1</v>
      </c>
      <c r="D397">
        <v>1</v>
      </c>
      <c r="E397">
        <v>22</v>
      </c>
      <c r="F397">
        <v>3</v>
      </c>
      <c r="G397">
        <v>0</v>
      </c>
      <c r="H397">
        <v>0</v>
      </c>
    </row>
    <row r="399" spans="1:8" x14ac:dyDescent="0.25">
      <c r="A399" t="s">
        <v>5605</v>
      </c>
    </row>
    <row r="400" spans="1:8" x14ac:dyDescent="0.25">
      <c r="A400" t="s">
        <v>907</v>
      </c>
      <c r="B400" t="s">
        <v>4394</v>
      </c>
      <c r="C400" t="s">
        <v>4773</v>
      </c>
      <c r="D400" t="s">
        <v>4774</v>
      </c>
      <c r="E400" t="s">
        <v>4775</v>
      </c>
      <c r="F400" t="s">
        <v>4776</v>
      </c>
      <c r="G400" t="s">
        <v>4736</v>
      </c>
      <c r="H400" t="s">
        <v>4737</v>
      </c>
    </row>
    <row r="401" spans="1:8" x14ac:dyDescent="0.25">
      <c r="A401" t="s">
        <v>109</v>
      </c>
      <c r="B401">
        <v>19</v>
      </c>
      <c r="C401">
        <v>1</v>
      </c>
      <c r="D401">
        <v>0</v>
      </c>
      <c r="E401">
        <v>18</v>
      </c>
      <c r="F401">
        <v>3</v>
      </c>
      <c r="G401">
        <v>0</v>
      </c>
      <c r="H401">
        <v>0</v>
      </c>
    </row>
    <row r="402" spans="1:8" x14ac:dyDescent="0.25">
      <c r="A402" t="s">
        <v>192</v>
      </c>
      <c r="B402">
        <v>5</v>
      </c>
      <c r="C402">
        <v>0</v>
      </c>
      <c r="D402">
        <v>1</v>
      </c>
      <c r="E402">
        <v>4</v>
      </c>
      <c r="F402">
        <v>0</v>
      </c>
      <c r="G402">
        <v>0</v>
      </c>
      <c r="H402">
        <v>0</v>
      </c>
    </row>
    <row r="403" spans="1:8" x14ac:dyDescent="0.25">
      <c r="A403" t="s">
        <v>1296</v>
      </c>
      <c r="B403">
        <v>24</v>
      </c>
      <c r="C403">
        <v>1</v>
      </c>
      <c r="D403">
        <v>1</v>
      </c>
      <c r="E403">
        <v>22</v>
      </c>
      <c r="F403">
        <v>3</v>
      </c>
      <c r="G403">
        <v>0</v>
      </c>
      <c r="H403">
        <v>0</v>
      </c>
    </row>
    <row r="405" spans="1:8" x14ac:dyDescent="0.25">
      <c r="A405" t="s">
        <v>5606</v>
      </c>
    </row>
    <row r="406" spans="1:8" x14ac:dyDescent="0.25">
      <c r="A406" t="s">
        <v>903</v>
      </c>
      <c r="B406" t="s">
        <v>4394</v>
      </c>
      <c r="C406" t="s">
        <v>4773</v>
      </c>
      <c r="D406" t="s">
        <v>4774</v>
      </c>
      <c r="E406" t="s">
        <v>4775</v>
      </c>
      <c r="F406" t="s">
        <v>4776</v>
      </c>
      <c r="G406" t="s">
        <v>4736</v>
      </c>
      <c r="H406" t="s">
        <v>4737</v>
      </c>
    </row>
    <row r="407" spans="1:8" x14ac:dyDescent="0.25">
      <c r="A407" t="s">
        <v>70</v>
      </c>
      <c r="B407">
        <v>4</v>
      </c>
      <c r="C407">
        <v>0</v>
      </c>
      <c r="D407">
        <v>0</v>
      </c>
      <c r="E407">
        <v>4</v>
      </c>
      <c r="F407">
        <v>1</v>
      </c>
      <c r="G407">
        <v>0</v>
      </c>
      <c r="H407">
        <v>0</v>
      </c>
    </row>
    <row r="408" spans="1:8" x14ac:dyDescent="0.25">
      <c r="A408" t="s">
        <v>71</v>
      </c>
      <c r="B408">
        <v>20</v>
      </c>
      <c r="C408">
        <v>1</v>
      </c>
      <c r="D408">
        <v>1</v>
      </c>
      <c r="E408">
        <v>18</v>
      </c>
      <c r="F408">
        <v>2</v>
      </c>
      <c r="G408">
        <v>0</v>
      </c>
      <c r="H408">
        <v>0</v>
      </c>
    </row>
    <row r="409" spans="1:8" x14ac:dyDescent="0.25">
      <c r="A409" t="s">
        <v>1296</v>
      </c>
      <c r="B409">
        <v>24</v>
      </c>
      <c r="C409">
        <v>1</v>
      </c>
      <c r="D409">
        <v>1</v>
      </c>
      <c r="E409">
        <v>22</v>
      </c>
      <c r="F409">
        <v>3</v>
      </c>
      <c r="G409">
        <v>0</v>
      </c>
      <c r="H409">
        <v>0</v>
      </c>
    </row>
    <row r="411" spans="1:8" x14ac:dyDescent="0.25">
      <c r="A411" t="s">
        <v>5607</v>
      </c>
    </row>
    <row r="412" spans="1:8" x14ac:dyDescent="0.25">
      <c r="A412" t="s">
        <v>1297</v>
      </c>
      <c r="B412" t="s">
        <v>4394</v>
      </c>
      <c r="C412" t="s">
        <v>109</v>
      </c>
      <c r="D412" t="s">
        <v>192</v>
      </c>
    </row>
    <row r="413" spans="1:8" x14ac:dyDescent="0.25">
      <c r="A413" t="s">
        <v>5549</v>
      </c>
      <c r="B413">
        <v>26</v>
      </c>
      <c r="C413" t="s">
        <v>4777</v>
      </c>
      <c r="D413" t="s">
        <v>4768</v>
      </c>
    </row>
    <row r="414" spans="1:8" x14ac:dyDescent="0.25">
      <c r="A414" t="s">
        <v>1397</v>
      </c>
      <c r="B414">
        <v>35</v>
      </c>
      <c r="C414" t="s">
        <v>4778</v>
      </c>
      <c r="D414" t="s">
        <v>4447</v>
      </c>
    </row>
    <row r="415" spans="1:8" x14ac:dyDescent="0.25">
      <c r="A415" t="s">
        <v>1296</v>
      </c>
      <c r="B415">
        <v>61</v>
      </c>
      <c r="C415" t="s">
        <v>4779</v>
      </c>
      <c r="D415" t="s">
        <v>4780</v>
      </c>
    </row>
    <row r="417" spans="1:4" x14ac:dyDescent="0.25">
      <c r="A417" t="s">
        <v>5608</v>
      </c>
    </row>
    <row r="418" spans="1:4" x14ac:dyDescent="0.25">
      <c r="A418" t="s">
        <v>906</v>
      </c>
      <c r="B418" t="s">
        <v>4394</v>
      </c>
      <c r="C418" t="s">
        <v>109</v>
      </c>
      <c r="D418" t="s">
        <v>192</v>
      </c>
    </row>
    <row r="419" spans="1:4" x14ac:dyDescent="0.25">
      <c r="A419" t="s">
        <v>1338</v>
      </c>
      <c r="B419">
        <v>6</v>
      </c>
      <c r="C419" t="s">
        <v>4469</v>
      </c>
      <c r="D419" t="s">
        <v>4465</v>
      </c>
    </row>
    <row r="420" spans="1:4" x14ac:dyDescent="0.25">
      <c r="A420" t="s">
        <v>1370</v>
      </c>
      <c r="B420">
        <v>11</v>
      </c>
      <c r="C420" t="s">
        <v>4492</v>
      </c>
      <c r="D420" t="s">
        <v>4767</v>
      </c>
    </row>
    <row r="421" spans="1:4" x14ac:dyDescent="0.25">
      <c r="A421" t="s">
        <v>1439</v>
      </c>
      <c r="B421">
        <v>6</v>
      </c>
      <c r="C421" t="s">
        <v>4465</v>
      </c>
      <c r="D421" t="s">
        <v>4469</v>
      </c>
    </row>
    <row r="422" spans="1:4" x14ac:dyDescent="0.25">
      <c r="A422" t="s">
        <v>1476</v>
      </c>
      <c r="B422">
        <v>14</v>
      </c>
      <c r="C422" t="s">
        <v>4788</v>
      </c>
      <c r="D422" t="s">
        <v>4604</v>
      </c>
    </row>
    <row r="423" spans="1:4" x14ac:dyDescent="0.25">
      <c r="A423" t="s">
        <v>5476</v>
      </c>
      <c r="B423">
        <v>1</v>
      </c>
      <c r="C423" t="s">
        <v>4454</v>
      </c>
      <c r="D423" t="s">
        <v>4406</v>
      </c>
    </row>
    <row r="424" spans="1:4" x14ac:dyDescent="0.25">
      <c r="A424" t="s">
        <v>1399</v>
      </c>
      <c r="B424">
        <v>11</v>
      </c>
      <c r="C424" t="s">
        <v>4792</v>
      </c>
      <c r="D424" t="s">
        <v>4452</v>
      </c>
    </row>
    <row r="425" spans="1:4" x14ac:dyDescent="0.25">
      <c r="A425" t="s">
        <v>1415</v>
      </c>
      <c r="B425">
        <v>12</v>
      </c>
      <c r="C425" t="s">
        <v>4793</v>
      </c>
      <c r="D425" t="s">
        <v>4462</v>
      </c>
    </row>
    <row r="426" spans="1:4" x14ac:dyDescent="0.25">
      <c r="A426" t="s">
        <v>1296</v>
      </c>
      <c r="B426">
        <v>61</v>
      </c>
      <c r="C426" t="s">
        <v>4779</v>
      </c>
      <c r="D426" t="s">
        <v>4780</v>
      </c>
    </row>
    <row r="428" spans="1:4" x14ac:dyDescent="0.25">
      <c r="A428" t="s">
        <v>5609</v>
      </c>
    </row>
    <row r="429" spans="1:4" x14ac:dyDescent="0.25">
      <c r="A429" t="s">
        <v>907</v>
      </c>
      <c r="B429" t="s">
        <v>4394</v>
      </c>
      <c r="C429" t="s">
        <v>109</v>
      </c>
      <c r="D429" t="s">
        <v>192</v>
      </c>
    </row>
    <row r="430" spans="1:4" x14ac:dyDescent="0.25">
      <c r="A430" t="s">
        <v>109</v>
      </c>
      <c r="B430">
        <v>52</v>
      </c>
      <c r="C430" t="s">
        <v>4794</v>
      </c>
      <c r="D430" t="s">
        <v>4795</v>
      </c>
    </row>
    <row r="431" spans="1:4" x14ac:dyDescent="0.25">
      <c r="A431" t="s">
        <v>192</v>
      </c>
      <c r="B431">
        <v>9</v>
      </c>
      <c r="C431" t="s">
        <v>4570</v>
      </c>
      <c r="D431" t="s">
        <v>4727</v>
      </c>
    </row>
    <row r="432" spans="1:4" x14ac:dyDescent="0.25">
      <c r="A432" t="s">
        <v>1296</v>
      </c>
      <c r="B432">
        <v>61</v>
      </c>
      <c r="C432" t="s">
        <v>4779</v>
      </c>
      <c r="D432" t="s">
        <v>4780</v>
      </c>
    </row>
    <row r="434" spans="1:4" x14ac:dyDescent="0.25">
      <c r="A434" t="s">
        <v>5610</v>
      </c>
    </row>
    <row r="435" spans="1:4" x14ac:dyDescent="0.25">
      <c r="A435" t="s">
        <v>910</v>
      </c>
      <c r="B435" t="s">
        <v>4394</v>
      </c>
      <c r="C435" t="s">
        <v>109</v>
      </c>
      <c r="D435" t="s">
        <v>192</v>
      </c>
    </row>
    <row r="436" spans="1:4" x14ac:dyDescent="0.25">
      <c r="A436" t="s">
        <v>1371</v>
      </c>
      <c r="B436">
        <v>8</v>
      </c>
      <c r="C436" t="s">
        <v>4481</v>
      </c>
      <c r="D436" t="s">
        <v>4602</v>
      </c>
    </row>
    <row r="437" spans="1:4" x14ac:dyDescent="0.25">
      <c r="A437" t="s">
        <v>1452</v>
      </c>
      <c r="B437">
        <v>4</v>
      </c>
      <c r="C437" t="s">
        <v>4468</v>
      </c>
      <c r="D437" t="s">
        <v>4468</v>
      </c>
    </row>
    <row r="438" spans="1:4" x14ac:dyDescent="0.25">
      <c r="A438" t="s">
        <v>5560</v>
      </c>
      <c r="B438">
        <v>14</v>
      </c>
      <c r="C438" t="s">
        <v>4788</v>
      </c>
      <c r="D438" t="s">
        <v>4604</v>
      </c>
    </row>
    <row r="439" spans="1:4" x14ac:dyDescent="0.25">
      <c r="A439" t="s">
        <v>1424</v>
      </c>
      <c r="B439">
        <v>27</v>
      </c>
      <c r="C439" t="s">
        <v>4789</v>
      </c>
      <c r="D439" t="s">
        <v>4790</v>
      </c>
    </row>
    <row r="440" spans="1:4" x14ac:dyDescent="0.25">
      <c r="A440" t="s">
        <v>1340</v>
      </c>
      <c r="B440">
        <v>6</v>
      </c>
      <c r="C440" t="s">
        <v>4469</v>
      </c>
      <c r="D440" t="s">
        <v>4465</v>
      </c>
    </row>
    <row r="441" spans="1:4" x14ac:dyDescent="0.25">
      <c r="A441" t="s">
        <v>1416</v>
      </c>
      <c r="B441">
        <v>2</v>
      </c>
      <c r="C441" t="s">
        <v>4468</v>
      </c>
      <c r="D441" t="s">
        <v>4468</v>
      </c>
    </row>
    <row r="442" spans="1:4" x14ac:dyDescent="0.25">
      <c r="A442" t="s">
        <v>1296</v>
      </c>
      <c r="B442">
        <v>61</v>
      </c>
      <c r="C442" t="s">
        <v>4779</v>
      </c>
      <c r="D442" t="s">
        <v>4780</v>
      </c>
    </row>
    <row r="444" spans="1:4" x14ac:dyDescent="0.25">
      <c r="A444" t="s">
        <v>5611</v>
      </c>
    </row>
    <row r="445" spans="1:4" x14ac:dyDescent="0.25">
      <c r="A445" t="s">
        <v>928</v>
      </c>
      <c r="B445" t="s">
        <v>4394</v>
      </c>
      <c r="C445" t="s">
        <v>109</v>
      </c>
      <c r="D445" t="s">
        <v>192</v>
      </c>
    </row>
    <row r="446" spans="1:4" x14ac:dyDescent="0.25">
      <c r="A446" t="s">
        <v>4434</v>
      </c>
      <c r="B446">
        <v>28</v>
      </c>
      <c r="C446" t="s">
        <v>4468</v>
      </c>
      <c r="D446" t="s">
        <v>4468</v>
      </c>
    </row>
    <row r="447" spans="1:4" x14ac:dyDescent="0.25">
      <c r="A447" t="s">
        <v>4435</v>
      </c>
      <c r="B447">
        <v>22</v>
      </c>
      <c r="C447" t="s">
        <v>4781</v>
      </c>
      <c r="D447" t="s">
        <v>4726</v>
      </c>
    </row>
    <row r="448" spans="1:4" x14ac:dyDescent="0.25">
      <c r="A448" t="s">
        <v>4436</v>
      </c>
      <c r="B448">
        <v>10</v>
      </c>
      <c r="C448" t="s">
        <v>4782</v>
      </c>
      <c r="D448" t="s">
        <v>4489</v>
      </c>
    </row>
    <row r="449" spans="1:4" x14ac:dyDescent="0.25">
      <c r="A449" t="s">
        <v>4437</v>
      </c>
      <c r="B449">
        <v>1</v>
      </c>
      <c r="C449" t="s">
        <v>4406</v>
      </c>
      <c r="D449" t="s">
        <v>4454</v>
      </c>
    </row>
    <row r="450" spans="1:4" x14ac:dyDescent="0.25">
      <c r="A450" t="s">
        <v>1296</v>
      </c>
      <c r="B450">
        <v>61</v>
      </c>
      <c r="C450" t="s">
        <v>4779</v>
      </c>
      <c r="D450" t="s">
        <v>4780</v>
      </c>
    </row>
    <row r="452" spans="1:4" x14ac:dyDescent="0.25">
      <c r="A452" t="s">
        <v>5612</v>
      </c>
    </row>
    <row r="453" spans="1:4" x14ac:dyDescent="0.25">
      <c r="A453" t="s">
        <v>911</v>
      </c>
      <c r="B453" t="s">
        <v>4394</v>
      </c>
      <c r="C453" t="s">
        <v>109</v>
      </c>
      <c r="D453" t="s">
        <v>192</v>
      </c>
    </row>
    <row r="454" spans="1:4" x14ac:dyDescent="0.25">
      <c r="A454" t="s">
        <v>4438</v>
      </c>
      <c r="B454">
        <v>13</v>
      </c>
      <c r="C454" t="s">
        <v>4567</v>
      </c>
      <c r="D454" t="s">
        <v>5419</v>
      </c>
    </row>
    <row r="455" spans="1:4" x14ac:dyDescent="0.25">
      <c r="A455" t="s">
        <v>4439</v>
      </c>
      <c r="B455">
        <v>29</v>
      </c>
      <c r="C455" t="s">
        <v>4988</v>
      </c>
      <c r="D455" t="s">
        <v>4843</v>
      </c>
    </row>
    <row r="456" spans="1:4" x14ac:dyDescent="0.25">
      <c r="A456" t="s">
        <v>1400</v>
      </c>
      <c r="B456">
        <v>4</v>
      </c>
      <c r="C456" t="s">
        <v>4793</v>
      </c>
      <c r="D456" t="s">
        <v>4462</v>
      </c>
    </row>
    <row r="457" spans="1:4" x14ac:dyDescent="0.25">
      <c r="A457" t="s">
        <v>1340</v>
      </c>
      <c r="B457">
        <v>6</v>
      </c>
      <c r="C457" t="s">
        <v>4469</v>
      </c>
      <c r="D457" t="s">
        <v>4465</v>
      </c>
    </row>
    <row r="458" spans="1:4" x14ac:dyDescent="0.25">
      <c r="A458" t="s">
        <v>1426</v>
      </c>
      <c r="B458">
        <v>2</v>
      </c>
      <c r="C458" t="s">
        <v>4454</v>
      </c>
      <c r="D458" t="s">
        <v>4406</v>
      </c>
    </row>
    <row r="459" spans="1:4" x14ac:dyDescent="0.25">
      <c r="A459" t="s">
        <v>1372</v>
      </c>
      <c r="B459">
        <v>7</v>
      </c>
      <c r="C459" t="s">
        <v>4450</v>
      </c>
      <c r="D459" t="s">
        <v>4814</v>
      </c>
    </row>
    <row r="460" spans="1:4" x14ac:dyDescent="0.25">
      <c r="A460" t="s">
        <v>1296</v>
      </c>
      <c r="B460">
        <v>61</v>
      </c>
      <c r="C460" t="s">
        <v>4779</v>
      </c>
      <c r="D460" t="s">
        <v>4780</v>
      </c>
    </row>
    <row r="462" spans="1:4" x14ac:dyDescent="0.25">
      <c r="A462" t="s">
        <v>5613</v>
      </c>
    </row>
    <row r="463" spans="1:4" x14ac:dyDescent="0.25">
      <c r="A463" t="s">
        <v>912</v>
      </c>
      <c r="B463" t="s">
        <v>4394</v>
      </c>
      <c r="C463" t="s">
        <v>109</v>
      </c>
      <c r="D463" t="s">
        <v>192</v>
      </c>
    </row>
    <row r="464" spans="1:4" x14ac:dyDescent="0.25">
      <c r="A464" t="s">
        <v>4438</v>
      </c>
      <c r="B464">
        <v>10</v>
      </c>
      <c r="C464" t="s">
        <v>4458</v>
      </c>
      <c r="D464" t="s">
        <v>4457</v>
      </c>
    </row>
    <row r="465" spans="1:4" x14ac:dyDescent="0.25">
      <c r="A465" t="s">
        <v>4439</v>
      </c>
      <c r="B465">
        <v>27</v>
      </c>
      <c r="C465" t="s">
        <v>5231</v>
      </c>
      <c r="D465" t="s">
        <v>4755</v>
      </c>
    </row>
    <row r="466" spans="1:4" x14ac:dyDescent="0.25">
      <c r="A466" t="s">
        <v>1400</v>
      </c>
      <c r="B466">
        <v>9</v>
      </c>
      <c r="C466" t="s">
        <v>4857</v>
      </c>
      <c r="D466" t="s">
        <v>4731</v>
      </c>
    </row>
    <row r="467" spans="1:4" x14ac:dyDescent="0.25">
      <c r="A467" t="s">
        <v>1340</v>
      </c>
      <c r="B467">
        <v>6</v>
      </c>
      <c r="C467" t="s">
        <v>4469</v>
      </c>
      <c r="D467" t="s">
        <v>4465</v>
      </c>
    </row>
    <row r="468" spans="1:4" x14ac:dyDescent="0.25">
      <c r="A468" t="s">
        <v>1426</v>
      </c>
      <c r="B468">
        <v>5</v>
      </c>
      <c r="C468" t="s">
        <v>4834</v>
      </c>
      <c r="D468" t="s">
        <v>4472</v>
      </c>
    </row>
    <row r="469" spans="1:4" x14ac:dyDescent="0.25">
      <c r="A469" t="s">
        <v>1372</v>
      </c>
      <c r="B469">
        <v>4</v>
      </c>
      <c r="C469" t="s">
        <v>4462</v>
      </c>
      <c r="D469" t="s">
        <v>4793</v>
      </c>
    </row>
    <row r="470" spans="1:4" x14ac:dyDescent="0.25">
      <c r="A470" t="s">
        <v>1296</v>
      </c>
      <c r="B470">
        <v>61</v>
      </c>
      <c r="C470" t="s">
        <v>4779</v>
      </c>
      <c r="D470" t="s">
        <v>4780</v>
      </c>
    </row>
    <row r="472" spans="1:4" x14ac:dyDescent="0.25">
      <c r="A472" t="s">
        <v>5614</v>
      </c>
    </row>
    <row r="473" spans="1:4" x14ac:dyDescent="0.25">
      <c r="A473" t="s">
        <v>5481</v>
      </c>
      <c r="B473" t="s">
        <v>4394</v>
      </c>
      <c r="C473" t="s">
        <v>109</v>
      </c>
      <c r="D473" t="s">
        <v>192</v>
      </c>
    </row>
    <row r="474" spans="1:4" x14ac:dyDescent="0.25">
      <c r="A474" t="s">
        <v>4438</v>
      </c>
      <c r="B474">
        <v>18</v>
      </c>
      <c r="C474" t="s">
        <v>5214</v>
      </c>
      <c r="D474" t="s">
        <v>4444</v>
      </c>
    </row>
    <row r="475" spans="1:4" x14ac:dyDescent="0.25">
      <c r="A475" t="s">
        <v>4439</v>
      </c>
      <c r="B475">
        <v>31</v>
      </c>
      <c r="C475" t="s">
        <v>5263</v>
      </c>
      <c r="D475" t="s">
        <v>4642</v>
      </c>
    </row>
    <row r="476" spans="1:4" x14ac:dyDescent="0.25">
      <c r="A476" t="s">
        <v>1400</v>
      </c>
      <c r="B476">
        <v>1</v>
      </c>
      <c r="C476" t="s">
        <v>4454</v>
      </c>
      <c r="D476" t="s">
        <v>4406</v>
      </c>
    </row>
    <row r="477" spans="1:4" x14ac:dyDescent="0.25">
      <c r="A477" t="s">
        <v>5566</v>
      </c>
      <c r="B477">
        <v>6</v>
      </c>
      <c r="C477" t="s">
        <v>4469</v>
      </c>
      <c r="D477" t="s">
        <v>4465</v>
      </c>
    </row>
    <row r="478" spans="1:4" x14ac:dyDescent="0.25">
      <c r="A478" t="s">
        <v>1372</v>
      </c>
      <c r="B478">
        <v>5</v>
      </c>
      <c r="C478" t="s">
        <v>4472</v>
      </c>
      <c r="D478" t="s">
        <v>4834</v>
      </c>
    </row>
    <row r="479" spans="1:4" x14ac:dyDescent="0.25">
      <c r="A479" t="s">
        <v>1296</v>
      </c>
      <c r="B479">
        <v>61</v>
      </c>
      <c r="C479" t="s">
        <v>4779</v>
      </c>
      <c r="D479" t="s">
        <v>4780</v>
      </c>
    </row>
    <row r="481" spans="1:4" x14ac:dyDescent="0.25">
      <c r="A481" t="s">
        <v>5615</v>
      </c>
    </row>
    <row r="482" spans="1:4" x14ac:dyDescent="0.25">
      <c r="A482" t="s">
        <v>5477</v>
      </c>
      <c r="B482" t="s">
        <v>4394</v>
      </c>
      <c r="C482" t="s">
        <v>109</v>
      </c>
      <c r="D482" t="s">
        <v>192</v>
      </c>
    </row>
    <row r="483" spans="1:4" x14ac:dyDescent="0.25">
      <c r="A483" t="s">
        <v>4438</v>
      </c>
      <c r="B483">
        <v>12</v>
      </c>
      <c r="C483" t="s">
        <v>4791</v>
      </c>
      <c r="D483" t="s">
        <v>4702</v>
      </c>
    </row>
    <row r="484" spans="1:4" x14ac:dyDescent="0.25">
      <c r="A484" t="s">
        <v>4439</v>
      </c>
      <c r="B484">
        <v>34</v>
      </c>
      <c r="C484" t="s">
        <v>4929</v>
      </c>
      <c r="D484" t="s">
        <v>4533</v>
      </c>
    </row>
    <row r="485" spans="1:4" x14ac:dyDescent="0.25">
      <c r="A485" t="s">
        <v>1400</v>
      </c>
      <c r="B485">
        <v>4</v>
      </c>
      <c r="C485" t="s">
        <v>4468</v>
      </c>
      <c r="D485" t="s">
        <v>4468</v>
      </c>
    </row>
    <row r="486" spans="1:4" x14ac:dyDescent="0.25">
      <c r="A486" t="s">
        <v>5566</v>
      </c>
      <c r="B486">
        <v>6</v>
      </c>
      <c r="C486" t="s">
        <v>4469</v>
      </c>
      <c r="D486" t="s">
        <v>4465</v>
      </c>
    </row>
    <row r="487" spans="1:4" x14ac:dyDescent="0.25">
      <c r="A487" t="s">
        <v>1372</v>
      </c>
      <c r="B487">
        <v>5</v>
      </c>
      <c r="C487" t="s">
        <v>4472</v>
      </c>
      <c r="D487" t="s">
        <v>4834</v>
      </c>
    </row>
    <row r="488" spans="1:4" x14ac:dyDescent="0.25">
      <c r="A488" t="s">
        <v>1296</v>
      </c>
      <c r="B488">
        <v>61</v>
      </c>
      <c r="C488" t="s">
        <v>4779</v>
      </c>
      <c r="D488" t="s">
        <v>4780</v>
      </c>
    </row>
    <row r="490" spans="1:4" x14ac:dyDescent="0.25">
      <c r="A490" t="s">
        <v>5616</v>
      </c>
    </row>
    <row r="491" spans="1:4" x14ac:dyDescent="0.25">
      <c r="A491" t="s">
        <v>920</v>
      </c>
      <c r="B491" t="s">
        <v>4394</v>
      </c>
      <c r="C491" t="s">
        <v>109</v>
      </c>
      <c r="D491" t="s">
        <v>192</v>
      </c>
    </row>
    <row r="492" spans="1:4" x14ac:dyDescent="0.25">
      <c r="A492" t="s">
        <v>1343</v>
      </c>
      <c r="B492">
        <v>38</v>
      </c>
      <c r="C492" t="s">
        <v>4466</v>
      </c>
      <c r="D492" t="s">
        <v>4528</v>
      </c>
    </row>
    <row r="493" spans="1:4" x14ac:dyDescent="0.25">
      <c r="A493" t="s">
        <v>1345</v>
      </c>
      <c r="B493">
        <v>12</v>
      </c>
      <c r="C493" t="s">
        <v>4783</v>
      </c>
      <c r="D493" t="s">
        <v>4596</v>
      </c>
    </row>
    <row r="494" spans="1:4" x14ac:dyDescent="0.25">
      <c r="A494" t="s">
        <v>1466</v>
      </c>
      <c r="B494">
        <v>11</v>
      </c>
      <c r="C494" t="s">
        <v>4401</v>
      </c>
      <c r="D494" t="s">
        <v>4405</v>
      </c>
    </row>
    <row r="495" spans="1:4" x14ac:dyDescent="0.25">
      <c r="A495" t="s">
        <v>1296</v>
      </c>
      <c r="B495">
        <v>61</v>
      </c>
      <c r="C495" t="s">
        <v>4779</v>
      </c>
      <c r="D495" t="s">
        <v>4780</v>
      </c>
    </row>
    <row r="497" spans="1:14" x14ac:dyDescent="0.25">
      <c r="A497" t="s">
        <v>5617</v>
      </c>
    </row>
    <row r="498" spans="1:14" x14ac:dyDescent="0.25">
      <c r="A498" t="s">
        <v>924</v>
      </c>
      <c r="B498" t="s">
        <v>4394</v>
      </c>
      <c r="C498" t="s">
        <v>109</v>
      </c>
      <c r="D498" t="s">
        <v>192</v>
      </c>
    </row>
    <row r="499" spans="1:14" x14ac:dyDescent="0.25">
      <c r="A499" t="s">
        <v>1345</v>
      </c>
      <c r="B499">
        <v>14</v>
      </c>
      <c r="C499" t="s">
        <v>4778</v>
      </c>
      <c r="D499" t="s">
        <v>4447</v>
      </c>
    </row>
    <row r="500" spans="1:14" x14ac:dyDescent="0.25">
      <c r="A500" t="s">
        <v>1441</v>
      </c>
      <c r="B500">
        <v>21</v>
      </c>
      <c r="C500" t="s">
        <v>4784</v>
      </c>
      <c r="D500" t="s">
        <v>4785</v>
      </c>
    </row>
    <row r="501" spans="1:14" x14ac:dyDescent="0.25">
      <c r="A501" t="s">
        <v>1461</v>
      </c>
      <c r="B501">
        <v>23</v>
      </c>
      <c r="C501" t="s">
        <v>4786</v>
      </c>
      <c r="D501" t="s">
        <v>4787</v>
      </c>
    </row>
    <row r="502" spans="1:14" x14ac:dyDescent="0.25">
      <c r="A502" t="s">
        <v>5554</v>
      </c>
      <c r="B502">
        <v>3</v>
      </c>
      <c r="C502" t="s">
        <v>4469</v>
      </c>
      <c r="D502" t="s">
        <v>4465</v>
      </c>
    </row>
    <row r="503" spans="1:14" x14ac:dyDescent="0.25">
      <c r="A503" t="s">
        <v>1296</v>
      </c>
      <c r="B503">
        <v>61</v>
      </c>
      <c r="C503" t="s">
        <v>4779</v>
      </c>
      <c r="D503" t="s">
        <v>4780</v>
      </c>
    </row>
    <row r="505" spans="1:14" x14ac:dyDescent="0.25">
      <c r="A505" t="s">
        <v>5618</v>
      </c>
    </row>
    <row r="506" spans="1:14" x14ac:dyDescent="0.25">
      <c r="A506" t="s">
        <v>903</v>
      </c>
      <c r="B506" t="s">
        <v>4394</v>
      </c>
      <c r="C506" t="s">
        <v>109</v>
      </c>
      <c r="D506" t="s">
        <v>192</v>
      </c>
    </row>
    <row r="507" spans="1:14" x14ac:dyDescent="0.25">
      <c r="A507" t="s">
        <v>70</v>
      </c>
      <c r="B507">
        <v>11</v>
      </c>
      <c r="C507" t="s">
        <v>4767</v>
      </c>
      <c r="D507" t="s">
        <v>4492</v>
      </c>
    </row>
    <row r="508" spans="1:14" x14ac:dyDescent="0.25">
      <c r="A508" t="s">
        <v>71</v>
      </c>
      <c r="B508">
        <v>50</v>
      </c>
      <c r="C508" t="s">
        <v>4457</v>
      </c>
      <c r="D508" t="s">
        <v>4458</v>
      </c>
    </row>
    <row r="509" spans="1:14" x14ac:dyDescent="0.25">
      <c r="A509" t="s">
        <v>1296</v>
      </c>
      <c r="B509">
        <v>61</v>
      </c>
      <c r="C509" t="s">
        <v>4779</v>
      </c>
      <c r="D509" t="s">
        <v>4780</v>
      </c>
    </row>
    <row r="511" spans="1:14" x14ac:dyDescent="0.25">
      <c r="A511" t="s">
        <v>5619</v>
      </c>
    </row>
    <row r="512" spans="1:14" x14ac:dyDescent="0.25">
      <c r="A512" t="s">
        <v>1297</v>
      </c>
      <c r="B512" t="s">
        <v>4394</v>
      </c>
      <c r="C512" t="s">
        <v>4732</v>
      </c>
      <c r="D512" t="s">
        <v>4797</v>
      </c>
      <c r="E512" t="s">
        <v>4736</v>
      </c>
      <c r="F512" t="s">
        <v>4737</v>
      </c>
      <c r="G512" t="s">
        <v>4798</v>
      </c>
      <c r="H512" t="s">
        <v>4799</v>
      </c>
      <c r="I512" t="s">
        <v>4800</v>
      </c>
      <c r="J512" t="s">
        <v>4801</v>
      </c>
      <c r="K512" t="s">
        <v>4802</v>
      </c>
      <c r="L512" t="s">
        <v>4803</v>
      </c>
      <c r="M512" t="s">
        <v>4804</v>
      </c>
      <c r="N512" t="s">
        <v>4805</v>
      </c>
    </row>
    <row r="513" spans="1:14" x14ac:dyDescent="0.25">
      <c r="A513" t="s">
        <v>5549</v>
      </c>
      <c r="B513">
        <v>1</v>
      </c>
      <c r="C513">
        <v>0</v>
      </c>
      <c r="D513">
        <v>0</v>
      </c>
      <c r="E513">
        <v>0</v>
      </c>
      <c r="F513">
        <v>0</v>
      </c>
      <c r="G513">
        <v>0</v>
      </c>
      <c r="H513">
        <v>1</v>
      </c>
      <c r="I513">
        <v>1</v>
      </c>
      <c r="J513">
        <v>0</v>
      </c>
      <c r="K513">
        <v>0</v>
      </c>
      <c r="L513">
        <v>0</v>
      </c>
      <c r="M513">
        <v>0</v>
      </c>
      <c r="N513">
        <v>0</v>
      </c>
    </row>
    <row r="514" spans="1:14" x14ac:dyDescent="0.25">
      <c r="A514" t="s">
        <v>1296</v>
      </c>
      <c r="B514">
        <v>1</v>
      </c>
      <c r="C514">
        <v>0</v>
      </c>
      <c r="D514">
        <v>0</v>
      </c>
      <c r="E514">
        <v>0</v>
      </c>
      <c r="F514">
        <v>0</v>
      </c>
      <c r="G514">
        <v>0</v>
      </c>
      <c r="H514">
        <v>1</v>
      </c>
      <c r="I514">
        <v>1</v>
      </c>
      <c r="J514">
        <v>0</v>
      </c>
      <c r="K514">
        <v>0</v>
      </c>
      <c r="L514">
        <v>0</v>
      </c>
      <c r="M514">
        <v>0</v>
      </c>
      <c r="N514">
        <v>0</v>
      </c>
    </row>
    <row r="516" spans="1:14" x14ac:dyDescent="0.25">
      <c r="A516" t="s">
        <v>5620</v>
      </c>
    </row>
    <row r="517" spans="1:14" x14ac:dyDescent="0.25">
      <c r="A517" t="s">
        <v>1297</v>
      </c>
      <c r="B517" t="s">
        <v>4394</v>
      </c>
      <c r="C517" t="s">
        <v>4620</v>
      </c>
      <c r="D517" t="s">
        <v>4621</v>
      </c>
      <c r="E517" t="s">
        <v>4622</v>
      </c>
      <c r="F517" t="s">
        <v>4624</v>
      </c>
    </row>
    <row r="518" spans="1:14" x14ac:dyDescent="0.25">
      <c r="A518" t="s">
        <v>5549</v>
      </c>
      <c r="B518">
        <v>198</v>
      </c>
      <c r="C518" t="s">
        <v>4404</v>
      </c>
      <c r="D518" t="s">
        <v>4742</v>
      </c>
      <c r="E518" t="s">
        <v>4806</v>
      </c>
      <c r="F518" t="s">
        <v>4731</v>
      </c>
    </row>
    <row r="519" spans="1:14" x14ac:dyDescent="0.25">
      <c r="A519" t="s">
        <v>1397</v>
      </c>
      <c r="B519">
        <v>99</v>
      </c>
      <c r="C519" t="s">
        <v>4406</v>
      </c>
      <c r="D519" t="s">
        <v>4402</v>
      </c>
      <c r="E519" t="s">
        <v>4592</v>
      </c>
      <c r="F519" t="s">
        <v>4807</v>
      </c>
    </row>
    <row r="520" spans="1:14" x14ac:dyDescent="0.25">
      <c r="A520" t="s">
        <v>1296</v>
      </c>
      <c r="B520">
        <v>297</v>
      </c>
      <c r="C520" t="s">
        <v>4808</v>
      </c>
      <c r="D520" t="s">
        <v>4656</v>
      </c>
      <c r="E520" t="s">
        <v>4809</v>
      </c>
      <c r="F520" t="s">
        <v>4810</v>
      </c>
    </row>
    <row r="522" spans="1:14" x14ac:dyDescent="0.25">
      <c r="A522" t="s">
        <v>5621</v>
      </c>
    </row>
    <row r="523" spans="1:14" x14ac:dyDescent="0.25">
      <c r="A523" t="s">
        <v>929</v>
      </c>
      <c r="B523" t="s">
        <v>4394</v>
      </c>
      <c r="C523" t="s">
        <v>4620</v>
      </c>
      <c r="D523" t="s">
        <v>4621</v>
      </c>
      <c r="E523" t="s">
        <v>4622</v>
      </c>
      <c r="F523" t="s">
        <v>4624</v>
      </c>
    </row>
    <row r="524" spans="1:14" x14ac:dyDescent="0.25">
      <c r="A524" t="s">
        <v>1664</v>
      </c>
      <c r="B524">
        <v>2</v>
      </c>
      <c r="C524" t="s">
        <v>4406</v>
      </c>
      <c r="D524" t="s">
        <v>4406</v>
      </c>
      <c r="E524" t="s">
        <v>4454</v>
      </c>
      <c r="F524" t="s">
        <v>4406</v>
      </c>
    </row>
    <row r="525" spans="1:14" x14ac:dyDescent="0.25">
      <c r="A525" t="s">
        <v>1315</v>
      </c>
      <c r="B525">
        <v>197</v>
      </c>
      <c r="C525" t="s">
        <v>4404</v>
      </c>
      <c r="D525" t="s">
        <v>4741</v>
      </c>
      <c r="E525" t="s">
        <v>4811</v>
      </c>
      <c r="F525" t="s">
        <v>4411</v>
      </c>
    </row>
    <row r="526" spans="1:14" x14ac:dyDescent="0.25">
      <c r="A526" t="s">
        <v>1353</v>
      </c>
      <c r="B526">
        <v>98</v>
      </c>
      <c r="C526" t="s">
        <v>4406</v>
      </c>
      <c r="D526" t="s">
        <v>4744</v>
      </c>
      <c r="E526" t="s">
        <v>4730</v>
      </c>
      <c r="F526" t="s">
        <v>4558</v>
      </c>
    </row>
    <row r="527" spans="1:14" x14ac:dyDescent="0.25">
      <c r="A527" t="s">
        <v>1296</v>
      </c>
      <c r="B527">
        <v>297</v>
      </c>
      <c r="C527" t="s">
        <v>4808</v>
      </c>
      <c r="D527" t="s">
        <v>4656</v>
      </c>
      <c r="E527" t="s">
        <v>4809</v>
      </c>
      <c r="F527" t="s">
        <v>4810</v>
      </c>
    </row>
    <row r="529" spans="1:6" x14ac:dyDescent="0.25">
      <c r="A529" t="s">
        <v>5622</v>
      </c>
    </row>
    <row r="530" spans="1:6" x14ac:dyDescent="0.25">
      <c r="A530" t="s">
        <v>906</v>
      </c>
      <c r="B530" t="s">
        <v>4394</v>
      </c>
      <c r="C530" t="s">
        <v>4620</v>
      </c>
      <c r="D530" t="s">
        <v>4621</v>
      </c>
      <c r="E530" t="s">
        <v>4622</v>
      </c>
      <c r="F530" t="s">
        <v>4624</v>
      </c>
    </row>
    <row r="531" spans="1:6" x14ac:dyDescent="0.25">
      <c r="A531" t="s">
        <v>1338</v>
      </c>
      <c r="B531">
        <v>46</v>
      </c>
      <c r="C531" t="s">
        <v>4581</v>
      </c>
      <c r="D531" t="s">
        <v>4684</v>
      </c>
      <c r="E531" t="s">
        <v>4813</v>
      </c>
      <c r="F531" t="s">
        <v>4606</v>
      </c>
    </row>
    <row r="532" spans="1:6" x14ac:dyDescent="0.25">
      <c r="A532" t="s">
        <v>1370</v>
      </c>
      <c r="B532">
        <v>33</v>
      </c>
      <c r="C532" t="s">
        <v>4406</v>
      </c>
      <c r="D532" t="s">
        <v>4406</v>
      </c>
      <c r="E532" t="s">
        <v>4767</v>
      </c>
      <c r="F532" t="s">
        <v>4492</v>
      </c>
    </row>
    <row r="533" spans="1:6" x14ac:dyDescent="0.25">
      <c r="A533" t="s">
        <v>1439</v>
      </c>
      <c r="B533">
        <v>21</v>
      </c>
      <c r="C533" t="s">
        <v>4406</v>
      </c>
      <c r="D533" t="s">
        <v>4675</v>
      </c>
      <c r="E533" t="s">
        <v>4814</v>
      </c>
      <c r="F533" t="s">
        <v>4785</v>
      </c>
    </row>
    <row r="534" spans="1:6" x14ac:dyDescent="0.25">
      <c r="A534" t="s">
        <v>1476</v>
      </c>
      <c r="B534">
        <v>71</v>
      </c>
      <c r="C534" t="s">
        <v>4406</v>
      </c>
      <c r="D534" t="s">
        <v>4751</v>
      </c>
      <c r="E534" t="s">
        <v>4815</v>
      </c>
      <c r="F534" t="s">
        <v>4687</v>
      </c>
    </row>
    <row r="535" spans="1:6" x14ac:dyDescent="0.25">
      <c r="A535" t="s">
        <v>5476</v>
      </c>
      <c r="B535">
        <v>6</v>
      </c>
      <c r="C535" t="s">
        <v>4406</v>
      </c>
      <c r="D535" t="s">
        <v>4406</v>
      </c>
      <c r="E535" t="s">
        <v>4783</v>
      </c>
      <c r="F535" t="s">
        <v>4596</v>
      </c>
    </row>
    <row r="536" spans="1:6" x14ac:dyDescent="0.25">
      <c r="A536" t="s">
        <v>1399</v>
      </c>
      <c r="B536">
        <v>44</v>
      </c>
      <c r="C536" t="s">
        <v>4406</v>
      </c>
      <c r="D536" t="s">
        <v>4406</v>
      </c>
      <c r="E536" t="s">
        <v>4613</v>
      </c>
      <c r="F536" t="s">
        <v>4816</v>
      </c>
    </row>
    <row r="537" spans="1:6" x14ac:dyDescent="0.25">
      <c r="A537" t="s">
        <v>1415</v>
      </c>
      <c r="B537">
        <v>76</v>
      </c>
      <c r="C537" t="s">
        <v>4406</v>
      </c>
      <c r="D537" t="s">
        <v>4742</v>
      </c>
      <c r="E537" t="s">
        <v>4817</v>
      </c>
      <c r="F537" t="s">
        <v>4504</v>
      </c>
    </row>
    <row r="538" spans="1:6" x14ac:dyDescent="0.25">
      <c r="A538" t="s">
        <v>1296</v>
      </c>
      <c r="B538">
        <v>297</v>
      </c>
      <c r="C538" t="s">
        <v>4808</v>
      </c>
      <c r="D538" t="s">
        <v>4656</v>
      </c>
      <c r="E538" t="s">
        <v>4809</v>
      </c>
      <c r="F538" t="s">
        <v>4810</v>
      </c>
    </row>
    <row r="540" spans="1:6" x14ac:dyDescent="0.25">
      <c r="A540" t="s">
        <v>5623</v>
      </c>
    </row>
    <row r="541" spans="1:6" x14ac:dyDescent="0.25">
      <c r="A541" t="s">
        <v>907</v>
      </c>
      <c r="B541" t="s">
        <v>4394</v>
      </c>
      <c r="C541" t="s">
        <v>4620</v>
      </c>
      <c r="D541" t="s">
        <v>4621</v>
      </c>
      <c r="E541" t="s">
        <v>4622</v>
      </c>
      <c r="F541" t="s">
        <v>4624</v>
      </c>
    </row>
    <row r="542" spans="1:6" x14ac:dyDescent="0.25">
      <c r="A542" t="s">
        <v>109</v>
      </c>
      <c r="B542">
        <v>257</v>
      </c>
      <c r="C542" t="s">
        <v>4818</v>
      </c>
      <c r="D542" t="s">
        <v>4656</v>
      </c>
      <c r="E542" t="s">
        <v>4819</v>
      </c>
      <c r="F542" t="s">
        <v>4820</v>
      </c>
    </row>
    <row r="543" spans="1:6" x14ac:dyDescent="0.25">
      <c r="A543" t="s">
        <v>192</v>
      </c>
      <c r="B543">
        <v>40</v>
      </c>
      <c r="C543" t="s">
        <v>4406</v>
      </c>
      <c r="D543" t="s">
        <v>4758</v>
      </c>
      <c r="E543" t="s">
        <v>4821</v>
      </c>
      <c r="F543" t="s">
        <v>4489</v>
      </c>
    </row>
    <row r="544" spans="1:6" x14ac:dyDescent="0.25">
      <c r="A544" t="s">
        <v>1296</v>
      </c>
      <c r="B544">
        <v>297</v>
      </c>
      <c r="C544" t="s">
        <v>4808</v>
      </c>
      <c r="D544" t="s">
        <v>4656</v>
      </c>
      <c r="E544" t="s">
        <v>4809</v>
      </c>
      <c r="F544" t="s">
        <v>4810</v>
      </c>
    </row>
    <row r="546" spans="1:6" x14ac:dyDescent="0.25">
      <c r="A546" t="s">
        <v>5624</v>
      </c>
    </row>
    <row r="547" spans="1:6" x14ac:dyDescent="0.25">
      <c r="A547" t="s">
        <v>1295</v>
      </c>
      <c r="B547" t="s">
        <v>4394</v>
      </c>
      <c r="C547" t="s">
        <v>4620</v>
      </c>
      <c r="D547" t="s">
        <v>4621</v>
      </c>
      <c r="E547" t="s">
        <v>4622</v>
      </c>
      <c r="F547" t="s">
        <v>4624</v>
      </c>
    </row>
    <row r="548" spans="1:6" x14ac:dyDescent="0.25">
      <c r="A548" t="s">
        <v>4395</v>
      </c>
      <c r="B548">
        <v>32</v>
      </c>
      <c r="C548" t="s">
        <v>4406</v>
      </c>
      <c r="D548" t="s">
        <v>4695</v>
      </c>
      <c r="E548" t="s">
        <v>4521</v>
      </c>
      <c r="F548" t="s">
        <v>4665</v>
      </c>
    </row>
    <row r="549" spans="1:6" x14ac:dyDescent="0.25">
      <c r="A549" t="s">
        <v>4396</v>
      </c>
      <c r="B549">
        <v>169</v>
      </c>
      <c r="C549" t="s">
        <v>4413</v>
      </c>
      <c r="D549" t="s">
        <v>4400</v>
      </c>
      <c r="E549" t="s">
        <v>4823</v>
      </c>
      <c r="F549" t="s">
        <v>4824</v>
      </c>
    </row>
    <row r="550" spans="1:6" x14ac:dyDescent="0.25">
      <c r="A550" t="s">
        <v>4397</v>
      </c>
      <c r="B550">
        <v>2</v>
      </c>
      <c r="C550" t="s">
        <v>4406</v>
      </c>
      <c r="D550" t="s">
        <v>4406</v>
      </c>
      <c r="E550" t="s">
        <v>4406</v>
      </c>
      <c r="F550" t="s">
        <v>4454</v>
      </c>
    </row>
    <row r="551" spans="1:6" x14ac:dyDescent="0.25">
      <c r="A551" t="s">
        <v>4398</v>
      </c>
      <c r="B551">
        <v>92</v>
      </c>
      <c r="C551" t="s">
        <v>4406</v>
      </c>
      <c r="D551" t="s">
        <v>4825</v>
      </c>
      <c r="E551" t="s">
        <v>4826</v>
      </c>
      <c r="F551" t="s">
        <v>4827</v>
      </c>
    </row>
    <row r="552" spans="1:6" x14ac:dyDescent="0.25">
      <c r="A552" t="s">
        <v>4399</v>
      </c>
      <c r="B552">
        <v>2</v>
      </c>
      <c r="C552" t="s">
        <v>4406</v>
      </c>
      <c r="D552" t="s">
        <v>4406</v>
      </c>
      <c r="E552" t="s">
        <v>4454</v>
      </c>
      <c r="F552" t="s">
        <v>4406</v>
      </c>
    </row>
    <row r="553" spans="1:6" x14ac:dyDescent="0.25">
      <c r="A553" t="s">
        <v>1296</v>
      </c>
      <c r="B553">
        <v>297</v>
      </c>
      <c r="C553" t="s">
        <v>4808</v>
      </c>
      <c r="D553" t="s">
        <v>4656</v>
      </c>
      <c r="E553" t="s">
        <v>4809</v>
      </c>
      <c r="F553" t="s">
        <v>4810</v>
      </c>
    </row>
    <row r="555" spans="1:6" x14ac:dyDescent="0.25">
      <c r="A555" t="s">
        <v>5625</v>
      </c>
    </row>
    <row r="556" spans="1:6" x14ac:dyDescent="0.25">
      <c r="A556" t="s">
        <v>910</v>
      </c>
      <c r="B556" t="s">
        <v>4394</v>
      </c>
      <c r="C556" t="s">
        <v>4620</v>
      </c>
      <c r="D556" t="s">
        <v>4621</v>
      </c>
      <c r="E556" t="s">
        <v>4622</v>
      </c>
      <c r="F556" t="s">
        <v>4624</v>
      </c>
    </row>
    <row r="557" spans="1:6" x14ac:dyDescent="0.25">
      <c r="A557" t="s">
        <v>1371</v>
      </c>
      <c r="B557">
        <v>42</v>
      </c>
      <c r="C557" t="s">
        <v>4406</v>
      </c>
      <c r="D557" t="s">
        <v>4406</v>
      </c>
      <c r="E557" t="s">
        <v>4828</v>
      </c>
      <c r="F557" t="s">
        <v>4411</v>
      </c>
    </row>
    <row r="558" spans="1:6" x14ac:dyDescent="0.25">
      <c r="A558" t="s">
        <v>1452</v>
      </c>
      <c r="B558">
        <v>18</v>
      </c>
      <c r="C558" t="s">
        <v>4571</v>
      </c>
      <c r="D558" t="s">
        <v>4596</v>
      </c>
      <c r="E558" t="s">
        <v>4570</v>
      </c>
      <c r="F558" t="s">
        <v>4465</v>
      </c>
    </row>
    <row r="559" spans="1:6" x14ac:dyDescent="0.25">
      <c r="A559" t="s">
        <v>5560</v>
      </c>
      <c r="B559">
        <v>59</v>
      </c>
      <c r="C559" t="s">
        <v>4406</v>
      </c>
      <c r="D559" t="s">
        <v>4888</v>
      </c>
      <c r="E559" t="s">
        <v>4540</v>
      </c>
      <c r="F559" t="s">
        <v>5232</v>
      </c>
    </row>
    <row r="560" spans="1:6" x14ac:dyDescent="0.25">
      <c r="A560" t="s">
        <v>1424</v>
      </c>
      <c r="B560">
        <v>120</v>
      </c>
      <c r="C560" t="s">
        <v>4406</v>
      </c>
      <c r="D560" t="s">
        <v>4651</v>
      </c>
      <c r="E560" t="s">
        <v>4782</v>
      </c>
      <c r="F560" t="s">
        <v>4415</v>
      </c>
    </row>
    <row r="561" spans="1:6" x14ac:dyDescent="0.25">
      <c r="A561" t="s">
        <v>1340</v>
      </c>
      <c r="B561">
        <v>31</v>
      </c>
      <c r="C561" t="s">
        <v>4406</v>
      </c>
      <c r="D561" t="s">
        <v>4420</v>
      </c>
      <c r="E561" t="s">
        <v>4562</v>
      </c>
      <c r="F561" t="s">
        <v>4561</v>
      </c>
    </row>
    <row r="562" spans="1:6" x14ac:dyDescent="0.25">
      <c r="A562" t="s">
        <v>5561</v>
      </c>
      <c r="B562">
        <v>8</v>
      </c>
      <c r="C562" t="s">
        <v>4406</v>
      </c>
      <c r="D562" t="s">
        <v>4406</v>
      </c>
      <c r="E562" t="s">
        <v>4454</v>
      </c>
      <c r="F562" t="s">
        <v>4406</v>
      </c>
    </row>
    <row r="563" spans="1:6" x14ac:dyDescent="0.25">
      <c r="A563" t="s">
        <v>1416</v>
      </c>
      <c r="B563">
        <v>19</v>
      </c>
      <c r="C563" t="s">
        <v>4406</v>
      </c>
      <c r="D563" t="s">
        <v>4640</v>
      </c>
      <c r="E563" t="s">
        <v>4830</v>
      </c>
      <c r="F563" t="s">
        <v>4640</v>
      </c>
    </row>
    <row r="564" spans="1:6" x14ac:dyDescent="0.25">
      <c r="A564" t="s">
        <v>1296</v>
      </c>
      <c r="B564">
        <v>297</v>
      </c>
      <c r="C564" t="s">
        <v>4808</v>
      </c>
      <c r="D564" t="s">
        <v>4656</v>
      </c>
      <c r="E564" t="s">
        <v>4809</v>
      </c>
      <c r="F564" t="s">
        <v>4810</v>
      </c>
    </row>
    <row r="566" spans="1:6" x14ac:dyDescent="0.25">
      <c r="A566" t="s">
        <v>5626</v>
      </c>
    </row>
    <row r="567" spans="1:6" x14ac:dyDescent="0.25">
      <c r="A567" t="s">
        <v>903</v>
      </c>
      <c r="B567" t="s">
        <v>4394</v>
      </c>
      <c r="C567" t="s">
        <v>4620</v>
      </c>
      <c r="D567" t="s">
        <v>4621</v>
      </c>
      <c r="E567" t="s">
        <v>4622</v>
      </c>
      <c r="F567" t="s">
        <v>4624</v>
      </c>
    </row>
    <row r="568" spans="1:6" x14ac:dyDescent="0.25">
      <c r="A568" t="s">
        <v>70</v>
      </c>
      <c r="B568">
        <v>85</v>
      </c>
      <c r="C568" t="s">
        <v>4406</v>
      </c>
      <c r="D568" t="s">
        <v>4422</v>
      </c>
      <c r="E568" t="s">
        <v>4831</v>
      </c>
      <c r="F568" t="s">
        <v>4475</v>
      </c>
    </row>
    <row r="569" spans="1:6" x14ac:dyDescent="0.25">
      <c r="A569" t="s">
        <v>71</v>
      </c>
      <c r="B569">
        <v>212</v>
      </c>
      <c r="C569" t="s">
        <v>4404</v>
      </c>
      <c r="D569" t="s">
        <v>4741</v>
      </c>
      <c r="E569" t="s">
        <v>4418</v>
      </c>
      <c r="F569" t="s">
        <v>4471</v>
      </c>
    </row>
    <row r="570" spans="1:6" x14ac:dyDescent="0.25">
      <c r="A570" t="s">
        <v>1296</v>
      </c>
      <c r="B570">
        <v>297</v>
      </c>
      <c r="C570" t="s">
        <v>4808</v>
      </c>
      <c r="D570" t="s">
        <v>4656</v>
      </c>
      <c r="E570" t="s">
        <v>4809</v>
      </c>
      <c r="F570" t="s">
        <v>4810</v>
      </c>
    </row>
    <row r="572" spans="1:6" x14ac:dyDescent="0.25">
      <c r="A572" t="s">
        <v>5627</v>
      </c>
    </row>
    <row r="573" spans="1:6" x14ac:dyDescent="0.25">
      <c r="A573" t="s">
        <v>1297</v>
      </c>
      <c r="B573" t="s">
        <v>4394</v>
      </c>
      <c r="C573" t="s">
        <v>1664</v>
      </c>
      <c r="D573" t="s">
        <v>1315</v>
      </c>
      <c r="E573" t="s">
        <v>1353</v>
      </c>
    </row>
    <row r="574" spans="1:6" x14ac:dyDescent="0.25">
      <c r="A574" t="s">
        <v>5549</v>
      </c>
      <c r="B574">
        <v>198</v>
      </c>
      <c r="C574" t="s">
        <v>4404</v>
      </c>
      <c r="D574" t="s">
        <v>4547</v>
      </c>
      <c r="E574" t="s">
        <v>4832</v>
      </c>
    </row>
    <row r="575" spans="1:6" x14ac:dyDescent="0.25">
      <c r="A575" t="s">
        <v>1397</v>
      </c>
      <c r="B575">
        <v>99</v>
      </c>
      <c r="C575" t="s">
        <v>4402</v>
      </c>
      <c r="D575" t="s">
        <v>4806</v>
      </c>
      <c r="E575" t="s">
        <v>4580</v>
      </c>
    </row>
    <row r="576" spans="1:6" x14ac:dyDescent="0.25">
      <c r="A576" t="s">
        <v>1296</v>
      </c>
      <c r="B576">
        <v>297</v>
      </c>
      <c r="C576" t="s">
        <v>4410</v>
      </c>
      <c r="D576" t="s">
        <v>4833</v>
      </c>
      <c r="E576" t="s">
        <v>4513</v>
      </c>
    </row>
    <row r="578" spans="1:5" x14ac:dyDescent="0.25">
      <c r="A578" t="s">
        <v>5628</v>
      </c>
    </row>
    <row r="579" spans="1:5" x14ac:dyDescent="0.25">
      <c r="A579" t="s">
        <v>906</v>
      </c>
      <c r="B579" t="s">
        <v>4394</v>
      </c>
      <c r="C579" t="s">
        <v>1664</v>
      </c>
      <c r="D579" t="s">
        <v>1315</v>
      </c>
      <c r="E579" t="s">
        <v>1353</v>
      </c>
    </row>
    <row r="580" spans="1:5" x14ac:dyDescent="0.25">
      <c r="A580" t="s">
        <v>1338</v>
      </c>
      <c r="B580">
        <v>46</v>
      </c>
      <c r="C580" t="s">
        <v>4406</v>
      </c>
      <c r="D580" t="s">
        <v>4579</v>
      </c>
      <c r="E580" t="s">
        <v>4682</v>
      </c>
    </row>
    <row r="581" spans="1:5" x14ac:dyDescent="0.25">
      <c r="A581" t="s">
        <v>1370</v>
      </c>
      <c r="B581">
        <v>33</v>
      </c>
      <c r="C581" t="s">
        <v>4741</v>
      </c>
      <c r="D581" t="s">
        <v>5002</v>
      </c>
      <c r="E581" t="s">
        <v>4863</v>
      </c>
    </row>
    <row r="582" spans="1:5" x14ac:dyDescent="0.25">
      <c r="A582" t="s">
        <v>1439</v>
      </c>
      <c r="B582">
        <v>21</v>
      </c>
      <c r="C582" t="s">
        <v>4406</v>
      </c>
      <c r="D582" t="s">
        <v>4836</v>
      </c>
      <c r="E582" t="s">
        <v>4556</v>
      </c>
    </row>
    <row r="583" spans="1:5" x14ac:dyDescent="0.25">
      <c r="A583" t="s">
        <v>1476</v>
      </c>
      <c r="B583">
        <v>71</v>
      </c>
      <c r="C583" t="s">
        <v>4406</v>
      </c>
      <c r="D583" t="s">
        <v>4704</v>
      </c>
      <c r="E583" t="s">
        <v>4815</v>
      </c>
    </row>
    <row r="584" spans="1:5" x14ac:dyDescent="0.25">
      <c r="A584" t="s">
        <v>5476</v>
      </c>
      <c r="B584">
        <v>6</v>
      </c>
      <c r="C584" t="s">
        <v>4406</v>
      </c>
      <c r="D584" t="s">
        <v>4465</v>
      </c>
      <c r="E584" t="s">
        <v>4469</v>
      </c>
    </row>
    <row r="585" spans="1:5" x14ac:dyDescent="0.25">
      <c r="A585" t="s">
        <v>1399</v>
      </c>
      <c r="B585">
        <v>44</v>
      </c>
      <c r="C585" t="s">
        <v>4406</v>
      </c>
      <c r="D585" t="s">
        <v>4837</v>
      </c>
      <c r="E585" t="s">
        <v>4766</v>
      </c>
    </row>
    <row r="586" spans="1:5" x14ac:dyDescent="0.25">
      <c r="A586" t="s">
        <v>1415</v>
      </c>
      <c r="B586">
        <v>76</v>
      </c>
      <c r="C586" t="s">
        <v>4406</v>
      </c>
      <c r="D586" t="s">
        <v>4838</v>
      </c>
      <c r="E586" t="s">
        <v>4617</v>
      </c>
    </row>
    <row r="587" spans="1:5" x14ac:dyDescent="0.25">
      <c r="A587" t="s">
        <v>1296</v>
      </c>
      <c r="B587">
        <v>297</v>
      </c>
      <c r="C587" t="s">
        <v>4410</v>
      </c>
      <c r="D587" t="s">
        <v>4833</v>
      </c>
      <c r="E587" t="s">
        <v>4513</v>
      </c>
    </row>
    <row r="589" spans="1:5" x14ac:dyDescent="0.25">
      <c r="A589" t="s">
        <v>5629</v>
      </c>
    </row>
    <row r="590" spans="1:5" x14ac:dyDescent="0.25">
      <c r="A590" t="s">
        <v>907</v>
      </c>
      <c r="B590" t="s">
        <v>4394</v>
      </c>
      <c r="C590" t="s">
        <v>1664</v>
      </c>
      <c r="D590" t="s">
        <v>1315</v>
      </c>
      <c r="E590" t="s">
        <v>1353</v>
      </c>
    </row>
    <row r="591" spans="1:5" x14ac:dyDescent="0.25">
      <c r="A591" t="s">
        <v>109</v>
      </c>
      <c r="B591">
        <v>257</v>
      </c>
      <c r="C591" t="s">
        <v>4417</v>
      </c>
      <c r="D591" t="s">
        <v>4550</v>
      </c>
      <c r="E591" t="s">
        <v>4839</v>
      </c>
    </row>
    <row r="592" spans="1:5" x14ac:dyDescent="0.25">
      <c r="A592" t="s">
        <v>192</v>
      </c>
      <c r="B592">
        <v>40</v>
      </c>
      <c r="C592" t="s">
        <v>4406</v>
      </c>
      <c r="D592" t="s">
        <v>4840</v>
      </c>
      <c r="E592" t="s">
        <v>4594</v>
      </c>
    </row>
    <row r="593" spans="1:5" x14ac:dyDescent="0.25">
      <c r="A593" t="s">
        <v>1296</v>
      </c>
      <c r="B593">
        <v>297</v>
      </c>
      <c r="C593" t="s">
        <v>4410</v>
      </c>
      <c r="D593" t="s">
        <v>4833</v>
      </c>
      <c r="E593" t="s">
        <v>4513</v>
      </c>
    </row>
    <row r="595" spans="1:5" x14ac:dyDescent="0.25">
      <c r="A595" t="s">
        <v>5630</v>
      </c>
    </row>
    <row r="596" spans="1:5" x14ac:dyDescent="0.25">
      <c r="A596" t="s">
        <v>928</v>
      </c>
      <c r="B596" t="s">
        <v>4394</v>
      </c>
      <c r="C596" t="s">
        <v>1664</v>
      </c>
      <c r="D596" t="s">
        <v>1315</v>
      </c>
      <c r="E596" t="s">
        <v>1353</v>
      </c>
    </row>
    <row r="597" spans="1:5" x14ac:dyDescent="0.25">
      <c r="A597" t="s">
        <v>4433</v>
      </c>
      <c r="B597">
        <v>5</v>
      </c>
      <c r="C597" t="s">
        <v>4406</v>
      </c>
      <c r="D597" t="s">
        <v>4834</v>
      </c>
      <c r="E597" t="s">
        <v>4472</v>
      </c>
    </row>
    <row r="598" spans="1:5" x14ac:dyDescent="0.25">
      <c r="A598" t="s">
        <v>4434</v>
      </c>
      <c r="B598">
        <v>119</v>
      </c>
      <c r="C598" t="s">
        <v>4417</v>
      </c>
      <c r="D598" t="s">
        <v>4835</v>
      </c>
      <c r="E598" t="s">
        <v>4766</v>
      </c>
    </row>
    <row r="599" spans="1:5" x14ac:dyDescent="0.25">
      <c r="A599" t="s">
        <v>4435</v>
      </c>
      <c r="B599">
        <v>90</v>
      </c>
      <c r="C599" t="s">
        <v>4406</v>
      </c>
      <c r="D599" t="s">
        <v>4783</v>
      </c>
      <c r="E599" t="s">
        <v>4596</v>
      </c>
    </row>
    <row r="600" spans="1:5" x14ac:dyDescent="0.25">
      <c r="A600" t="s">
        <v>4436</v>
      </c>
      <c r="B600">
        <v>81</v>
      </c>
      <c r="C600" t="s">
        <v>4422</v>
      </c>
      <c r="D600" t="s">
        <v>4538</v>
      </c>
      <c r="E600" t="s">
        <v>4469</v>
      </c>
    </row>
    <row r="601" spans="1:5" x14ac:dyDescent="0.25">
      <c r="A601" t="s">
        <v>4437</v>
      </c>
      <c r="B601">
        <v>2</v>
      </c>
      <c r="C601" t="s">
        <v>4406</v>
      </c>
      <c r="D601" t="s">
        <v>4468</v>
      </c>
      <c r="E601" t="s">
        <v>4468</v>
      </c>
    </row>
    <row r="602" spans="1:5" x14ac:dyDescent="0.25">
      <c r="A602" t="s">
        <v>1296</v>
      </c>
      <c r="B602">
        <v>297</v>
      </c>
      <c r="C602" t="s">
        <v>4410</v>
      </c>
      <c r="D602" t="s">
        <v>4833</v>
      </c>
      <c r="E602" t="s">
        <v>4513</v>
      </c>
    </row>
    <row r="604" spans="1:5" x14ac:dyDescent="0.25">
      <c r="A604" t="s">
        <v>5631</v>
      </c>
    </row>
    <row r="605" spans="1:5" x14ac:dyDescent="0.25">
      <c r="A605" t="s">
        <v>903</v>
      </c>
      <c r="B605" t="s">
        <v>4394</v>
      </c>
      <c r="C605" t="s">
        <v>1664</v>
      </c>
      <c r="D605" t="s">
        <v>1315</v>
      </c>
      <c r="E605" t="s">
        <v>1353</v>
      </c>
    </row>
    <row r="606" spans="1:5" x14ac:dyDescent="0.25">
      <c r="A606" t="s">
        <v>70</v>
      </c>
      <c r="B606">
        <v>85</v>
      </c>
      <c r="C606" t="s">
        <v>4422</v>
      </c>
      <c r="D606" t="s">
        <v>4786</v>
      </c>
      <c r="E606" t="s">
        <v>4842</v>
      </c>
    </row>
    <row r="607" spans="1:5" x14ac:dyDescent="0.25">
      <c r="A607" t="s">
        <v>71</v>
      </c>
      <c r="B607">
        <v>212</v>
      </c>
      <c r="C607" t="s">
        <v>4404</v>
      </c>
      <c r="D607" t="s">
        <v>4730</v>
      </c>
      <c r="E607" t="s">
        <v>4843</v>
      </c>
    </row>
    <row r="608" spans="1:5" x14ac:dyDescent="0.25">
      <c r="A608" t="s">
        <v>1296</v>
      </c>
      <c r="B608">
        <v>297</v>
      </c>
      <c r="C608" t="s">
        <v>4410</v>
      </c>
      <c r="D608" t="s">
        <v>4833</v>
      </c>
      <c r="E608" t="s">
        <v>4513</v>
      </c>
    </row>
    <row r="610" spans="1:7" x14ac:dyDescent="0.25">
      <c r="A610" t="s">
        <v>5632</v>
      </c>
    </row>
    <row r="611" spans="1:7" x14ac:dyDescent="0.25">
      <c r="A611" t="s">
        <v>1297</v>
      </c>
      <c r="B611" t="s">
        <v>4394</v>
      </c>
      <c r="C611" t="s">
        <v>4428</v>
      </c>
      <c r="D611" t="s">
        <v>4429</v>
      </c>
      <c r="E611" t="s">
        <v>4430</v>
      </c>
      <c r="F611" t="s">
        <v>4431</v>
      </c>
      <c r="G611" t="s">
        <v>4432</v>
      </c>
    </row>
    <row r="612" spans="1:7" x14ac:dyDescent="0.25">
      <c r="A612" t="s">
        <v>5549</v>
      </c>
      <c r="B612">
        <v>189</v>
      </c>
      <c r="C612">
        <v>8989.42</v>
      </c>
      <c r="D612">
        <v>8000</v>
      </c>
      <c r="E612">
        <v>500</v>
      </c>
      <c r="F612">
        <v>30000</v>
      </c>
      <c r="G612">
        <v>1699000</v>
      </c>
    </row>
    <row r="613" spans="1:7" x14ac:dyDescent="0.25">
      <c r="A613" t="s">
        <v>1397</v>
      </c>
      <c r="B613">
        <v>95</v>
      </c>
      <c r="C613">
        <v>7052.63</v>
      </c>
      <c r="D613">
        <v>6000</v>
      </c>
      <c r="E613">
        <v>1500</v>
      </c>
      <c r="F613">
        <v>20000</v>
      </c>
      <c r="G613">
        <v>670000</v>
      </c>
    </row>
    <row r="615" spans="1:7" x14ac:dyDescent="0.25">
      <c r="A615" t="s">
        <v>5633</v>
      </c>
    </row>
    <row r="616" spans="1:7" x14ac:dyDescent="0.25">
      <c r="A616" t="s">
        <v>1295</v>
      </c>
      <c r="B616" t="s">
        <v>4394</v>
      </c>
      <c r="C616" t="s">
        <v>4428</v>
      </c>
      <c r="D616" t="s">
        <v>4429</v>
      </c>
      <c r="E616" t="s">
        <v>4430</v>
      </c>
      <c r="F616" t="s">
        <v>4431</v>
      </c>
      <c r="G616" t="s">
        <v>4432</v>
      </c>
    </row>
    <row r="617" spans="1:7" x14ac:dyDescent="0.25">
      <c r="A617" t="s">
        <v>4395</v>
      </c>
      <c r="B617">
        <v>27</v>
      </c>
      <c r="C617">
        <v>7537.04</v>
      </c>
      <c r="D617">
        <v>7000</v>
      </c>
      <c r="E617">
        <v>3000</v>
      </c>
      <c r="F617">
        <v>15000</v>
      </c>
      <c r="G617">
        <v>203500</v>
      </c>
    </row>
    <row r="618" spans="1:7" x14ac:dyDescent="0.25">
      <c r="A618" t="s">
        <v>4396</v>
      </c>
      <c r="B618">
        <v>164</v>
      </c>
      <c r="C618">
        <v>8573.17</v>
      </c>
      <c r="D618">
        <v>7000</v>
      </c>
      <c r="E618">
        <v>500</v>
      </c>
      <c r="F618">
        <v>30000</v>
      </c>
      <c r="G618">
        <v>1406000</v>
      </c>
    </row>
    <row r="619" spans="1:7" x14ac:dyDescent="0.25">
      <c r="A619" t="s">
        <v>4397</v>
      </c>
      <c r="B619">
        <v>2</v>
      </c>
      <c r="C619">
        <v>7500</v>
      </c>
      <c r="D619">
        <v>5000</v>
      </c>
      <c r="E619">
        <v>5000</v>
      </c>
      <c r="F619">
        <v>10000</v>
      </c>
      <c r="G619">
        <v>15000</v>
      </c>
    </row>
    <row r="620" spans="1:7" x14ac:dyDescent="0.25">
      <c r="A620" t="s">
        <v>4398</v>
      </c>
      <c r="B620">
        <v>89</v>
      </c>
      <c r="C620">
        <v>8219.1</v>
      </c>
      <c r="D620">
        <v>7000</v>
      </c>
      <c r="E620">
        <v>1500</v>
      </c>
      <c r="F620">
        <v>25000</v>
      </c>
      <c r="G620">
        <v>731500</v>
      </c>
    </row>
    <row r="621" spans="1:7" x14ac:dyDescent="0.25">
      <c r="A621" t="s">
        <v>4399</v>
      </c>
      <c r="B621">
        <v>2</v>
      </c>
      <c r="C621">
        <v>6500</v>
      </c>
      <c r="D621">
        <v>6000</v>
      </c>
      <c r="E621">
        <v>6000</v>
      </c>
      <c r="F621">
        <v>7000</v>
      </c>
      <c r="G621">
        <v>13000</v>
      </c>
    </row>
    <row r="623" spans="1:7" x14ac:dyDescent="0.25">
      <c r="A623" t="s">
        <v>5634</v>
      </c>
    </row>
    <row r="624" spans="1:7" x14ac:dyDescent="0.25">
      <c r="A624" t="s">
        <v>903</v>
      </c>
      <c r="B624" t="s">
        <v>4394</v>
      </c>
      <c r="C624" t="s">
        <v>4428</v>
      </c>
      <c r="D624" t="s">
        <v>4429</v>
      </c>
      <c r="E624" t="s">
        <v>4430</v>
      </c>
      <c r="F624" t="s">
        <v>4431</v>
      </c>
      <c r="G624" t="s">
        <v>4432</v>
      </c>
    </row>
    <row r="625" spans="1:9" x14ac:dyDescent="0.25">
      <c r="A625" t="s">
        <v>70</v>
      </c>
      <c r="B625">
        <v>82</v>
      </c>
      <c r="C625">
        <v>7621.95</v>
      </c>
      <c r="D625">
        <v>6000</v>
      </c>
      <c r="E625">
        <v>500</v>
      </c>
      <c r="F625">
        <v>30000</v>
      </c>
      <c r="G625">
        <v>625000</v>
      </c>
    </row>
    <row r="626" spans="1:9" x14ac:dyDescent="0.25">
      <c r="A626" t="s">
        <v>71</v>
      </c>
      <c r="B626">
        <v>202</v>
      </c>
      <c r="C626">
        <v>8633.66</v>
      </c>
      <c r="D626">
        <v>7000</v>
      </c>
      <c r="E626">
        <v>1500</v>
      </c>
      <c r="F626">
        <v>25000</v>
      </c>
      <c r="G626">
        <v>1744000</v>
      </c>
    </row>
    <row r="627" spans="1:9" x14ac:dyDescent="0.25">
      <c r="A627" t="s">
        <v>1296</v>
      </c>
      <c r="B627">
        <v>284</v>
      </c>
      <c r="C627">
        <v>8341.5499999999993</v>
      </c>
      <c r="D627">
        <v>7000</v>
      </c>
      <c r="E627">
        <v>500</v>
      </c>
      <c r="F627">
        <v>30000</v>
      </c>
      <c r="G627">
        <v>2369000</v>
      </c>
    </row>
    <row r="629" spans="1:9" x14ac:dyDescent="0.25">
      <c r="A629" t="s">
        <v>5482</v>
      </c>
    </row>
    <row r="630" spans="1:9" x14ac:dyDescent="0.25">
      <c r="A630" t="s">
        <v>1297</v>
      </c>
      <c r="B630" t="s">
        <v>4394</v>
      </c>
      <c r="C630" t="s">
        <v>4428</v>
      </c>
      <c r="D630" t="s">
        <v>4429</v>
      </c>
      <c r="E630" t="s">
        <v>4430</v>
      </c>
      <c r="F630" t="s">
        <v>4431</v>
      </c>
      <c r="G630" t="s">
        <v>4432</v>
      </c>
    </row>
    <row r="631" spans="1:9" x14ac:dyDescent="0.25">
      <c r="A631" t="s">
        <v>5549</v>
      </c>
      <c r="B631">
        <v>174</v>
      </c>
      <c r="C631">
        <v>10344.83</v>
      </c>
      <c r="D631">
        <v>8000</v>
      </c>
      <c r="E631">
        <v>2000</v>
      </c>
      <c r="F631">
        <v>37000</v>
      </c>
      <c r="G631">
        <v>1800000</v>
      </c>
    </row>
    <row r="632" spans="1:9" x14ac:dyDescent="0.25">
      <c r="A632" t="s">
        <v>1397</v>
      </c>
      <c r="B632">
        <v>92</v>
      </c>
      <c r="C632">
        <v>8222.83</v>
      </c>
      <c r="D632">
        <v>7000</v>
      </c>
      <c r="E632">
        <v>2000</v>
      </c>
      <c r="F632">
        <v>25000</v>
      </c>
      <c r="G632">
        <v>756500</v>
      </c>
    </row>
    <row r="634" spans="1:9" x14ac:dyDescent="0.25">
      <c r="A634" t="s">
        <v>5635</v>
      </c>
    </row>
    <row r="635" spans="1:9" x14ac:dyDescent="0.25">
      <c r="A635" t="s">
        <v>1297</v>
      </c>
      <c r="B635" t="s">
        <v>4394</v>
      </c>
      <c r="C635" t="s">
        <v>1371</v>
      </c>
      <c r="D635" t="s">
        <v>1452</v>
      </c>
      <c r="E635" t="s">
        <v>5560</v>
      </c>
      <c r="F635" t="s">
        <v>1424</v>
      </c>
      <c r="G635" t="s">
        <v>1340</v>
      </c>
      <c r="H635" t="s">
        <v>5561</v>
      </c>
      <c r="I635" t="s">
        <v>1416</v>
      </c>
    </row>
    <row r="636" spans="1:9" x14ac:dyDescent="0.25">
      <c r="A636" t="s">
        <v>5549</v>
      </c>
      <c r="B636">
        <v>198</v>
      </c>
      <c r="C636" t="s">
        <v>4849</v>
      </c>
      <c r="D636" t="s">
        <v>4850</v>
      </c>
      <c r="E636" t="s">
        <v>4992</v>
      </c>
      <c r="F636" t="s">
        <v>4851</v>
      </c>
      <c r="G636" t="s">
        <v>4539</v>
      </c>
      <c r="H636" t="s">
        <v>4626</v>
      </c>
      <c r="I636" t="s">
        <v>4852</v>
      </c>
    </row>
    <row r="637" spans="1:9" x14ac:dyDescent="0.25">
      <c r="A637" t="s">
        <v>1397</v>
      </c>
      <c r="B637">
        <v>99</v>
      </c>
      <c r="C637" t="s">
        <v>4467</v>
      </c>
      <c r="D637" t="s">
        <v>4402</v>
      </c>
      <c r="E637" t="s">
        <v>4731</v>
      </c>
      <c r="F637" t="s">
        <v>4853</v>
      </c>
      <c r="G637" t="s">
        <v>4400</v>
      </c>
      <c r="H637" t="s">
        <v>4744</v>
      </c>
      <c r="I637" t="s">
        <v>4402</v>
      </c>
    </row>
    <row r="638" spans="1:9" x14ac:dyDescent="0.25">
      <c r="A638" t="s">
        <v>1296</v>
      </c>
      <c r="B638">
        <v>297</v>
      </c>
      <c r="C638" t="s">
        <v>4854</v>
      </c>
      <c r="D638" t="s">
        <v>4741</v>
      </c>
      <c r="E638" t="s">
        <v>5480</v>
      </c>
      <c r="F638" t="s">
        <v>4855</v>
      </c>
      <c r="G638" t="s">
        <v>4677</v>
      </c>
      <c r="H638" t="s">
        <v>4931</v>
      </c>
      <c r="I638" t="s">
        <v>4856</v>
      </c>
    </row>
    <row r="640" spans="1:9" x14ac:dyDescent="0.25">
      <c r="A640" t="s">
        <v>5636</v>
      </c>
    </row>
    <row r="641" spans="1:9" x14ac:dyDescent="0.25">
      <c r="A641" t="s">
        <v>905</v>
      </c>
      <c r="B641" t="s">
        <v>4394</v>
      </c>
      <c r="C641" t="s">
        <v>1371</v>
      </c>
      <c r="D641" t="s">
        <v>1452</v>
      </c>
      <c r="E641" t="s">
        <v>5560</v>
      </c>
      <c r="F641" t="s">
        <v>1424</v>
      </c>
      <c r="G641" t="s">
        <v>1340</v>
      </c>
      <c r="H641" t="s">
        <v>5561</v>
      </c>
      <c r="I641" t="s">
        <v>1416</v>
      </c>
    </row>
    <row r="642" spans="1:9" x14ac:dyDescent="0.25">
      <c r="A642" t="s">
        <v>4844</v>
      </c>
      <c r="B642">
        <v>36</v>
      </c>
      <c r="C642" t="s">
        <v>4406</v>
      </c>
      <c r="D642" t="s">
        <v>4406</v>
      </c>
      <c r="E642" t="s">
        <v>5425</v>
      </c>
      <c r="F642" t="s">
        <v>4858</v>
      </c>
      <c r="G642" t="s">
        <v>4649</v>
      </c>
      <c r="H642" t="s">
        <v>4859</v>
      </c>
      <c r="I642" t="s">
        <v>4406</v>
      </c>
    </row>
    <row r="643" spans="1:9" x14ac:dyDescent="0.25">
      <c r="A643" t="s">
        <v>4845</v>
      </c>
      <c r="B643">
        <v>230</v>
      </c>
      <c r="C643" t="s">
        <v>4859</v>
      </c>
      <c r="D643" t="s">
        <v>4860</v>
      </c>
      <c r="E643" t="s">
        <v>4464</v>
      </c>
      <c r="F643" t="s">
        <v>4466</v>
      </c>
      <c r="G643" t="s">
        <v>4677</v>
      </c>
      <c r="H643" t="s">
        <v>4659</v>
      </c>
      <c r="I643" t="s">
        <v>4861</v>
      </c>
    </row>
    <row r="644" spans="1:9" x14ac:dyDescent="0.25">
      <c r="A644" t="s">
        <v>4846</v>
      </c>
      <c r="B644">
        <v>31</v>
      </c>
      <c r="C644" t="s">
        <v>4862</v>
      </c>
      <c r="D644" t="s">
        <v>4858</v>
      </c>
      <c r="E644" t="s">
        <v>4670</v>
      </c>
      <c r="F644" t="s">
        <v>4420</v>
      </c>
      <c r="G644" t="s">
        <v>4858</v>
      </c>
      <c r="H644" t="s">
        <v>4406</v>
      </c>
      <c r="I644" t="s">
        <v>4564</v>
      </c>
    </row>
    <row r="645" spans="1:9" x14ac:dyDescent="0.25">
      <c r="A645" t="s">
        <v>1296</v>
      </c>
      <c r="B645">
        <v>297</v>
      </c>
      <c r="C645" t="s">
        <v>4854</v>
      </c>
      <c r="D645" t="s">
        <v>4741</v>
      </c>
      <c r="E645" t="s">
        <v>5480</v>
      </c>
      <c r="F645" t="s">
        <v>4855</v>
      </c>
      <c r="G645" t="s">
        <v>4677</v>
      </c>
      <c r="H645" t="s">
        <v>4931</v>
      </c>
      <c r="I645" t="s">
        <v>4856</v>
      </c>
    </row>
    <row r="647" spans="1:9" x14ac:dyDescent="0.25">
      <c r="A647" t="s">
        <v>5637</v>
      </c>
    </row>
    <row r="648" spans="1:9" x14ac:dyDescent="0.25">
      <c r="A648" t="s">
        <v>906</v>
      </c>
      <c r="B648" t="s">
        <v>4394</v>
      </c>
      <c r="C648" t="s">
        <v>1371</v>
      </c>
      <c r="D648" t="s">
        <v>1452</v>
      </c>
      <c r="E648" t="s">
        <v>5560</v>
      </c>
      <c r="F648" t="s">
        <v>1424</v>
      </c>
      <c r="G648" t="s">
        <v>1340</v>
      </c>
      <c r="H648" t="s">
        <v>5561</v>
      </c>
      <c r="I648" t="s">
        <v>1416</v>
      </c>
    </row>
    <row r="649" spans="1:9" x14ac:dyDescent="0.25">
      <c r="A649" t="s">
        <v>1338</v>
      </c>
      <c r="B649">
        <v>46</v>
      </c>
      <c r="C649" t="s">
        <v>4684</v>
      </c>
      <c r="D649" t="s">
        <v>4670</v>
      </c>
      <c r="E649" t="s">
        <v>4549</v>
      </c>
      <c r="F649" t="s">
        <v>4712</v>
      </c>
      <c r="G649" t="s">
        <v>4863</v>
      </c>
      <c r="H649" t="s">
        <v>4406</v>
      </c>
      <c r="I649" t="s">
        <v>4663</v>
      </c>
    </row>
    <row r="650" spans="1:9" x14ac:dyDescent="0.25">
      <c r="A650" t="s">
        <v>1370</v>
      </c>
      <c r="B650">
        <v>33</v>
      </c>
      <c r="C650" t="s">
        <v>4560</v>
      </c>
      <c r="D650" t="s">
        <v>4626</v>
      </c>
      <c r="E650" t="s">
        <v>4626</v>
      </c>
      <c r="F650" t="s">
        <v>4465</v>
      </c>
      <c r="G650" t="s">
        <v>4741</v>
      </c>
      <c r="H650" t="s">
        <v>4406</v>
      </c>
      <c r="I650" t="s">
        <v>4741</v>
      </c>
    </row>
    <row r="651" spans="1:9" x14ac:dyDescent="0.25">
      <c r="A651" t="s">
        <v>1439</v>
      </c>
      <c r="B651">
        <v>21</v>
      </c>
      <c r="C651" t="s">
        <v>4785</v>
      </c>
      <c r="D651" t="s">
        <v>4406</v>
      </c>
      <c r="E651" t="s">
        <v>4675</v>
      </c>
      <c r="F651" t="s">
        <v>4865</v>
      </c>
      <c r="G651" t="s">
        <v>4522</v>
      </c>
      <c r="H651" t="s">
        <v>4749</v>
      </c>
      <c r="I651" t="s">
        <v>4406</v>
      </c>
    </row>
    <row r="652" spans="1:9" x14ac:dyDescent="0.25">
      <c r="A652" t="s">
        <v>1476</v>
      </c>
      <c r="B652">
        <v>71</v>
      </c>
      <c r="C652" t="s">
        <v>4750</v>
      </c>
      <c r="D652" t="s">
        <v>4406</v>
      </c>
      <c r="E652" t="s">
        <v>5120</v>
      </c>
      <c r="F652" t="s">
        <v>4866</v>
      </c>
      <c r="G652" t="s">
        <v>4750</v>
      </c>
      <c r="H652" t="s">
        <v>4861</v>
      </c>
      <c r="I652" t="s">
        <v>4406</v>
      </c>
    </row>
    <row r="653" spans="1:9" x14ac:dyDescent="0.25">
      <c r="A653" t="s">
        <v>5476</v>
      </c>
      <c r="B653">
        <v>6</v>
      </c>
      <c r="C653" t="s">
        <v>4406</v>
      </c>
      <c r="D653" t="s">
        <v>4406</v>
      </c>
      <c r="E653" t="s">
        <v>4596</v>
      </c>
      <c r="F653" t="s">
        <v>4469</v>
      </c>
      <c r="G653" t="s">
        <v>4406</v>
      </c>
      <c r="H653" t="s">
        <v>4596</v>
      </c>
      <c r="I653" t="s">
        <v>4406</v>
      </c>
    </row>
    <row r="654" spans="1:9" x14ac:dyDescent="0.25">
      <c r="A654" t="s">
        <v>1399</v>
      </c>
      <c r="B654">
        <v>44</v>
      </c>
      <c r="C654" t="s">
        <v>4637</v>
      </c>
      <c r="D654" t="s">
        <v>4753</v>
      </c>
      <c r="E654" t="s">
        <v>4726</v>
      </c>
      <c r="F654" t="s">
        <v>4452</v>
      </c>
      <c r="G654" t="s">
        <v>4852</v>
      </c>
      <c r="H654" t="s">
        <v>4406</v>
      </c>
      <c r="I654" t="s">
        <v>4691</v>
      </c>
    </row>
    <row r="655" spans="1:9" x14ac:dyDescent="0.25">
      <c r="A655" t="s">
        <v>1415</v>
      </c>
      <c r="B655">
        <v>76</v>
      </c>
      <c r="C655" t="s">
        <v>4867</v>
      </c>
      <c r="D655" t="s">
        <v>4653</v>
      </c>
      <c r="E655" t="s">
        <v>4640</v>
      </c>
      <c r="F655" t="s">
        <v>4453</v>
      </c>
      <c r="G655" t="s">
        <v>4527</v>
      </c>
      <c r="H655" t="s">
        <v>4659</v>
      </c>
      <c r="I655" t="s">
        <v>4617</v>
      </c>
    </row>
    <row r="656" spans="1:9" x14ac:dyDescent="0.25">
      <c r="A656" t="s">
        <v>1296</v>
      </c>
      <c r="B656">
        <v>297</v>
      </c>
      <c r="C656" t="s">
        <v>4854</v>
      </c>
      <c r="D656" t="s">
        <v>4741</v>
      </c>
      <c r="E656" t="s">
        <v>5480</v>
      </c>
      <c r="F656" t="s">
        <v>4855</v>
      </c>
      <c r="G656" t="s">
        <v>4677</v>
      </c>
      <c r="H656" t="s">
        <v>4931</v>
      </c>
      <c r="I656" t="s">
        <v>4856</v>
      </c>
    </row>
    <row r="658" spans="1:9" x14ac:dyDescent="0.25">
      <c r="A658" t="s">
        <v>5638</v>
      </c>
    </row>
    <row r="659" spans="1:9" x14ac:dyDescent="0.25">
      <c r="A659" t="s">
        <v>907</v>
      </c>
      <c r="B659" t="s">
        <v>4394</v>
      </c>
      <c r="C659" t="s">
        <v>1371</v>
      </c>
      <c r="D659" t="s">
        <v>1452</v>
      </c>
      <c r="E659" t="s">
        <v>5560</v>
      </c>
      <c r="F659" t="s">
        <v>1424</v>
      </c>
      <c r="G659" t="s">
        <v>1340</v>
      </c>
      <c r="H659" t="s">
        <v>5561</v>
      </c>
      <c r="I659" t="s">
        <v>1416</v>
      </c>
    </row>
    <row r="660" spans="1:9" x14ac:dyDescent="0.25">
      <c r="A660" t="s">
        <v>109</v>
      </c>
      <c r="B660">
        <v>257</v>
      </c>
      <c r="C660" t="s">
        <v>4464</v>
      </c>
      <c r="D660" t="s">
        <v>4756</v>
      </c>
      <c r="E660" t="s">
        <v>4992</v>
      </c>
      <c r="F660" t="s">
        <v>4868</v>
      </c>
      <c r="G660" t="s">
        <v>4869</v>
      </c>
      <c r="H660" t="s">
        <v>4931</v>
      </c>
      <c r="I660" t="s">
        <v>4742</v>
      </c>
    </row>
    <row r="661" spans="1:9" x14ac:dyDescent="0.25">
      <c r="A661" t="s">
        <v>192</v>
      </c>
      <c r="B661">
        <v>40</v>
      </c>
      <c r="C661" t="s">
        <v>4646</v>
      </c>
      <c r="D661" t="s">
        <v>4650</v>
      </c>
      <c r="E661" t="s">
        <v>4760</v>
      </c>
      <c r="F661" t="s">
        <v>4761</v>
      </c>
      <c r="G661" t="s">
        <v>4758</v>
      </c>
      <c r="H661" t="s">
        <v>4645</v>
      </c>
      <c r="I661" t="s">
        <v>4758</v>
      </c>
    </row>
    <row r="662" spans="1:9" x14ac:dyDescent="0.25">
      <c r="A662" t="s">
        <v>1296</v>
      </c>
      <c r="B662">
        <v>297</v>
      </c>
      <c r="C662" t="s">
        <v>4854</v>
      </c>
      <c r="D662" t="s">
        <v>4741</v>
      </c>
      <c r="E662" t="s">
        <v>5480</v>
      </c>
      <c r="F662" t="s">
        <v>4855</v>
      </c>
      <c r="G662" t="s">
        <v>4677</v>
      </c>
      <c r="H662" t="s">
        <v>4931</v>
      </c>
      <c r="I662" t="s">
        <v>4856</v>
      </c>
    </row>
    <row r="664" spans="1:9" x14ac:dyDescent="0.25">
      <c r="A664" t="s">
        <v>5639</v>
      </c>
    </row>
    <row r="665" spans="1:9" x14ac:dyDescent="0.25">
      <c r="A665" t="s">
        <v>909</v>
      </c>
      <c r="B665" t="s">
        <v>4394</v>
      </c>
      <c r="C665" t="s">
        <v>1371</v>
      </c>
      <c r="D665" t="s">
        <v>1452</v>
      </c>
      <c r="E665" t="s">
        <v>5560</v>
      </c>
      <c r="F665" t="s">
        <v>1424</v>
      </c>
      <c r="G665" t="s">
        <v>1340</v>
      </c>
      <c r="H665" t="s">
        <v>5561</v>
      </c>
      <c r="I665" t="s">
        <v>1416</v>
      </c>
    </row>
    <row r="666" spans="1:9" x14ac:dyDescent="0.25">
      <c r="A666" t="s">
        <v>1309</v>
      </c>
      <c r="B666">
        <v>4</v>
      </c>
      <c r="C666" t="s">
        <v>4406</v>
      </c>
      <c r="D666" t="s">
        <v>4406</v>
      </c>
      <c r="E666" t="s">
        <v>4406</v>
      </c>
      <c r="F666" t="s">
        <v>4406</v>
      </c>
      <c r="G666" t="s">
        <v>4454</v>
      </c>
      <c r="H666" t="s">
        <v>4406</v>
      </c>
      <c r="I666" t="s">
        <v>4406</v>
      </c>
    </row>
    <row r="667" spans="1:9" x14ac:dyDescent="0.25">
      <c r="A667" t="s">
        <v>4844</v>
      </c>
      <c r="B667">
        <v>104</v>
      </c>
      <c r="C667" t="s">
        <v>4705</v>
      </c>
      <c r="D667" t="s">
        <v>4756</v>
      </c>
      <c r="E667" t="s">
        <v>4512</v>
      </c>
      <c r="F667" t="s">
        <v>4519</v>
      </c>
      <c r="G667" t="s">
        <v>4749</v>
      </c>
      <c r="H667" t="s">
        <v>4705</v>
      </c>
      <c r="I667" t="s">
        <v>4720</v>
      </c>
    </row>
    <row r="668" spans="1:9" x14ac:dyDescent="0.25">
      <c r="A668" t="s">
        <v>4847</v>
      </c>
      <c r="B668">
        <v>126</v>
      </c>
      <c r="C668" t="s">
        <v>4686</v>
      </c>
      <c r="D668" t="s">
        <v>4873</v>
      </c>
      <c r="E668" t="s">
        <v>4686</v>
      </c>
      <c r="F668" t="s">
        <v>4608</v>
      </c>
      <c r="G668" t="s">
        <v>4703</v>
      </c>
      <c r="H668" t="s">
        <v>4406</v>
      </c>
      <c r="I668" t="s">
        <v>4675</v>
      </c>
    </row>
    <row r="669" spans="1:9" x14ac:dyDescent="0.25">
      <c r="A669" t="s">
        <v>4848</v>
      </c>
      <c r="B669">
        <v>63</v>
      </c>
      <c r="C669" t="s">
        <v>4465</v>
      </c>
      <c r="D669" t="s">
        <v>4873</v>
      </c>
      <c r="E669" t="s">
        <v>4635</v>
      </c>
      <c r="F669" t="s">
        <v>4447</v>
      </c>
      <c r="G669" t="s">
        <v>4676</v>
      </c>
      <c r="H669" t="s">
        <v>4406</v>
      </c>
      <c r="I669" t="s">
        <v>4749</v>
      </c>
    </row>
    <row r="670" spans="1:9" x14ac:dyDescent="0.25">
      <c r="A670" t="s">
        <v>1296</v>
      </c>
      <c r="B670">
        <v>297</v>
      </c>
      <c r="C670" t="s">
        <v>4854</v>
      </c>
      <c r="D670" t="s">
        <v>4741</v>
      </c>
      <c r="E670" t="s">
        <v>5480</v>
      </c>
      <c r="F670" t="s">
        <v>4855</v>
      </c>
      <c r="G670" t="s">
        <v>4677</v>
      </c>
      <c r="H670" t="s">
        <v>4931</v>
      </c>
      <c r="I670" t="s">
        <v>4856</v>
      </c>
    </row>
    <row r="672" spans="1:9" x14ac:dyDescent="0.25">
      <c r="A672" t="s">
        <v>5640</v>
      </c>
    </row>
    <row r="673" spans="1:9" x14ac:dyDescent="0.25">
      <c r="A673" t="s">
        <v>903</v>
      </c>
      <c r="B673" t="s">
        <v>4394</v>
      </c>
      <c r="C673" t="s">
        <v>1371</v>
      </c>
      <c r="D673" t="s">
        <v>1452</v>
      </c>
      <c r="E673" t="s">
        <v>5560</v>
      </c>
      <c r="F673" t="s">
        <v>1424</v>
      </c>
      <c r="G673" t="s">
        <v>1340</v>
      </c>
      <c r="H673" t="s">
        <v>5561</v>
      </c>
      <c r="I673" t="s">
        <v>1416</v>
      </c>
    </row>
    <row r="674" spans="1:9" x14ac:dyDescent="0.25">
      <c r="A674" t="s">
        <v>70</v>
      </c>
      <c r="B674">
        <v>85</v>
      </c>
      <c r="C674" t="s">
        <v>4423</v>
      </c>
      <c r="D674" t="s">
        <v>4656</v>
      </c>
      <c r="E674" t="s">
        <v>4619</v>
      </c>
      <c r="F674" t="s">
        <v>4786</v>
      </c>
      <c r="G674" t="s">
        <v>4696</v>
      </c>
      <c r="H674" t="s">
        <v>4699</v>
      </c>
      <c r="I674" t="s">
        <v>4757</v>
      </c>
    </row>
    <row r="675" spans="1:9" x14ac:dyDescent="0.25">
      <c r="A675" t="s">
        <v>71</v>
      </c>
      <c r="B675">
        <v>212</v>
      </c>
      <c r="C675" t="s">
        <v>4543</v>
      </c>
      <c r="D675" t="s">
        <v>4742</v>
      </c>
      <c r="E675" t="s">
        <v>4527</v>
      </c>
      <c r="F675" t="s">
        <v>4427</v>
      </c>
      <c r="G675" t="s">
        <v>4869</v>
      </c>
      <c r="H675" t="s">
        <v>4750</v>
      </c>
      <c r="I675" t="s">
        <v>4650</v>
      </c>
    </row>
    <row r="676" spans="1:9" x14ac:dyDescent="0.25">
      <c r="A676" t="s">
        <v>1296</v>
      </c>
      <c r="B676">
        <v>297</v>
      </c>
      <c r="C676" t="s">
        <v>4854</v>
      </c>
      <c r="D676" t="s">
        <v>4741</v>
      </c>
      <c r="E676" t="s">
        <v>5480</v>
      </c>
      <c r="F676" t="s">
        <v>4855</v>
      </c>
      <c r="G676" t="s">
        <v>4677</v>
      </c>
      <c r="H676" t="s">
        <v>4931</v>
      </c>
      <c r="I676" t="s">
        <v>4856</v>
      </c>
    </row>
    <row r="678" spans="1:9" x14ac:dyDescent="0.25">
      <c r="A678" t="s">
        <v>5483</v>
      </c>
    </row>
    <row r="679" spans="1:9" x14ac:dyDescent="0.25">
      <c r="A679" t="s">
        <v>903</v>
      </c>
      <c r="B679" t="s">
        <v>4394</v>
      </c>
      <c r="C679" t="s">
        <v>4428</v>
      </c>
      <c r="D679" t="s">
        <v>4429</v>
      </c>
      <c r="E679" t="s">
        <v>4430</v>
      </c>
      <c r="F679" t="s">
        <v>4431</v>
      </c>
      <c r="G679" t="s">
        <v>4432</v>
      </c>
    </row>
    <row r="680" spans="1:9" x14ac:dyDescent="0.25">
      <c r="A680" t="s">
        <v>70</v>
      </c>
      <c r="B680">
        <v>78</v>
      </c>
      <c r="C680">
        <v>8519.23</v>
      </c>
      <c r="D680">
        <v>7000</v>
      </c>
      <c r="E680">
        <v>2000</v>
      </c>
      <c r="F680">
        <v>37000</v>
      </c>
      <c r="G680">
        <v>664500</v>
      </c>
    </row>
    <row r="681" spans="1:9" x14ac:dyDescent="0.25">
      <c r="A681" t="s">
        <v>71</v>
      </c>
      <c r="B681">
        <v>188</v>
      </c>
      <c r="C681">
        <v>10063.83</v>
      </c>
      <c r="D681">
        <v>8000</v>
      </c>
      <c r="E681">
        <v>2000</v>
      </c>
      <c r="F681">
        <v>30000</v>
      </c>
      <c r="G681">
        <v>1892000</v>
      </c>
    </row>
    <row r="682" spans="1:9" x14ac:dyDescent="0.25">
      <c r="A682" t="s">
        <v>1296</v>
      </c>
      <c r="B682">
        <v>266</v>
      </c>
      <c r="C682">
        <v>9610.9</v>
      </c>
      <c r="D682">
        <v>8000</v>
      </c>
      <c r="E682">
        <v>2000</v>
      </c>
      <c r="F682">
        <v>37000</v>
      </c>
      <c r="G682">
        <v>2556500</v>
      </c>
    </row>
    <row r="684" spans="1:9" x14ac:dyDescent="0.25">
      <c r="A684" t="s">
        <v>5641</v>
      </c>
    </row>
    <row r="685" spans="1:9" x14ac:dyDescent="0.25">
      <c r="A685" t="s">
        <v>1297</v>
      </c>
      <c r="B685" t="s">
        <v>4394</v>
      </c>
      <c r="C685" t="s">
        <v>4875</v>
      </c>
      <c r="D685" t="s">
        <v>4876</v>
      </c>
      <c r="E685" t="s">
        <v>4877</v>
      </c>
      <c r="F685" t="s">
        <v>4878</v>
      </c>
      <c r="G685" t="s">
        <v>4879</v>
      </c>
      <c r="H685" t="s">
        <v>4880</v>
      </c>
    </row>
    <row r="686" spans="1:9" x14ac:dyDescent="0.25">
      <c r="A686" t="s">
        <v>5549</v>
      </c>
      <c r="B686">
        <v>198</v>
      </c>
      <c r="C686" t="s">
        <v>4660</v>
      </c>
      <c r="D686" t="s">
        <v>4881</v>
      </c>
      <c r="E686" t="s">
        <v>4404</v>
      </c>
      <c r="F686" t="s">
        <v>4744</v>
      </c>
      <c r="G686" t="s">
        <v>4807</v>
      </c>
      <c r="H686" t="s">
        <v>4405</v>
      </c>
    </row>
    <row r="687" spans="1:9" x14ac:dyDescent="0.25">
      <c r="A687" t="s">
        <v>1397</v>
      </c>
      <c r="B687">
        <v>99</v>
      </c>
      <c r="C687" t="s">
        <v>4627</v>
      </c>
      <c r="D687" t="s">
        <v>4882</v>
      </c>
      <c r="E687" t="s">
        <v>4406</v>
      </c>
      <c r="F687" t="s">
        <v>4883</v>
      </c>
      <c r="G687" t="s">
        <v>4884</v>
      </c>
      <c r="H687" t="s">
        <v>4406</v>
      </c>
    </row>
    <row r="688" spans="1:9" x14ac:dyDescent="0.25">
      <c r="A688" t="s">
        <v>1296</v>
      </c>
      <c r="B688">
        <v>297</v>
      </c>
      <c r="C688" t="s">
        <v>4885</v>
      </c>
      <c r="D688" t="s">
        <v>4708</v>
      </c>
      <c r="E688" t="s">
        <v>4808</v>
      </c>
      <c r="F688" t="s">
        <v>4660</v>
      </c>
      <c r="G688" t="s">
        <v>4886</v>
      </c>
      <c r="H688" t="s">
        <v>4539</v>
      </c>
    </row>
    <row r="690" spans="1:8" x14ac:dyDescent="0.25">
      <c r="A690" t="s">
        <v>5642</v>
      </c>
    </row>
    <row r="691" spans="1:8" x14ac:dyDescent="0.25">
      <c r="A691" t="s">
        <v>937</v>
      </c>
      <c r="B691" t="s">
        <v>4394</v>
      </c>
      <c r="C691" t="s">
        <v>4875</v>
      </c>
      <c r="D691" t="s">
        <v>4876</v>
      </c>
      <c r="E691" t="s">
        <v>4877</v>
      </c>
      <c r="F691" t="s">
        <v>4878</v>
      </c>
      <c r="G691" t="s">
        <v>4879</v>
      </c>
      <c r="H691" t="s">
        <v>4880</v>
      </c>
    </row>
    <row r="692" spans="1:8" x14ac:dyDescent="0.25">
      <c r="A692" t="s">
        <v>1398</v>
      </c>
      <c r="B692">
        <v>58</v>
      </c>
      <c r="C692" t="s">
        <v>4419</v>
      </c>
      <c r="D692" t="s">
        <v>4470</v>
      </c>
      <c r="E692" t="s">
        <v>4406</v>
      </c>
      <c r="F692" t="s">
        <v>4887</v>
      </c>
      <c r="G692" t="s">
        <v>4831</v>
      </c>
      <c r="H692" t="s">
        <v>4888</v>
      </c>
    </row>
    <row r="693" spans="1:8" x14ac:dyDescent="0.25">
      <c r="A693" t="s">
        <v>1337</v>
      </c>
      <c r="B693">
        <v>156</v>
      </c>
      <c r="C693" t="s">
        <v>4864</v>
      </c>
      <c r="D693" t="s">
        <v>4462</v>
      </c>
      <c r="E693" t="s">
        <v>4413</v>
      </c>
      <c r="F693" t="s">
        <v>4720</v>
      </c>
      <c r="G693" t="s">
        <v>4889</v>
      </c>
      <c r="H693" t="s">
        <v>4686</v>
      </c>
    </row>
    <row r="694" spans="1:8" x14ac:dyDescent="0.25">
      <c r="A694" t="s">
        <v>1369</v>
      </c>
      <c r="B694">
        <v>83</v>
      </c>
      <c r="C694" t="s">
        <v>4403</v>
      </c>
      <c r="D694" t="s">
        <v>4890</v>
      </c>
      <c r="E694" t="s">
        <v>4406</v>
      </c>
      <c r="F694" t="s">
        <v>4424</v>
      </c>
      <c r="G694" t="s">
        <v>4541</v>
      </c>
      <c r="H694" t="s">
        <v>4606</v>
      </c>
    </row>
    <row r="695" spans="1:8" x14ac:dyDescent="0.25">
      <c r="A695" t="s">
        <v>1296</v>
      </c>
      <c r="B695">
        <v>297</v>
      </c>
      <c r="C695" t="s">
        <v>4885</v>
      </c>
      <c r="D695" t="s">
        <v>4708</v>
      </c>
      <c r="E695" t="s">
        <v>4808</v>
      </c>
      <c r="F695" t="s">
        <v>4660</v>
      </c>
      <c r="G695" t="s">
        <v>4886</v>
      </c>
      <c r="H695" t="s">
        <v>4539</v>
      </c>
    </row>
    <row r="697" spans="1:8" x14ac:dyDescent="0.25">
      <c r="A697" t="s">
        <v>5643</v>
      </c>
    </row>
    <row r="698" spans="1:8" x14ac:dyDescent="0.25">
      <c r="A698" t="s">
        <v>907</v>
      </c>
      <c r="B698" t="s">
        <v>4394</v>
      </c>
      <c r="C698" t="s">
        <v>4875</v>
      </c>
      <c r="D698" t="s">
        <v>4876</v>
      </c>
      <c r="E698" t="s">
        <v>4877</v>
      </c>
      <c r="F698" t="s">
        <v>4878</v>
      </c>
      <c r="G698" t="s">
        <v>4879</v>
      </c>
      <c r="H698" t="s">
        <v>4880</v>
      </c>
    </row>
    <row r="699" spans="1:8" x14ac:dyDescent="0.25">
      <c r="A699" t="s">
        <v>109</v>
      </c>
      <c r="B699">
        <v>257</v>
      </c>
      <c r="C699" t="s">
        <v>4692</v>
      </c>
      <c r="D699" t="s">
        <v>4820</v>
      </c>
      <c r="E699" t="s">
        <v>4818</v>
      </c>
      <c r="F699" t="s">
        <v>4656</v>
      </c>
      <c r="G699" t="s">
        <v>4770</v>
      </c>
      <c r="H699" t="s">
        <v>4693</v>
      </c>
    </row>
    <row r="700" spans="1:8" x14ac:dyDescent="0.25">
      <c r="A700" t="s">
        <v>192</v>
      </c>
      <c r="B700">
        <v>40</v>
      </c>
      <c r="C700" t="s">
        <v>4650</v>
      </c>
      <c r="D700" t="s">
        <v>4761</v>
      </c>
      <c r="E700" t="s">
        <v>4406</v>
      </c>
      <c r="F700" t="s">
        <v>4406</v>
      </c>
      <c r="G700" t="s">
        <v>4644</v>
      </c>
      <c r="H700" t="s">
        <v>4643</v>
      </c>
    </row>
    <row r="701" spans="1:8" x14ac:dyDescent="0.25">
      <c r="A701" t="s">
        <v>1296</v>
      </c>
      <c r="B701">
        <v>297</v>
      </c>
      <c r="C701" t="s">
        <v>4885</v>
      </c>
      <c r="D701" t="s">
        <v>4708</v>
      </c>
      <c r="E701" t="s">
        <v>4808</v>
      </c>
      <c r="F701" t="s">
        <v>4660</v>
      </c>
      <c r="G701" t="s">
        <v>4886</v>
      </c>
      <c r="H701" t="s">
        <v>4539</v>
      </c>
    </row>
    <row r="703" spans="1:8" x14ac:dyDescent="0.25">
      <c r="A703" t="s">
        <v>5644</v>
      </c>
    </row>
    <row r="704" spans="1:8" x14ac:dyDescent="0.25">
      <c r="A704" t="s">
        <v>903</v>
      </c>
      <c r="B704" t="s">
        <v>4394</v>
      </c>
      <c r="C704" t="s">
        <v>4875</v>
      </c>
      <c r="D704" t="s">
        <v>4876</v>
      </c>
      <c r="E704" t="s">
        <v>4877</v>
      </c>
      <c r="F704" t="s">
        <v>4878</v>
      </c>
      <c r="G704" t="s">
        <v>4879</v>
      </c>
      <c r="H704" t="s">
        <v>4880</v>
      </c>
    </row>
    <row r="705" spans="1:13" x14ac:dyDescent="0.25">
      <c r="A705" t="s">
        <v>70</v>
      </c>
      <c r="B705">
        <v>85</v>
      </c>
      <c r="C705" t="s">
        <v>4400</v>
      </c>
      <c r="D705" t="s">
        <v>4871</v>
      </c>
      <c r="E705" t="s">
        <v>4422</v>
      </c>
      <c r="F705" t="s">
        <v>4757</v>
      </c>
      <c r="G705" t="s">
        <v>4795</v>
      </c>
      <c r="H705" t="s">
        <v>4423</v>
      </c>
    </row>
    <row r="706" spans="1:13" x14ac:dyDescent="0.25">
      <c r="A706" t="s">
        <v>71</v>
      </c>
      <c r="B706">
        <v>212</v>
      </c>
      <c r="C706" t="s">
        <v>4651</v>
      </c>
      <c r="D706" t="s">
        <v>4462</v>
      </c>
      <c r="E706" t="s">
        <v>4406</v>
      </c>
      <c r="F706" t="s">
        <v>4751</v>
      </c>
      <c r="G706" t="s">
        <v>4891</v>
      </c>
      <c r="H706" t="s">
        <v>4599</v>
      </c>
    </row>
    <row r="707" spans="1:13" x14ac:dyDescent="0.25">
      <c r="A707" t="s">
        <v>1296</v>
      </c>
      <c r="B707">
        <v>297</v>
      </c>
      <c r="C707" t="s">
        <v>4885</v>
      </c>
      <c r="D707" t="s">
        <v>4708</v>
      </c>
      <c r="E707" t="s">
        <v>4808</v>
      </c>
      <c r="F707" t="s">
        <v>4660</v>
      </c>
      <c r="G707" t="s">
        <v>4886</v>
      </c>
      <c r="H707" t="s">
        <v>4539</v>
      </c>
    </row>
    <row r="709" spans="1:13" x14ac:dyDescent="0.25">
      <c r="A709" t="s">
        <v>5645</v>
      </c>
    </row>
    <row r="710" spans="1:13" x14ac:dyDescent="0.25">
      <c r="A710" t="s">
        <v>1297</v>
      </c>
      <c r="B710" t="s">
        <v>4394</v>
      </c>
      <c r="C710" t="s">
        <v>4892</v>
      </c>
      <c r="D710" t="s">
        <v>4893</v>
      </c>
      <c r="E710" t="s">
        <v>4894</v>
      </c>
      <c r="F710" t="s">
        <v>4895</v>
      </c>
      <c r="G710" t="s">
        <v>4896</v>
      </c>
      <c r="H710" t="s">
        <v>4897</v>
      </c>
      <c r="I710" t="s">
        <v>4898</v>
      </c>
      <c r="J710" t="s">
        <v>4899</v>
      </c>
      <c r="K710" t="s">
        <v>4732</v>
      </c>
      <c r="L710" t="s">
        <v>4736</v>
      </c>
      <c r="M710" t="s">
        <v>4737</v>
      </c>
    </row>
    <row r="711" spans="1:13" x14ac:dyDescent="0.25">
      <c r="A711" t="s">
        <v>5549</v>
      </c>
      <c r="B711">
        <v>117</v>
      </c>
      <c r="C711" t="s">
        <v>4574</v>
      </c>
      <c r="D711" t="s">
        <v>4900</v>
      </c>
      <c r="E711" t="s">
        <v>4707</v>
      </c>
      <c r="F711" t="s">
        <v>4406</v>
      </c>
      <c r="G711" t="s">
        <v>4406</v>
      </c>
      <c r="H711" t="s">
        <v>4901</v>
      </c>
      <c r="I711" t="s">
        <v>4591</v>
      </c>
      <c r="J711" t="s">
        <v>4653</v>
      </c>
      <c r="K711" t="s">
        <v>4559</v>
      </c>
      <c r="L711" t="s">
        <v>4689</v>
      </c>
      <c r="M711" t="s">
        <v>4902</v>
      </c>
    </row>
    <row r="712" spans="1:13" x14ac:dyDescent="0.25">
      <c r="A712" t="s">
        <v>1397</v>
      </c>
      <c r="B712">
        <v>56</v>
      </c>
      <c r="C712" t="s">
        <v>4604</v>
      </c>
      <c r="D712" t="s">
        <v>4903</v>
      </c>
      <c r="E712" t="s">
        <v>4716</v>
      </c>
      <c r="F712" t="s">
        <v>4746</v>
      </c>
      <c r="G712" t="s">
        <v>4406</v>
      </c>
      <c r="H712" t="s">
        <v>4904</v>
      </c>
      <c r="I712" t="s">
        <v>4716</v>
      </c>
      <c r="J712" t="s">
        <v>4450</v>
      </c>
      <c r="K712" t="s">
        <v>4905</v>
      </c>
      <c r="L712" t="s">
        <v>4746</v>
      </c>
      <c r="M712" t="s">
        <v>4406</v>
      </c>
    </row>
    <row r="713" spans="1:13" x14ac:dyDescent="0.25">
      <c r="A713" t="s">
        <v>1296</v>
      </c>
      <c r="B713">
        <v>173</v>
      </c>
      <c r="C713" t="s">
        <v>4460</v>
      </c>
      <c r="D713" t="s">
        <v>4906</v>
      </c>
      <c r="E713" t="s">
        <v>4907</v>
      </c>
      <c r="F713" t="s">
        <v>4419</v>
      </c>
      <c r="G713" t="s">
        <v>4406</v>
      </c>
      <c r="H713" t="s">
        <v>4908</v>
      </c>
      <c r="I713" t="s">
        <v>4599</v>
      </c>
      <c r="J713" t="s">
        <v>4909</v>
      </c>
      <c r="K713" t="s">
        <v>4910</v>
      </c>
      <c r="L713" t="s">
        <v>4856</v>
      </c>
      <c r="M713" t="s">
        <v>4413</v>
      </c>
    </row>
    <row r="715" spans="1:13" x14ac:dyDescent="0.25">
      <c r="A715" t="s">
        <v>5646</v>
      </c>
    </row>
    <row r="716" spans="1:13" x14ac:dyDescent="0.25">
      <c r="A716" t="s">
        <v>906</v>
      </c>
      <c r="B716" t="s">
        <v>4394</v>
      </c>
      <c r="C716" t="s">
        <v>4892</v>
      </c>
      <c r="D716" t="s">
        <v>4893</v>
      </c>
      <c r="E716" t="s">
        <v>4894</v>
      </c>
      <c r="F716" t="s">
        <v>4895</v>
      </c>
      <c r="G716" t="s">
        <v>4896</v>
      </c>
      <c r="H716" t="s">
        <v>4897</v>
      </c>
      <c r="I716" t="s">
        <v>4898</v>
      </c>
      <c r="J716" t="s">
        <v>4899</v>
      </c>
      <c r="K716" t="s">
        <v>4732</v>
      </c>
      <c r="L716" t="s">
        <v>4736</v>
      </c>
      <c r="M716" t="s">
        <v>4737</v>
      </c>
    </row>
    <row r="717" spans="1:13" x14ac:dyDescent="0.25">
      <c r="A717" t="s">
        <v>1338</v>
      </c>
      <c r="B717">
        <v>21</v>
      </c>
      <c r="C717" t="s">
        <v>4785</v>
      </c>
      <c r="D717" t="s">
        <v>4447</v>
      </c>
      <c r="E717" t="s">
        <v>4675</v>
      </c>
      <c r="F717" t="s">
        <v>4406</v>
      </c>
      <c r="G717" t="s">
        <v>4406</v>
      </c>
      <c r="H717" t="s">
        <v>4465</v>
      </c>
      <c r="I717" t="s">
        <v>4522</v>
      </c>
      <c r="J717" t="s">
        <v>4522</v>
      </c>
      <c r="K717" t="s">
        <v>4749</v>
      </c>
      <c r="L717" t="s">
        <v>4675</v>
      </c>
      <c r="M717" t="s">
        <v>4749</v>
      </c>
    </row>
    <row r="718" spans="1:13" x14ac:dyDescent="0.25">
      <c r="A718" t="s">
        <v>1370</v>
      </c>
      <c r="B718">
        <v>21</v>
      </c>
      <c r="C718" t="s">
        <v>4465</v>
      </c>
      <c r="D718" t="s">
        <v>4469</v>
      </c>
      <c r="E718" t="s">
        <v>4522</v>
      </c>
      <c r="F718" t="s">
        <v>4749</v>
      </c>
      <c r="G718" t="s">
        <v>4406</v>
      </c>
      <c r="H718" t="s">
        <v>4778</v>
      </c>
      <c r="I718" t="s">
        <v>4522</v>
      </c>
      <c r="J718" t="s">
        <v>4450</v>
      </c>
      <c r="K718" t="s">
        <v>4406</v>
      </c>
      <c r="L718" t="s">
        <v>4406</v>
      </c>
      <c r="M718" t="s">
        <v>4406</v>
      </c>
    </row>
    <row r="719" spans="1:13" x14ac:dyDescent="0.25">
      <c r="A719" t="s">
        <v>1439</v>
      </c>
      <c r="B719">
        <v>16</v>
      </c>
      <c r="C719" t="s">
        <v>4944</v>
      </c>
      <c r="D719" t="s">
        <v>4945</v>
      </c>
      <c r="E719" t="s">
        <v>4462</v>
      </c>
      <c r="F719" t="s">
        <v>4406</v>
      </c>
      <c r="G719" t="s">
        <v>4406</v>
      </c>
      <c r="H719" t="s">
        <v>4602</v>
      </c>
      <c r="I719" t="s">
        <v>4479</v>
      </c>
      <c r="J719" t="s">
        <v>4918</v>
      </c>
      <c r="K719" t="s">
        <v>4917</v>
      </c>
      <c r="L719" t="s">
        <v>4406</v>
      </c>
      <c r="M719" t="s">
        <v>4406</v>
      </c>
    </row>
    <row r="720" spans="1:13" x14ac:dyDescent="0.25">
      <c r="A720" t="s">
        <v>1476</v>
      </c>
      <c r="B720">
        <v>49</v>
      </c>
      <c r="C720" t="s">
        <v>4450</v>
      </c>
      <c r="D720" t="s">
        <v>4946</v>
      </c>
      <c r="E720" t="s">
        <v>4668</v>
      </c>
      <c r="F720" t="s">
        <v>4406</v>
      </c>
      <c r="G720" t="s">
        <v>4406</v>
      </c>
      <c r="H720" t="s">
        <v>4586</v>
      </c>
      <c r="I720" t="s">
        <v>4668</v>
      </c>
      <c r="J720" t="s">
        <v>4522</v>
      </c>
      <c r="K720" t="s">
        <v>4406</v>
      </c>
      <c r="L720" t="s">
        <v>4741</v>
      </c>
      <c r="M720" t="s">
        <v>4406</v>
      </c>
    </row>
    <row r="721" spans="1:13" x14ac:dyDescent="0.25">
      <c r="A721" t="s">
        <v>5476</v>
      </c>
      <c r="B721">
        <v>3</v>
      </c>
      <c r="C721" t="s">
        <v>4406</v>
      </c>
      <c r="D721" t="s">
        <v>4406</v>
      </c>
      <c r="E721" t="s">
        <v>4465</v>
      </c>
      <c r="F721" t="s">
        <v>4465</v>
      </c>
      <c r="G721" t="s">
        <v>4406</v>
      </c>
      <c r="H721" t="s">
        <v>4406</v>
      </c>
      <c r="I721" t="s">
        <v>4406</v>
      </c>
      <c r="J721" t="s">
        <v>4465</v>
      </c>
      <c r="K721" t="s">
        <v>4406</v>
      </c>
      <c r="L721" t="s">
        <v>4469</v>
      </c>
      <c r="M721" t="s">
        <v>4406</v>
      </c>
    </row>
    <row r="722" spans="1:13" x14ac:dyDescent="0.25">
      <c r="A722" t="s">
        <v>1399</v>
      </c>
      <c r="B722">
        <v>23</v>
      </c>
      <c r="C722" t="s">
        <v>4926</v>
      </c>
      <c r="D722" t="s">
        <v>4748</v>
      </c>
      <c r="E722" t="s">
        <v>4684</v>
      </c>
      <c r="F722" t="s">
        <v>4667</v>
      </c>
      <c r="G722" t="s">
        <v>4406</v>
      </c>
      <c r="H722" t="s">
        <v>4913</v>
      </c>
      <c r="I722" t="s">
        <v>4663</v>
      </c>
      <c r="J722" t="s">
        <v>4712</v>
      </c>
      <c r="K722" t="s">
        <v>4406</v>
      </c>
      <c r="L722" t="s">
        <v>4667</v>
      </c>
      <c r="M722" t="s">
        <v>4406</v>
      </c>
    </row>
    <row r="723" spans="1:13" x14ac:dyDescent="0.25">
      <c r="A723" t="s">
        <v>1415</v>
      </c>
      <c r="B723">
        <v>40</v>
      </c>
      <c r="C723" t="s">
        <v>4535</v>
      </c>
      <c r="D723" t="s">
        <v>4462</v>
      </c>
      <c r="E723" t="s">
        <v>4645</v>
      </c>
      <c r="F723" t="s">
        <v>4406</v>
      </c>
      <c r="G723" t="s">
        <v>4406</v>
      </c>
      <c r="H723" t="s">
        <v>4481</v>
      </c>
      <c r="I723" t="s">
        <v>4479</v>
      </c>
      <c r="J723" t="s">
        <v>4479</v>
      </c>
      <c r="K723" t="s">
        <v>4643</v>
      </c>
      <c r="L723" t="s">
        <v>4650</v>
      </c>
      <c r="M723" t="s">
        <v>4406</v>
      </c>
    </row>
    <row r="724" spans="1:13" x14ac:dyDescent="0.25">
      <c r="A724" t="s">
        <v>1296</v>
      </c>
      <c r="B724">
        <v>173</v>
      </c>
      <c r="C724" t="s">
        <v>4460</v>
      </c>
      <c r="D724" t="s">
        <v>4906</v>
      </c>
      <c r="E724" t="s">
        <v>4907</v>
      </c>
      <c r="F724" t="s">
        <v>4419</v>
      </c>
      <c r="G724" t="s">
        <v>4406</v>
      </c>
      <c r="H724" t="s">
        <v>4908</v>
      </c>
      <c r="I724" t="s">
        <v>4599</v>
      </c>
      <c r="J724" t="s">
        <v>4909</v>
      </c>
      <c r="K724" t="s">
        <v>4910</v>
      </c>
      <c r="L724" t="s">
        <v>4856</v>
      </c>
      <c r="M724" t="s">
        <v>4413</v>
      </c>
    </row>
    <row r="726" spans="1:13" x14ac:dyDescent="0.25">
      <c r="A726" t="s">
        <v>5647</v>
      </c>
    </row>
    <row r="727" spans="1:13" x14ac:dyDescent="0.25">
      <c r="A727" t="s">
        <v>907</v>
      </c>
      <c r="B727" t="s">
        <v>4394</v>
      </c>
      <c r="C727" t="s">
        <v>4892</v>
      </c>
      <c r="D727" t="s">
        <v>4893</v>
      </c>
      <c r="E727" t="s">
        <v>4894</v>
      </c>
      <c r="F727" t="s">
        <v>4895</v>
      </c>
      <c r="G727" t="s">
        <v>4896</v>
      </c>
      <c r="H727" t="s">
        <v>4897</v>
      </c>
      <c r="I727" t="s">
        <v>4898</v>
      </c>
      <c r="J727" t="s">
        <v>4899</v>
      </c>
      <c r="K727" t="s">
        <v>4732</v>
      </c>
      <c r="L727" t="s">
        <v>4736</v>
      </c>
      <c r="M727" t="s">
        <v>4737</v>
      </c>
    </row>
    <row r="728" spans="1:13" x14ac:dyDescent="0.25">
      <c r="A728" t="s">
        <v>109</v>
      </c>
      <c r="B728">
        <v>141</v>
      </c>
      <c r="C728" t="s">
        <v>4678</v>
      </c>
      <c r="D728" t="s">
        <v>4842</v>
      </c>
      <c r="E728" t="s">
        <v>4423</v>
      </c>
      <c r="F728" t="s">
        <v>4673</v>
      </c>
      <c r="G728" t="s">
        <v>4406</v>
      </c>
      <c r="H728" t="s">
        <v>4947</v>
      </c>
      <c r="I728" t="s">
        <v>4494</v>
      </c>
      <c r="J728" t="s">
        <v>4766</v>
      </c>
      <c r="K728" t="s">
        <v>4667</v>
      </c>
      <c r="L728" t="s">
        <v>4400</v>
      </c>
      <c r="M728" t="s">
        <v>4410</v>
      </c>
    </row>
    <row r="729" spans="1:13" x14ac:dyDescent="0.25">
      <c r="A729" t="s">
        <v>192</v>
      </c>
      <c r="B729">
        <v>32</v>
      </c>
      <c r="C729" t="s">
        <v>4948</v>
      </c>
      <c r="D729" t="s">
        <v>4949</v>
      </c>
      <c r="E729" t="s">
        <v>4479</v>
      </c>
      <c r="F729" t="s">
        <v>4406</v>
      </c>
      <c r="G729" t="s">
        <v>4406</v>
      </c>
      <c r="H729" t="s">
        <v>4602</v>
      </c>
      <c r="I729" t="s">
        <v>4950</v>
      </c>
      <c r="J729" t="s">
        <v>4479</v>
      </c>
      <c r="K729" t="s">
        <v>4917</v>
      </c>
      <c r="L729" t="s">
        <v>4695</v>
      </c>
      <c r="M729" t="s">
        <v>4406</v>
      </c>
    </row>
    <row r="730" spans="1:13" x14ac:dyDescent="0.25">
      <c r="A730" t="s">
        <v>1296</v>
      </c>
      <c r="B730">
        <v>173</v>
      </c>
      <c r="C730" t="s">
        <v>4460</v>
      </c>
      <c r="D730" t="s">
        <v>4906</v>
      </c>
      <c r="E730" t="s">
        <v>4907</v>
      </c>
      <c r="F730" t="s">
        <v>4419</v>
      </c>
      <c r="G730" t="s">
        <v>4406</v>
      </c>
      <c r="H730" t="s">
        <v>4908</v>
      </c>
      <c r="I730" t="s">
        <v>4599</v>
      </c>
      <c r="J730" t="s">
        <v>4909</v>
      </c>
      <c r="K730" t="s">
        <v>4910</v>
      </c>
      <c r="L730" t="s">
        <v>4856</v>
      </c>
      <c r="M730" t="s">
        <v>4413</v>
      </c>
    </row>
    <row r="732" spans="1:13" x14ac:dyDescent="0.25">
      <c r="A732" t="s">
        <v>5648</v>
      </c>
    </row>
    <row r="733" spans="1:13" x14ac:dyDescent="0.25">
      <c r="A733" t="s">
        <v>1295</v>
      </c>
      <c r="B733" t="s">
        <v>4394</v>
      </c>
      <c r="C733" t="s">
        <v>4892</v>
      </c>
      <c r="D733" t="s">
        <v>4893</v>
      </c>
      <c r="E733" t="s">
        <v>4894</v>
      </c>
      <c r="F733" t="s">
        <v>4895</v>
      </c>
      <c r="G733" t="s">
        <v>4896</v>
      </c>
      <c r="H733" t="s">
        <v>4897</v>
      </c>
      <c r="I733" t="s">
        <v>4898</v>
      </c>
      <c r="J733" t="s">
        <v>4899</v>
      </c>
      <c r="K733" t="s">
        <v>4732</v>
      </c>
      <c r="L733" t="s">
        <v>4736</v>
      </c>
      <c r="M733" t="s">
        <v>4737</v>
      </c>
    </row>
    <row r="734" spans="1:13" x14ac:dyDescent="0.25">
      <c r="A734" t="s">
        <v>4395</v>
      </c>
      <c r="B734">
        <v>16</v>
      </c>
      <c r="C734" t="s">
        <v>4406</v>
      </c>
      <c r="D734" t="s">
        <v>4602</v>
      </c>
      <c r="E734" t="s">
        <v>4917</v>
      </c>
      <c r="F734" t="s">
        <v>4917</v>
      </c>
      <c r="G734" t="s">
        <v>4406</v>
      </c>
      <c r="H734" t="s">
        <v>4916</v>
      </c>
      <c r="I734" t="s">
        <v>4479</v>
      </c>
      <c r="J734" t="s">
        <v>4918</v>
      </c>
      <c r="K734" t="s">
        <v>4406</v>
      </c>
      <c r="L734" t="s">
        <v>4944</v>
      </c>
      <c r="M734" t="s">
        <v>4406</v>
      </c>
    </row>
    <row r="735" spans="1:13" x14ac:dyDescent="0.25">
      <c r="A735" t="s">
        <v>4396</v>
      </c>
      <c r="B735">
        <v>101</v>
      </c>
      <c r="C735" t="s">
        <v>4955</v>
      </c>
      <c r="D735" t="s">
        <v>4956</v>
      </c>
      <c r="E735" t="s">
        <v>4681</v>
      </c>
      <c r="F735" t="s">
        <v>4406</v>
      </c>
      <c r="G735" t="s">
        <v>4406</v>
      </c>
      <c r="H735" t="s">
        <v>4510</v>
      </c>
      <c r="I735" t="s">
        <v>4859</v>
      </c>
      <c r="J735" t="s">
        <v>4703</v>
      </c>
      <c r="K735" t="s">
        <v>4887</v>
      </c>
      <c r="L735" t="s">
        <v>4699</v>
      </c>
      <c r="M735" t="s">
        <v>4402</v>
      </c>
    </row>
    <row r="736" spans="1:13" x14ac:dyDescent="0.25">
      <c r="A736" t="s">
        <v>4397</v>
      </c>
      <c r="B736">
        <v>2</v>
      </c>
      <c r="C736" t="s">
        <v>4406</v>
      </c>
      <c r="D736" t="s">
        <v>4454</v>
      </c>
      <c r="E736" t="s">
        <v>4468</v>
      </c>
      <c r="F736" t="s">
        <v>4406</v>
      </c>
      <c r="G736" t="s">
        <v>4406</v>
      </c>
      <c r="H736" t="s">
        <v>4454</v>
      </c>
      <c r="I736" t="s">
        <v>4406</v>
      </c>
      <c r="J736" t="s">
        <v>4468</v>
      </c>
      <c r="K736" t="s">
        <v>4406</v>
      </c>
      <c r="L736" t="s">
        <v>4406</v>
      </c>
      <c r="M736" t="s">
        <v>4406</v>
      </c>
    </row>
    <row r="737" spans="1:13" x14ac:dyDescent="0.25">
      <c r="A737" t="s">
        <v>4398</v>
      </c>
      <c r="B737">
        <v>54</v>
      </c>
      <c r="C737" t="s">
        <v>4731</v>
      </c>
      <c r="D737" t="s">
        <v>4789</v>
      </c>
      <c r="E737" t="s">
        <v>4676</v>
      </c>
      <c r="F737" t="s">
        <v>4954</v>
      </c>
      <c r="G737" t="s">
        <v>4406</v>
      </c>
      <c r="H737" t="s">
        <v>4727</v>
      </c>
      <c r="I737" t="s">
        <v>4676</v>
      </c>
      <c r="J737" t="s">
        <v>4465</v>
      </c>
      <c r="K737" t="s">
        <v>4952</v>
      </c>
      <c r="L737" t="s">
        <v>4954</v>
      </c>
      <c r="M737" t="s">
        <v>4406</v>
      </c>
    </row>
    <row r="738" spans="1:13" x14ac:dyDescent="0.25">
      <c r="A738" t="s">
        <v>1296</v>
      </c>
      <c r="B738">
        <v>173</v>
      </c>
      <c r="C738" t="s">
        <v>4460</v>
      </c>
      <c r="D738" t="s">
        <v>4906</v>
      </c>
      <c r="E738" t="s">
        <v>4907</v>
      </c>
      <c r="F738" t="s">
        <v>4419</v>
      </c>
      <c r="G738" t="s">
        <v>4406</v>
      </c>
      <c r="H738" t="s">
        <v>4908</v>
      </c>
      <c r="I738" t="s">
        <v>4599</v>
      </c>
      <c r="J738" t="s">
        <v>4909</v>
      </c>
      <c r="K738" t="s">
        <v>4910</v>
      </c>
      <c r="L738" t="s">
        <v>4856</v>
      </c>
      <c r="M738" t="s">
        <v>4413</v>
      </c>
    </row>
    <row r="740" spans="1:13" x14ac:dyDescent="0.25">
      <c r="A740" t="s">
        <v>5649</v>
      </c>
    </row>
    <row r="741" spans="1:13" x14ac:dyDescent="0.25">
      <c r="A741" t="s">
        <v>910</v>
      </c>
      <c r="B741" t="s">
        <v>4394</v>
      </c>
      <c r="C741" t="s">
        <v>4892</v>
      </c>
      <c r="D741" t="s">
        <v>4893</v>
      </c>
      <c r="E741" t="s">
        <v>4894</v>
      </c>
      <c r="F741" t="s">
        <v>4895</v>
      </c>
      <c r="G741" t="s">
        <v>4896</v>
      </c>
      <c r="H741" t="s">
        <v>4897</v>
      </c>
      <c r="I741" t="s">
        <v>4898</v>
      </c>
      <c r="J741" t="s">
        <v>4899</v>
      </c>
      <c r="K741" t="s">
        <v>4732</v>
      </c>
      <c r="L741" t="s">
        <v>4736</v>
      </c>
      <c r="M741" t="s">
        <v>4737</v>
      </c>
    </row>
    <row r="742" spans="1:13" x14ac:dyDescent="0.25">
      <c r="A742" t="s">
        <v>1371</v>
      </c>
      <c r="B742">
        <v>21</v>
      </c>
      <c r="C742" t="s">
        <v>4450</v>
      </c>
      <c r="D742" t="s">
        <v>4585</v>
      </c>
      <c r="E742" t="s">
        <v>4749</v>
      </c>
      <c r="F742" t="s">
        <v>4749</v>
      </c>
      <c r="G742" t="s">
        <v>4406</v>
      </c>
      <c r="H742" t="s">
        <v>4778</v>
      </c>
      <c r="I742" t="s">
        <v>4522</v>
      </c>
      <c r="J742" t="s">
        <v>4785</v>
      </c>
      <c r="K742" t="s">
        <v>4406</v>
      </c>
      <c r="L742" t="s">
        <v>4749</v>
      </c>
      <c r="M742" t="s">
        <v>4406</v>
      </c>
    </row>
    <row r="743" spans="1:13" x14ac:dyDescent="0.25">
      <c r="A743" t="s">
        <v>1452</v>
      </c>
      <c r="B743">
        <v>11</v>
      </c>
      <c r="C743" t="s">
        <v>4792</v>
      </c>
      <c r="D743" t="s">
        <v>4852</v>
      </c>
      <c r="E743" t="s">
        <v>4406</v>
      </c>
      <c r="F743" t="s">
        <v>4406</v>
      </c>
      <c r="G743" t="s">
        <v>4406</v>
      </c>
      <c r="H743" t="s">
        <v>4405</v>
      </c>
      <c r="I743" t="s">
        <v>4405</v>
      </c>
      <c r="J743" t="s">
        <v>4852</v>
      </c>
      <c r="K743" t="s">
        <v>4852</v>
      </c>
      <c r="L743" t="s">
        <v>4852</v>
      </c>
      <c r="M743" t="s">
        <v>4406</v>
      </c>
    </row>
    <row r="744" spans="1:13" x14ac:dyDescent="0.25">
      <c r="A744" t="s">
        <v>5560</v>
      </c>
      <c r="B744">
        <v>38</v>
      </c>
      <c r="C744" t="s">
        <v>4524</v>
      </c>
      <c r="D744" t="s">
        <v>5019</v>
      </c>
      <c r="E744" t="s">
        <v>4867</v>
      </c>
      <c r="F744" t="s">
        <v>4406</v>
      </c>
      <c r="G744" t="s">
        <v>4406</v>
      </c>
      <c r="H744" t="s">
        <v>4796</v>
      </c>
      <c r="I744" t="s">
        <v>4600</v>
      </c>
      <c r="J744" t="s">
        <v>4715</v>
      </c>
      <c r="K744" t="s">
        <v>4640</v>
      </c>
      <c r="L744" t="s">
        <v>4406</v>
      </c>
      <c r="M744" t="s">
        <v>4406</v>
      </c>
    </row>
    <row r="745" spans="1:13" x14ac:dyDescent="0.25">
      <c r="A745" t="s">
        <v>1424</v>
      </c>
      <c r="B745">
        <v>79</v>
      </c>
      <c r="C745" t="s">
        <v>4843</v>
      </c>
      <c r="D745" t="s">
        <v>4939</v>
      </c>
      <c r="E745" t="s">
        <v>4940</v>
      </c>
      <c r="F745" t="s">
        <v>4659</v>
      </c>
      <c r="G745" t="s">
        <v>4406</v>
      </c>
      <c r="H745" t="s">
        <v>4941</v>
      </c>
      <c r="I745" t="s">
        <v>4863</v>
      </c>
      <c r="J745" t="s">
        <v>4942</v>
      </c>
      <c r="K745" t="s">
        <v>4873</v>
      </c>
      <c r="L745" t="s">
        <v>4716</v>
      </c>
      <c r="M745" t="s">
        <v>4659</v>
      </c>
    </row>
    <row r="746" spans="1:13" x14ac:dyDescent="0.25">
      <c r="A746" t="s">
        <v>1340</v>
      </c>
      <c r="B746">
        <v>16</v>
      </c>
      <c r="C746" t="s">
        <v>4481</v>
      </c>
      <c r="D746" t="s">
        <v>4916</v>
      </c>
      <c r="E746" t="s">
        <v>4917</v>
      </c>
      <c r="F746" t="s">
        <v>4406</v>
      </c>
      <c r="G746" t="s">
        <v>4406</v>
      </c>
      <c r="H746" t="s">
        <v>4468</v>
      </c>
      <c r="I746" t="s">
        <v>4917</v>
      </c>
      <c r="J746" t="s">
        <v>4918</v>
      </c>
      <c r="K746" t="s">
        <v>4406</v>
      </c>
      <c r="L746" t="s">
        <v>4479</v>
      </c>
      <c r="M746" t="s">
        <v>4406</v>
      </c>
    </row>
    <row r="747" spans="1:13" x14ac:dyDescent="0.25">
      <c r="A747" t="s">
        <v>5561</v>
      </c>
      <c r="B747">
        <v>5</v>
      </c>
      <c r="C747" t="s">
        <v>4472</v>
      </c>
      <c r="D747" t="s">
        <v>4834</v>
      </c>
      <c r="E747" t="s">
        <v>4457</v>
      </c>
      <c r="F747" t="s">
        <v>4472</v>
      </c>
      <c r="G747" t="s">
        <v>4406</v>
      </c>
      <c r="H747" t="s">
        <v>4457</v>
      </c>
      <c r="I747" t="s">
        <v>4406</v>
      </c>
      <c r="J747" t="s">
        <v>4472</v>
      </c>
      <c r="K747" t="s">
        <v>4406</v>
      </c>
      <c r="L747" t="s">
        <v>4406</v>
      </c>
      <c r="M747" t="s">
        <v>4406</v>
      </c>
    </row>
    <row r="748" spans="1:13" x14ac:dyDescent="0.25">
      <c r="A748" t="s">
        <v>1416</v>
      </c>
      <c r="B748">
        <v>3</v>
      </c>
      <c r="C748" t="s">
        <v>4465</v>
      </c>
      <c r="D748" t="s">
        <v>4465</v>
      </c>
      <c r="E748" t="s">
        <v>4406</v>
      </c>
      <c r="F748" t="s">
        <v>4406</v>
      </c>
      <c r="G748" t="s">
        <v>4406</v>
      </c>
      <c r="H748" t="s">
        <v>4469</v>
      </c>
      <c r="I748" t="s">
        <v>4406</v>
      </c>
      <c r="J748" t="s">
        <v>4469</v>
      </c>
      <c r="K748" t="s">
        <v>4406</v>
      </c>
      <c r="L748" t="s">
        <v>4406</v>
      </c>
      <c r="M748" t="s">
        <v>4406</v>
      </c>
    </row>
    <row r="749" spans="1:13" x14ac:dyDescent="0.25">
      <c r="A749" t="s">
        <v>1296</v>
      </c>
      <c r="B749">
        <v>173</v>
      </c>
      <c r="C749" t="s">
        <v>4460</v>
      </c>
      <c r="D749" t="s">
        <v>4906</v>
      </c>
      <c r="E749" t="s">
        <v>4907</v>
      </c>
      <c r="F749" t="s">
        <v>4419</v>
      </c>
      <c r="G749" t="s">
        <v>4406</v>
      </c>
      <c r="H749" t="s">
        <v>4908</v>
      </c>
      <c r="I749" t="s">
        <v>4599</v>
      </c>
      <c r="J749" t="s">
        <v>4909</v>
      </c>
      <c r="K749" t="s">
        <v>4910</v>
      </c>
      <c r="L749" t="s">
        <v>4856</v>
      </c>
      <c r="M749" t="s">
        <v>4413</v>
      </c>
    </row>
    <row r="751" spans="1:13" x14ac:dyDescent="0.25">
      <c r="A751" t="s">
        <v>5650</v>
      </c>
    </row>
    <row r="752" spans="1:13" x14ac:dyDescent="0.25">
      <c r="A752" t="s">
        <v>5481</v>
      </c>
      <c r="B752" t="s">
        <v>4394</v>
      </c>
      <c r="C752" t="s">
        <v>4892</v>
      </c>
      <c r="D752" t="s">
        <v>4893</v>
      </c>
      <c r="E752" t="s">
        <v>4894</v>
      </c>
      <c r="F752" t="s">
        <v>4895</v>
      </c>
      <c r="G752" t="s">
        <v>4896</v>
      </c>
      <c r="H752" t="s">
        <v>4897</v>
      </c>
      <c r="I752" t="s">
        <v>4898</v>
      </c>
      <c r="J752" t="s">
        <v>4899</v>
      </c>
      <c r="K752" t="s">
        <v>4732</v>
      </c>
      <c r="L752" t="s">
        <v>4736</v>
      </c>
      <c r="M752" t="s">
        <v>4737</v>
      </c>
    </row>
    <row r="753" spans="1:13" x14ac:dyDescent="0.25">
      <c r="A753" t="s">
        <v>4438</v>
      </c>
      <c r="B753">
        <v>79</v>
      </c>
      <c r="C753" t="s">
        <v>4506</v>
      </c>
      <c r="D753" t="s">
        <v>4890</v>
      </c>
      <c r="E753" t="s">
        <v>4716</v>
      </c>
      <c r="F753" t="s">
        <v>4659</v>
      </c>
      <c r="G753" t="s">
        <v>4406</v>
      </c>
      <c r="H753" t="s">
        <v>4639</v>
      </c>
      <c r="I753" t="s">
        <v>4859</v>
      </c>
      <c r="J753" t="s">
        <v>4863</v>
      </c>
      <c r="K753" t="s">
        <v>4720</v>
      </c>
      <c r="L753" t="s">
        <v>4716</v>
      </c>
      <c r="M753" t="s">
        <v>4406</v>
      </c>
    </row>
    <row r="754" spans="1:13" x14ac:dyDescent="0.25">
      <c r="A754" t="s">
        <v>4439</v>
      </c>
      <c r="B754">
        <v>50</v>
      </c>
      <c r="C754" t="s">
        <v>5110</v>
      </c>
      <c r="D754" t="s">
        <v>5313</v>
      </c>
      <c r="E754" t="s">
        <v>4921</v>
      </c>
      <c r="F754" t="s">
        <v>4744</v>
      </c>
      <c r="G754" t="s">
        <v>4406</v>
      </c>
      <c r="H754" t="s">
        <v>4927</v>
      </c>
      <c r="I754" t="s">
        <v>5126</v>
      </c>
      <c r="J754" t="s">
        <v>4503</v>
      </c>
      <c r="K754" t="s">
        <v>4744</v>
      </c>
      <c r="L754" t="s">
        <v>4744</v>
      </c>
      <c r="M754" t="s">
        <v>4406</v>
      </c>
    </row>
    <row r="755" spans="1:13" x14ac:dyDescent="0.25">
      <c r="A755" t="s">
        <v>1400</v>
      </c>
      <c r="B755">
        <v>2</v>
      </c>
      <c r="C755" t="s">
        <v>4406</v>
      </c>
      <c r="D755" t="s">
        <v>4454</v>
      </c>
      <c r="E755" t="s">
        <v>4468</v>
      </c>
      <c r="F755" t="s">
        <v>4406</v>
      </c>
      <c r="G755" t="s">
        <v>4406</v>
      </c>
      <c r="H755" t="s">
        <v>4454</v>
      </c>
      <c r="I755" t="s">
        <v>4406</v>
      </c>
      <c r="J755" t="s">
        <v>4468</v>
      </c>
      <c r="K755" t="s">
        <v>4406</v>
      </c>
      <c r="L755" t="s">
        <v>4406</v>
      </c>
      <c r="M755" t="s">
        <v>4406</v>
      </c>
    </row>
    <row r="756" spans="1:13" x14ac:dyDescent="0.25">
      <c r="A756" t="s">
        <v>5566</v>
      </c>
      <c r="B756">
        <v>19</v>
      </c>
      <c r="C756" t="s">
        <v>4490</v>
      </c>
      <c r="D756" t="s">
        <v>4466</v>
      </c>
      <c r="E756" t="s">
        <v>4600</v>
      </c>
      <c r="F756" t="s">
        <v>4640</v>
      </c>
      <c r="G756" t="s">
        <v>4406</v>
      </c>
      <c r="H756" t="s">
        <v>4528</v>
      </c>
      <c r="I756" t="s">
        <v>4600</v>
      </c>
      <c r="J756" t="s">
        <v>4491</v>
      </c>
      <c r="K756" t="s">
        <v>4406</v>
      </c>
      <c r="L756" t="s">
        <v>4600</v>
      </c>
      <c r="M756" t="s">
        <v>4406</v>
      </c>
    </row>
    <row r="757" spans="1:13" x14ac:dyDescent="0.25">
      <c r="A757" t="s">
        <v>1372</v>
      </c>
      <c r="B757">
        <v>23</v>
      </c>
      <c r="C757" t="s">
        <v>4667</v>
      </c>
      <c r="D757" t="s">
        <v>4913</v>
      </c>
      <c r="E757" t="s">
        <v>4684</v>
      </c>
      <c r="F757" t="s">
        <v>4406</v>
      </c>
      <c r="G757" t="s">
        <v>4406</v>
      </c>
      <c r="H757" t="s">
        <v>4748</v>
      </c>
      <c r="I757" t="s">
        <v>4406</v>
      </c>
      <c r="J757" t="s">
        <v>4606</v>
      </c>
      <c r="K757" t="s">
        <v>4549</v>
      </c>
      <c r="L757" t="s">
        <v>4667</v>
      </c>
      <c r="M757" t="s">
        <v>4667</v>
      </c>
    </row>
    <row r="758" spans="1:13" x14ac:dyDescent="0.25">
      <c r="A758" t="s">
        <v>1296</v>
      </c>
      <c r="B758">
        <v>173</v>
      </c>
      <c r="C758" t="s">
        <v>4460</v>
      </c>
      <c r="D758" t="s">
        <v>4906</v>
      </c>
      <c r="E758" t="s">
        <v>4907</v>
      </c>
      <c r="F758" t="s">
        <v>4419</v>
      </c>
      <c r="G758" t="s">
        <v>4406</v>
      </c>
      <c r="H758" t="s">
        <v>4908</v>
      </c>
      <c r="I758" t="s">
        <v>4599</v>
      </c>
      <c r="J758" t="s">
        <v>4909</v>
      </c>
      <c r="K758" t="s">
        <v>4910</v>
      </c>
      <c r="L758" t="s">
        <v>4856</v>
      </c>
      <c r="M758" t="s">
        <v>4413</v>
      </c>
    </row>
    <row r="760" spans="1:13" x14ac:dyDescent="0.25">
      <c r="A760" t="s">
        <v>5651</v>
      </c>
    </row>
    <row r="761" spans="1:13" x14ac:dyDescent="0.25">
      <c r="A761" t="s">
        <v>5477</v>
      </c>
      <c r="B761" t="s">
        <v>4394</v>
      </c>
      <c r="C761" t="s">
        <v>4892</v>
      </c>
      <c r="D761" t="s">
        <v>4893</v>
      </c>
      <c r="E761" t="s">
        <v>4894</v>
      </c>
      <c r="F761" t="s">
        <v>4895</v>
      </c>
      <c r="G761" t="s">
        <v>4896</v>
      </c>
      <c r="H761" t="s">
        <v>4897</v>
      </c>
      <c r="I761" t="s">
        <v>4898</v>
      </c>
      <c r="J761" t="s">
        <v>4899</v>
      </c>
      <c r="K761" t="s">
        <v>4732</v>
      </c>
      <c r="L761" t="s">
        <v>4736</v>
      </c>
      <c r="M761" t="s">
        <v>4737</v>
      </c>
    </row>
    <row r="762" spans="1:13" x14ac:dyDescent="0.25">
      <c r="A762" t="s">
        <v>4438</v>
      </c>
      <c r="B762">
        <v>53</v>
      </c>
      <c r="C762" t="s">
        <v>4440</v>
      </c>
      <c r="D762" t="s">
        <v>4719</v>
      </c>
      <c r="E762" t="s">
        <v>4950</v>
      </c>
      <c r="F762" t="s">
        <v>4952</v>
      </c>
      <c r="G762" t="s">
        <v>4406</v>
      </c>
      <c r="H762" t="s">
        <v>4891</v>
      </c>
      <c r="I762" t="s">
        <v>4869</v>
      </c>
      <c r="J762" t="s">
        <v>4909</v>
      </c>
      <c r="K762" t="s">
        <v>4654</v>
      </c>
      <c r="L762" t="s">
        <v>4869</v>
      </c>
      <c r="M762" t="s">
        <v>4406</v>
      </c>
    </row>
    <row r="763" spans="1:13" x14ac:dyDescent="0.25">
      <c r="A763" t="s">
        <v>4439</v>
      </c>
      <c r="B763">
        <v>80</v>
      </c>
      <c r="C763" t="s">
        <v>5403</v>
      </c>
      <c r="D763" t="s">
        <v>5218</v>
      </c>
      <c r="E763" t="s">
        <v>4646</v>
      </c>
      <c r="F763" t="s">
        <v>4422</v>
      </c>
      <c r="G763" t="s">
        <v>4406</v>
      </c>
      <c r="H763" t="s">
        <v>4761</v>
      </c>
      <c r="I763" t="s">
        <v>4643</v>
      </c>
      <c r="J763" t="s">
        <v>4759</v>
      </c>
      <c r="K763" t="s">
        <v>4422</v>
      </c>
      <c r="L763" t="s">
        <v>4720</v>
      </c>
      <c r="M763" t="s">
        <v>4406</v>
      </c>
    </row>
    <row r="764" spans="1:13" x14ac:dyDescent="0.25">
      <c r="A764" t="s">
        <v>1400</v>
      </c>
      <c r="B764">
        <v>2</v>
      </c>
      <c r="C764" t="s">
        <v>4406</v>
      </c>
      <c r="D764" t="s">
        <v>4454</v>
      </c>
      <c r="E764" t="s">
        <v>4468</v>
      </c>
      <c r="F764" t="s">
        <v>4406</v>
      </c>
      <c r="G764" t="s">
        <v>4406</v>
      </c>
      <c r="H764" t="s">
        <v>4454</v>
      </c>
      <c r="I764" t="s">
        <v>4406</v>
      </c>
      <c r="J764" t="s">
        <v>4468</v>
      </c>
      <c r="K764" t="s">
        <v>4406</v>
      </c>
      <c r="L764" t="s">
        <v>4406</v>
      </c>
      <c r="M764" t="s">
        <v>4406</v>
      </c>
    </row>
    <row r="765" spans="1:13" x14ac:dyDescent="0.25">
      <c r="A765" t="s">
        <v>5566</v>
      </c>
      <c r="B765">
        <v>19</v>
      </c>
      <c r="C765" t="s">
        <v>4490</v>
      </c>
      <c r="D765" t="s">
        <v>4466</v>
      </c>
      <c r="E765" t="s">
        <v>4600</v>
      </c>
      <c r="F765" t="s">
        <v>4640</v>
      </c>
      <c r="G765" t="s">
        <v>4406</v>
      </c>
      <c r="H765" t="s">
        <v>4528</v>
      </c>
      <c r="I765" t="s">
        <v>4600</v>
      </c>
      <c r="J765" t="s">
        <v>4491</v>
      </c>
      <c r="K765" t="s">
        <v>4406</v>
      </c>
      <c r="L765" t="s">
        <v>4600</v>
      </c>
      <c r="M765" t="s">
        <v>4406</v>
      </c>
    </row>
    <row r="766" spans="1:13" x14ac:dyDescent="0.25">
      <c r="A766" t="s">
        <v>1372</v>
      </c>
      <c r="B766">
        <v>19</v>
      </c>
      <c r="C766" t="s">
        <v>4640</v>
      </c>
      <c r="D766" t="s">
        <v>4601</v>
      </c>
      <c r="E766" t="s">
        <v>4867</v>
      </c>
      <c r="F766" t="s">
        <v>4406</v>
      </c>
      <c r="G766" t="s">
        <v>4406</v>
      </c>
      <c r="H766" t="s">
        <v>4601</v>
      </c>
      <c r="I766" t="s">
        <v>4600</v>
      </c>
      <c r="J766" t="s">
        <v>4867</v>
      </c>
      <c r="K766" t="s">
        <v>4524</v>
      </c>
      <c r="L766" t="s">
        <v>4406</v>
      </c>
      <c r="M766" t="s">
        <v>4640</v>
      </c>
    </row>
    <row r="767" spans="1:13" x14ac:dyDescent="0.25">
      <c r="A767" t="s">
        <v>1296</v>
      </c>
      <c r="B767">
        <v>173</v>
      </c>
      <c r="C767" t="s">
        <v>4460</v>
      </c>
      <c r="D767" t="s">
        <v>4906</v>
      </c>
      <c r="E767" t="s">
        <v>4907</v>
      </c>
      <c r="F767" t="s">
        <v>4419</v>
      </c>
      <c r="G767" t="s">
        <v>4406</v>
      </c>
      <c r="H767" t="s">
        <v>4908</v>
      </c>
      <c r="I767" t="s">
        <v>4599</v>
      </c>
      <c r="J767" t="s">
        <v>4909</v>
      </c>
      <c r="K767" t="s">
        <v>4910</v>
      </c>
      <c r="L767" t="s">
        <v>4856</v>
      </c>
      <c r="M767" t="s">
        <v>4413</v>
      </c>
    </row>
    <row r="769" spans="1:13" x14ac:dyDescent="0.25">
      <c r="A769" t="s">
        <v>5652</v>
      </c>
    </row>
    <row r="770" spans="1:13" x14ac:dyDescent="0.25">
      <c r="A770" t="s">
        <v>911</v>
      </c>
      <c r="B770" t="s">
        <v>4394</v>
      </c>
      <c r="C770" t="s">
        <v>4892</v>
      </c>
      <c r="D770" t="s">
        <v>4893</v>
      </c>
      <c r="E770" t="s">
        <v>4894</v>
      </c>
      <c r="F770" t="s">
        <v>4895</v>
      </c>
      <c r="G770" t="s">
        <v>4896</v>
      </c>
      <c r="H770" t="s">
        <v>4897</v>
      </c>
      <c r="I770" t="s">
        <v>4898</v>
      </c>
      <c r="J770" t="s">
        <v>4899</v>
      </c>
      <c r="K770" t="s">
        <v>4732</v>
      </c>
      <c r="L770" t="s">
        <v>4736</v>
      </c>
      <c r="M770" t="s">
        <v>4737</v>
      </c>
    </row>
    <row r="771" spans="1:13" x14ac:dyDescent="0.25">
      <c r="A771" t="s">
        <v>4438</v>
      </c>
      <c r="B771">
        <v>70</v>
      </c>
      <c r="C771" t="s">
        <v>4911</v>
      </c>
      <c r="D771" t="s">
        <v>4611</v>
      </c>
      <c r="E771" t="s">
        <v>4667</v>
      </c>
      <c r="F771" t="s">
        <v>4697</v>
      </c>
      <c r="G771" t="s">
        <v>4406</v>
      </c>
      <c r="H771" t="s">
        <v>4447</v>
      </c>
      <c r="I771" t="s">
        <v>4516</v>
      </c>
      <c r="J771" t="s">
        <v>4516</v>
      </c>
      <c r="K771" t="s">
        <v>4667</v>
      </c>
      <c r="L771" t="s">
        <v>4850</v>
      </c>
      <c r="M771" t="s">
        <v>4406</v>
      </c>
    </row>
    <row r="772" spans="1:13" x14ac:dyDescent="0.25">
      <c r="A772" t="s">
        <v>4439</v>
      </c>
      <c r="B772">
        <v>46</v>
      </c>
      <c r="C772" t="s">
        <v>4682</v>
      </c>
      <c r="D772" t="s">
        <v>4912</v>
      </c>
      <c r="E772" t="s">
        <v>4863</v>
      </c>
      <c r="F772" t="s">
        <v>4406</v>
      </c>
      <c r="G772" t="s">
        <v>4406</v>
      </c>
      <c r="H772" t="s">
        <v>4913</v>
      </c>
      <c r="I772" t="s">
        <v>4684</v>
      </c>
      <c r="J772" t="s">
        <v>4606</v>
      </c>
      <c r="K772" t="s">
        <v>4667</v>
      </c>
      <c r="L772" t="s">
        <v>4667</v>
      </c>
      <c r="M772" t="s">
        <v>4406</v>
      </c>
    </row>
    <row r="773" spans="1:13" x14ac:dyDescent="0.25">
      <c r="A773" t="s">
        <v>1400</v>
      </c>
      <c r="B773">
        <v>13</v>
      </c>
      <c r="C773" t="s">
        <v>4711</v>
      </c>
      <c r="D773" t="s">
        <v>4914</v>
      </c>
      <c r="E773" t="s">
        <v>4474</v>
      </c>
      <c r="F773" t="s">
        <v>4406</v>
      </c>
      <c r="G773" t="s">
        <v>4406</v>
      </c>
      <c r="H773" t="s">
        <v>4915</v>
      </c>
      <c r="I773" t="s">
        <v>4474</v>
      </c>
      <c r="J773" t="s">
        <v>4474</v>
      </c>
      <c r="K773" t="s">
        <v>4406</v>
      </c>
      <c r="L773" t="s">
        <v>4406</v>
      </c>
      <c r="M773" t="s">
        <v>4406</v>
      </c>
    </row>
    <row r="774" spans="1:13" x14ac:dyDescent="0.25">
      <c r="A774" t="s">
        <v>1340</v>
      </c>
      <c r="B774">
        <v>16</v>
      </c>
      <c r="C774" t="s">
        <v>4481</v>
      </c>
      <c r="D774" t="s">
        <v>4916</v>
      </c>
      <c r="E774" t="s">
        <v>4917</v>
      </c>
      <c r="F774" t="s">
        <v>4406</v>
      </c>
      <c r="G774" t="s">
        <v>4406</v>
      </c>
      <c r="H774" t="s">
        <v>4468</v>
      </c>
      <c r="I774" t="s">
        <v>4917</v>
      </c>
      <c r="J774" t="s">
        <v>4918</v>
      </c>
      <c r="K774" t="s">
        <v>4406</v>
      </c>
      <c r="L774" t="s">
        <v>4479</v>
      </c>
      <c r="M774" t="s">
        <v>4406</v>
      </c>
    </row>
    <row r="775" spans="1:13" x14ac:dyDescent="0.25">
      <c r="A775" t="s">
        <v>1426</v>
      </c>
      <c r="B775">
        <v>3</v>
      </c>
      <c r="C775" t="s">
        <v>4406</v>
      </c>
      <c r="D775" t="s">
        <v>4465</v>
      </c>
      <c r="E775" t="s">
        <v>4465</v>
      </c>
      <c r="F775" t="s">
        <v>4465</v>
      </c>
      <c r="G775" t="s">
        <v>4406</v>
      </c>
      <c r="H775" t="s">
        <v>4406</v>
      </c>
      <c r="I775" t="s">
        <v>4469</v>
      </c>
      <c r="J775" t="s">
        <v>4465</v>
      </c>
      <c r="K775" t="s">
        <v>4406</v>
      </c>
      <c r="L775" t="s">
        <v>4406</v>
      </c>
      <c r="M775" t="s">
        <v>4406</v>
      </c>
    </row>
    <row r="776" spans="1:13" x14ac:dyDescent="0.25">
      <c r="A776" t="s">
        <v>1372</v>
      </c>
      <c r="B776">
        <v>25</v>
      </c>
      <c r="C776" t="s">
        <v>4406</v>
      </c>
      <c r="D776" t="s">
        <v>4919</v>
      </c>
      <c r="E776" t="s">
        <v>4472</v>
      </c>
      <c r="F776" t="s">
        <v>4406</v>
      </c>
      <c r="G776" t="s">
        <v>4406</v>
      </c>
      <c r="H776" t="s">
        <v>4919</v>
      </c>
      <c r="I776" t="s">
        <v>4406</v>
      </c>
      <c r="J776" t="s">
        <v>4472</v>
      </c>
      <c r="K776" t="s">
        <v>4707</v>
      </c>
      <c r="L776" t="s">
        <v>4660</v>
      </c>
      <c r="M776" t="s">
        <v>4660</v>
      </c>
    </row>
    <row r="777" spans="1:13" x14ac:dyDescent="0.25">
      <c r="A777" t="s">
        <v>1296</v>
      </c>
      <c r="B777">
        <v>173</v>
      </c>
      <c r="C777" t="s">
        <v>4460</v>
      </c>
      <c r="D777" t="s">
        <v>4906</v>
      </c>
      <c r="E777" t="s">
        <v>4907</v>
      </c>
      <c r="F777" t="s">
        <v>4419</v>
      </c>
      <c r="G777" t="s">
        <v>4406</v>
      </c>
      <c r="H777" t="s">
        <v>4908</v>
      </c>
      <c r="I777" t="s">
        <v>4599</v>
      </c>
      <c r="J777" t="s">
        <v>4909</v>
      </c>
      <c r="K777" t="s">
        <v>4910</v>
      </c>
      <c r="L777" t="s">
        <v>4856</v>
      </c>
      <c r="M777" t="s">
        <v>4413</v>
      </c>
    </row>
    <row r="779" spans="1:13" x14ac:dyDescent="0.25">
      <c r="A779" t="s">
        <v>5653</v>
      </c>
    </row>
    <row r="780" spans="1:13" x14ac:dyDescent="0.25">
      <c r="A780" t="s">
        <v>912</v>
      </c>
      <c r="B780" t="s">
        <v>4394</v>
      </c>
      <c r="C780" t="s">
        <v>4892</v>
      </c>
      <c r="D780" t="s">
        <v>4893</v>
      </c>
      <c r="E780" t="s">
        <v>4894</v>
      </c>
      <c r="F780" t="s">
        <v>4895</v>
      </c>
      <c r="G780" t="s">
        <v>4896</v>
      </c>
      <c r="H780" t="s">
        <v>4897</v>
      </c>
      <c r="I780" t="s">
        <v>4898</v>
      </c>
      <c r="J780" t="s">
        <v>4899</v>
      </c>
      <c r="K780" t="s">
        <v>4732</v>
      </c>
      <c r="L780" t="s">
        <v>4736</v>
      </c>
      <c r="M780" t="s">
        <v>4737</v>
      </c>
    </row>
    <row r="781" spans="1:13" x14ac:dyDescent="0.25">
      <c r="A781" t="s">
        <v>4438</v>
      </c>
      <c r="B781">
        <v>43</v>
      </c>
      <c r="C781" t="s">
        <v>4810</v>
      </c>
      <c r="D781" t="s">
        <v>4920</v>
      </c>
      <c r="E781" t="s">
        <v>4753</v>
      </c>
      <c r="F781" t="s">
        <v>4406</v>
      </c>
      <c r="G781" t="s">
        <v>4406</v>
      </c>
      <c r="H781" t="s">
        <v>4866</v>
      </c>
      <c r="I781" t="s">
        <v>4849</v>
      </c>
      <c r="J781" t="s">
        <v>4921</v>
      </c>
      <c r="K781" t="s">
        <v>4861</v>
      </c>
      <c r="L781" t="s">
        <v>4849</v>
      </c>
      <c r="M781" t="s">
        <v>4406</v>
      </c>
    </row>
    <row r="782" spans="1:13" x14ac:dyDescent="0.25">
      <c r="A782" t="s">
        <v>4439</v>
      </c>
      <c r="B782">
        <v>63</v>
      </c>
      <c r="C782" t="s">
        <v>4556</v>
      </c>
      <c r="D782" t="s">
        <v>4922</v>
      </c>
      <c r="E782" t="s">
        <v>4522</v>
      </c>
      <c r="F782" t="s">
        <v>4713</v>
      </c>
      <c r="G782" t="s">
        <v>4406</v>
      </c>
      <c r="H782" t="s">
        <v>4484</v>
      </c>
      <c r="I782" t="s">
        <v>4676</v>
      </c>
      <c r="J782" t="s">
        <v>4450</v>
      </c>
      <c r="K782" t="s">
        <v>4713</v>
      </c>
      <c r="L782" t="s">
        <v>4873</v>
      </c>
      <c r="M782" t="s">
        <v>4406</v>
      </c>
    </row>
    <row r="783" spans="1:13" x14ac:dyDescent="0.25">
      <c r="A783" t="s">
        <v>1400</v>
      </c>
      <c r="B783">
        <v>23</v>
      </c>
      <c r="C783" t="s">
        <v>4786</v>
      </c>
      <c r="D783" t="s">
        <v>4923</v>
      </c>
      <c r="E783" t="s">
        <v>4684</v>
      </c>
      <c r="F783" t="s">
        <v>4406</v>
      </c>
      <c r="G783" t="s">
        <v>4406</v>
      </c>
      <c r="H783" t="s">
        <v>4748</v>
      </c>
      <c r="I783" t="s">
        <v>4606</v>
      </c>
      <c r="J783" t="s">
        <v>4663</v>
      </c>
      <c r="K783" t="s">
        <v>4406</v>
      </c>
      <c r="L783" t="s">
        <v>4406</v>
      </c>
      <c r="M783" t="s">
        <v>4406</v>
      </c>
    </row>
    <row r="784" spans="1:13" x14ac:dyDescent="0.25">
      <c r="A784" t="s">
        <v>1340</v>
      </c>
      <c r="B784">
        <v>16</v>
      </c>
      <c r="C784" t="s">
        <v>4481</v>
      </c>
      <c r="D784" t="s">
        <v>4916</v>
      </c>
      <c r="E784" t="s">
        <v>4917</v>
      </c>
      <c r="F784" t="s">
        <v>4406</v>
      </c>
      <c r="G784" t="s">
        <v>4406</v>
      </c>
      <c r="H784" t="s">
        <v>4468</v>
      </c>
      <c r="I784" t="s">
        <v>4917</v>
      </c>
      <c r="J784" t="s">
        <v>4918</v>
      </c>
      <c r="K784" t="s">
        <v>4406</v>
      </c>
      <c r="L784" t="s">
        <v>4479</v>
      </c>
      <c r="M784" t="s">
        <v>4406</v>
      </c>
    </row>
    <row r="785" spans="1:13" x14ac:dyDescent="0.25">
      <c r="A785" t="s">
        <v>1426</v>
      </c>
      <c r="B785">
        <v>7</v>
      </c>
      <c r="C785" t="s">
        <v>4778</v>
      </c>
      <c r="D785" t="s">
        <v>4814</v>
      </c>
      <c r="E785" t="s">
        <v>4522</v>
      </c>
      <c r="F785" t="s">
        <v>4522</v>
      </c>
      <c r="G785" t="s">
        <v>4406</v>
      </c>
      <c r="H785" t="s">
        <v>4522</v>
      </c>
      <c r="I785" t="s">
        <v>4522</v>
      </c>
      <c r="J785" t="s">
        <v>4522</v>
      </c>
      <c r="K785" t="s">
        <v>4406</v>
      </c>
      <c r="L785" t="s">
        <v>4406</v>
      </c>
      <c r="M785" t="s">
        <v>4406</v>
      </c>
    </row>
    <row r="786" spans="1:13" x14ac:dyDescent="0.25">
      <c r="A786" t="s">
        <v>1372</v>
      </c>
      <c r="B786">
        <v>21</v>
      </c>
      <c r="C786" t="s">
        <v>4406</v>
      </c>
      <c r="D786" t="s">
        <v>4865</v>
      </c>
      <c r="E786" t="s">
        <v>4556</v>
      </c>
      <c r="F786" t="s">
        <v>4406</v>
      </c>
      <c r="G786" t="s">
        <v>4406</v>
      </c>
      <c r="H786" t="s">
        <v>4778</v>
      </c>
      <c r="I786" t="s">
        <v>4522</v>
      </c>
      <c r="J786" t="s">
        <v>4522</v>
      </c>
      <c r="K786" t="s">
        <v>4522</v>
      </c>
      <c r="L786" t="s">
        <v>4406</v>
      </c>
      <c r="M786" t="s">
        <v>4749</v>
      </c>
    </row>
    <row r="787" spans="1:13" x14ac:dyDescent="0.25">
      <c r="A787" t="s">
        <v>1296</v>
      </c>
      <c r="B787">
        <v>173</v>
      </c>
      <c r="C787" t="s">
        <v>4460</v>
      </c>
      <c r="D787" t="s">
        <v>4906</v>
      </c>
      <c r="E787" t="s">
        <v>4907</v>
      </c>
      <c r="F787" t="s">
        <v>4419</v>
      </c>
      <c r="G787" t="s">
        <v>4406</v>
      </c>
      <c r="H787" t="s">
        <v>4908</v>
      </c>
      <c r="I787" t="s">
        <v>4599</v>
      </c>
      <c r="J787" t="s">
        <v>4909</v>
      </c>
      <c r="K787" t="s">
        <v>4910</v>
      </c>
      <c r="L787" t="s">
        <v>4856</v>
      </c>
      <c r="M787" t="s">
        <v>4413</v>
      </c>
    </row>
    <row r="789" spans="1:13" x14ac:dyDescent="0.25">
      <c r="A789" t="s">
        <v>5654</v>
      </c>
    </row>
    <row r="790" spans="1:13" x14ac:dyDescent="0.25">
      <c r="A790" t="s">
        <v>920</v>
      </c>
      <c r="B790" t="s">
        <v>4394</v>
      </c>
      <c r="C790" t="s">
        <v>4892</v>
      </c>
      <c r="D790" t="s">
        <v>4893</v>
      </c>
      <c r="E790" t="s">
        <v>4894</v>
      </c>
      <c r="F790" t="s">
        <v>4895</v>
      </c>
      <c r="G790" t="s">
        <v>4896</v>
      </c>
      <c r="H790" t="s">
        <v>4897</v>
      </c>
      <c r="I790" t="s">
        <v>4898</v>
      </c>
      <c r="J790" t="s">
        <v>4899</v>
      </c>
      <c r="K790" t="s">
        <v>4732</v>
      </c>
      <c r="L790" t="s">
        <v>4736</v>
      </c>
      <c r="M790" t="s">
        <v>4737</v>
      </c>
    </row>
    <row r="791" spans="1:13" x14ac:dyDescent="0.25">
      <c r="A791" t="s">
        <v>1343</v>
      </c>
      <c r="B791">
        <v>88</v>
      </c>
      <c r="C791" t="s">
        <v>4924</v>
      </c>
      <c r="D791" t="s">
        <v>4463</v>
      </c>
      <c r="E791" t="s">
        <v>4925</v>
      </c>
      <c r="F791" t="s">
        <v>4753</v>
      </c>
      <c r="G791" t="s">
        <v>4406</v>
      </c>
      <c r="H791" t="s">
        <v>4481</v>
      </c>
      <c r="I791" t="s">
        <v>4637</v>
      </c>
      <c r="J791" t="s">
        <v>4926</v>
      </c>
      <c r="K791" t="s">
        <v>4689</v>
      </c>
      <c r="L791" t="s">
        <v>4852</v>
      </c>
      <c r="M791" t="s">
        <v>4825</v>
      </c>
    </row>
    <row r="792" spans="1:13" x14ac:dyDescent="0.25">
      <c r="A792" t="s">
        <v>1345</v>
      </c>
      <c r="B792">
        <v>50</v>
      </c>
      <c r="C792" t="s">
        <v>4661</v>
      </c>
      <c r="D792" t="s">
        <v>4927</v>
      </c>
      <c r="E792" t="s">
        <v>4646</v>
      </c>
      <c r="F792" t="s">
        <v>4744</v>
      </c>
      <c r="G792" t="s">
        <v>4406</v>
      </c>
      <c r="H792" t="s">
        <v>4928</v>
      </c>
      <c r="I792" t="s">
        <v>4472</v>
      </c>
      <c r="J792" t="s">
        <v>4707</v>
      </c>
      <c r="K792" t="s">
        <v>4406</v>
      </c>
      <c r="L792" t="s">
        <v>4559</v>
      </c>
      <c r="M792" t="s">
        <v>4406</v>
      </c>
    </row>
    <row r="793" spans="1:13" x14ac:dyDescent="0.25">
      <c r="A793" t="s">
        <v>1466</v>
      </c>
      <c r="B793">
        <v>34</v>
      </c>
      <c r="C793" t="s">
        <v>4483</v>
      </c>
      <c r="D793" t="s">
        <v>4929</v>
      </c>
      <c r="E793" t="s">
        <v>4498</v>
      </c>
      <c r="F793" t="s">
        <v>4406</v>
      </c>
      <c r="G793" t="s">
        <v>4406</v>
      </c>
      <c r="H793" t="s">
        <v>4929</v>
      </c>
      <c r="I793" t="s">
        <v>4699</v>
      </c>
      <c r="J793" t="s">
        <v>4483</v>
      </c>
      <c r="K793" t="s">
        <v>4699</v>
      </c>
      <c r="L793" t="s">
        <v>4406</v>
      </c>
      <c r="M793" t="s">
        <v>4406</v>
      </c>
    </row>
    <row r="794" spans="1:13" x14ac:dyDescent="0.25">
      <c r="A794" t="s">
        <v>5554</v>
      </c>
      <c r="B794">
        <v>1</v>
      </c>
      <c r="C794" t="s">
        <v>4406</v>
      </c>
      <c r="D794" t="s">
        <v>4454</v>
      </c>
      <c r="E794" t="s">
        <v>4406</v>
      </c>
      <c r="F794" t="s">
        <v>4406</v>
      </c>
      <c r="G794" t="s">
        <v>4406</v>
      </c>
      <c r="H794" t="s">
        <v>4454</v>
      </c>
      <c r="I794" t="s">
        <v>4406</v>
      </c>
      <c r="J794" t="s">
        <v>4406</v>
      </c>
      <c r="K794" t="s">
        <v>4406</v>
      </c>
      <c r="L794" t="s">
        <v>4406</v>
      </c>
      <c r="M794" t="s">
        <v>4406</v>
      </c>
    </row>
    <row r="795" spans="1:13" x14ac:dyDescent="0.25">
      <c r="A795" t="s">
        <v>1296</v>
      </c>
      <c r="B795">
        <v>173</v>
      </c>
      <c r="C795" t="s">
        <v>4460</v>
      </c>
      <c r="D795" t="s">
        <v>4906</v>
      </c>
      <c r="E795" t="s">
        <v>4907</v>
      </c>
      <c r="F795" t="s">
        <v>4419</v>
      </c>
      <c r="G795" t="s">
        <v>4406</v>
      </c>
      <c r="H795" t="s">
        <v>4908</v>
      </c>
      <c r="I795" t="s">
        <v>4599</v>
      </c>
      <c r="J795" t="s">
        <v>4909</v>
      </c>
      <c r="K795" t="s">
        <v>4910</v>
      </c>
      <c r="L795" t="s">
        <v>4856</v>
      </c>
      <c r="M795" t="s">
        <v>4413</v>
      </c>
    </row>
    <row r="797" spans="1:13" x14ac:dyDescent="0.25">
      <c r="A797" t="s">
        <v>5655</v>
      </c>
    </row>
    <row r="798" spans="1:13" x14ac:dyDescent="0.25">
      <c r="A798" t="s">
        <v>924</v>
      </c>
      <c r="B798" t="s">
        <v>4394</v>
      </c>
      <c r="C798" t="s">
        <v>4892</v>
      </c>
      <c r="D798" t="s">
        <v>4893</v>
      </c>
      <c r="E798" t="s">
        <v>4894</v>
      </c>
      <c r="F798" t="s">
        <v>4895</v>
      </c>
      <c r="G798" t="s">
        <v>4896</v>
      </c>
      <c r="H798" t="s">
        <v>4897</v>
      </c>
      <c r="I798" t="s">
        <v>4898</v>
      </c>
      <c r="J798" t="s">
        <v>4899</v>
      </c>
      <c r="K798" t="s">
        <v>4732</v>
      </c>
      <c r="L798" t="s">
        <v>4736</v>
      </c>
      <c r="M798" t="s">
        <v>4737</v>
      </c>
    </row>
    <row r="799" spans="1:13" x14ac:dyDescent="0.25">
      <c r="A799" t="s">
        <v>1345</v>
      </c>
      <c r="B799">
        <v>38</v>
      </c>
      <c r="C799" t="s">
        <v>4488</v>
      </c>
      <c r="D799" t="s">
        <v>4528</v>
      </c>
      <c r="E799" t="s">
        <v>4867</v>
      </c>
      <c r="F799" t="s">
        <v>4406</v>
      </c>
      <c r="G799" t="s">
        <v>4406</v>
      </c>
      <c r="H799" t="s">
        <v>4490</v>
      </c>
      <c r="I799" t="s">
        <v>4715</v>
      </c>
      <c r="J799" t="s">
        <v>4511</v>
      </c>
      <c r="K799" t="s">
        <v>4600</v>
      </c>
      <c r="L799" t="s">
        <v>4406</v>
      </c>
      <c r="M799" t="s">
        <v>4864</v>
      </c>
    </row>
    <row r="800" spans="1:13" x14ac:dyDescent="0.25">
      <c r="A800" t="s">
        <v>1441</v>
      </c>
      <c r="B800">
        <v>74</v>
      </c>
      <c r="C800" t="s">
        <v>4612</v>
      </c>
      <c r="D800" t="s">
        <v>4930</v>
      </c>
      <c r="E800" t="s">
        <v>4668</v>
      </c>
      <c r="F800" t="s">
        <v>4931</v>
      </c>
      <c r="G800" t="s">
        <v>4406</v>
      </c>
      <c r="H800" t="s">
        <v>4932</v>
      </c>
      <c r="I800" t="s">
        <v>4625</v>
      </c>
      <c r="J800" t="s">
        <v>4933</v>
      </c>
      <c r="K800" t="s">
        <v>4934</v>
      </c>
      <c r="L800" t="s">
        <v>4406</v>
      </c>
      <c r="M800" t="s">
        <v>4406</v>
      </c>
    </row>
    <row r="801" spans="1:13" x14ac:dyDescent="0.25">
      <c r="A801" t="s">
        <v>1461</v>
      </c>
      <c r="B801">
        <v>57</v>
      </c>
      <c r="C801" t="s">
        <v>4504</v>
      </c>
      <c r="D801" t="s">
        <v>4499</v>
      </c>
      <c r="E801" t="s">
        <v>4640</v>
      </c>
      <c r="F801" t="s">
        <v>4905</v>
      </c>
      <c r="G801" t="s">
        <v>4406</v>
      </c>
      <c r="H801" t="s">
        <v>4935</v>
      </c>
      <c r="I801" t="s">
        <v>4861</v>
      </c>
      <c r="J801" t="s">
        <v>4759</v>
      </c>
      <c r="K801" t="s">
        <v>4905</v>
      </c>
      <c r="L801" t="s">
        <v>4936</v>
      </c>
      <c r="M801" t="s">
        <v>4406</v>
      </c>
    </row>
    <row r="802" spans="1:13" x14ac:dyDescent="0.25">
      <c r="A802" t="s">
        <v>5554</v>
      </c>
      <c r="B802">
        <v>4</v>
      </c>
      <c r="C802" t="s">
        <v>4406</v>
      </c>
      <c r="D802" t="s">
        <v>4454</v>
      </c>
      <c r="E802" t="s">
        <v>4462</v>
      </c>
      <c r="F802" t="s">
        <v>4406</v>
      </c>
      <c r="G802" t="s">
        <v>4406</v>
      </c>
      <c r="H802" t="s">
        <v>4454</v>
      </c>
      <c r="I802" t="s">
        <v>4462</v>
      </c>
      <c r="J802" t="s">
        <v>4468</v>
      </c>
      <c r="K802" t="s">
        <v>4406</v>
      </c>
      <c r="L802" t="s">
        <v>4406</v>
      </c>
      <c r="M802" t="s">
        <v>4406</v>
      </c>
    </row>
    <row r="803" spans="1:13" x14ac:dyDescent="0.25">
      <c r="A803" t="s">
        <v>1296</v>
      </c>
      <c r="B803">
        <v>173</v>
      </c>
      <c r="C803" t="s">
        <v>4460</v>
      </c>
      <c r="D803" t="s">
        <v>4906</v>
      </c>
      <c r="E803" t="s">
        <v>4907</v>
      </c>
      <c r="F803" t="s">
        <v>4419</v>
      </c>
      <c r="G803" t="s">
        <v>4406</v>
      </c>
      <c r="H803" t="s">
        <v>4908</v>
      </c>
      <c r="I803" t="s">
        <v>4599</v>
      </c>
      <c r="J803" t="s">
        <v>4909</v>
      </c>
      <c r="K803" t="s">
        <v>4910</v>
      </c>
      <c r="L803" t="s">
        <v>4856</v>
      </c>
      <c r="M803" t="s">
        <v>4413</v>
      </c>
    </row>
    <row r="805" spans="1:13" x14ac:dyDescent="0.25">
      <c r="A805" t="s">
        <v>5656</v>
      </c>
    </row>
    <row r="806" spans="1:13" x14ac:dyDescent="0.25">
      <c r="A806" t="s">
        <v>903</v>
      </c>
      <c r="B806" t="s">
        <v>4394</v>
      </c>
      <c r="C806" t="s">
        <v>4892</v>
      </c>
      <c r="D806" t="s">
        <v>4893</v>
      </c>
      <c r="E806" t="s">
        <v>4894</v>
      </c>
      <c r="F806" t="s">
        <v>4895</v>
      </c>
      <c r="G806" t="s">
        <v>4896</v>
      </c>
      <c r="H806" t="s">
        <v>4897</v>
      </c>
      <c r="I806" t="s">
        <v>4898</v>
      </c>
      <c r="J806" t="s">
        <v>4899</v>
      </c>
      <c r="K806" t="s">
        <v>4732</v>
      </c>
      <c r="L806" t="s">
        <v>4736</v>
      </c>
      <c r="M806" t="s">
        <v>4737</v>
      </c>
    </row>
    <row r="807" spans="1:13" x14ac:dyDescent="0.25">
      <c r="A807" t="s">
        <v>70</v>
      </c>
      <c r="B807">
        <v>55</v>
      </c>
      <c r="C807" t="s">
        <v>4960</v>
      </c>
      <c r="D807" t="s">
        <v>4961</v>
      </c>
      <c r="E807" t="s">
        <v>4599</v>
      </c>
      <c r="F807" t="s">
        <v>4406</v>
      </c>
      <c r="G807" t="s">
        <v>4406</v>
      </c>
      <c r="H807" t="s">
        <v>4935</v>
      </c>
      <c r="I807" t="s">
        <v>4599</v>
      </c>
      <c r="J807" t="s">
        <v>4591</v>
      </c>
      <c r="K807" t="s">
        <v>4681</v>
      </c>
      <c r="L807" t="s">
        <v>4852</v>
      </c>
      <c r="M807" t="s">
        <v>4406</v>
      </c>
    </row>
    <row r="808" spans="1:13" x14ac:dyDescent="0.25">
      <c r="A808" t="s">
        <v>71</v>
      </c>
      <c r="B808">
        <v>118</v>
      </c>
      <c r="C808" t="s">
        <v>4718</v>
      </c>
      <c r="D808" t="s">
        <v>4829</v>
      </c>
      <c r="E808" t="s">
        <v>4925</v>
      </c>
      <c r="F808" t="s">
        <v>4645</v>
      </c>
      <c r="G808" t="s">
        <v>4406</v>
      </c>
      <c r="H808" t="s">
        <v>4853</v>
      </c>
      <c r="I808" t="s">
        <v>4599</v>
      </c>
      <c r="J808" t="s">
        <v>4511</v>
      </c>
      <c r="K808" t="s">
        <v>4419</v>
      </c>
      <c r="L808" t="s">
        <v>4627</v>
      </c>
      <c r="M808" t="s">
        <v>4417</v>
      </c>
    </row>
    <row r="809" spans="1:13" x14ac:dyDescent="0.25">
      <c r="A809" t="s">
        <v>1296</v>
      </c>
      <c r="B809">
        <v>173</v>
      </c>
      <c r="C809" t="s">
        <v>4460</v>
      </c>
      <c r="D809" t="s">
        <v>4906</v>
      </c>
      <c r="E809" t="s">
        <v>4907</v>
      </c>
      <c r="F809" t="s">
        <v>4419</v>
      </c>
      <c r="G809" t="s">
        <v>4406</v>
      </c>
      <c r="H809" t="s">
        <v>4908</v>
      </c>
      <c r="I809" t="s">
        <v>4599</v>
      </c>
      <c r="J809" t="s">
        <v>4909</v>
      </c>
      <c r="K809" t="s">
        <v>4910</v>
      </c>
      <c r="L809" t="s">
        <v>4856</v>
      </c>
      <c r="M809" t="s">
        <v>4413</v>
      </c>
    </row>
    <row r="811" spans="1:13" x14ac:dyDescent="0.25">
      <c r="A811" t="s">
        <v>5657</v>
      </c>
    </row>
    <row r="812" spans="1:13" x14ac:dyDescent="0.25">
      <c r="A812" t="s">
        <v>1297</v>
      </c>
      <c r="B812" t="s">
        <v>4394</v>
      </c>
      <c r="C812" t="s">
        <v>4428</v>
      </c>
      <c r="D812" t="s">
        <v>4429</v>
      </c>
      <c r="E812" t="s">
        <v>4430</v>
      </c>
      <c r="F812" t="s">
        <v>4431</v>
      </c>
      <c r="G812" t="s">
        <v>4432</v>
      </c>
    </row>
    <row r="813" spans="1:13" x14ac:dyDescent="0.25">
      <c r="A813" t="s">
        <v>5549</v>
      </c>
      <c r="B813">
        <v>194</v>
      </c>
      <c r="C813">
        <v>646.39</v>
      </c>
      <c r="D813">
        <v>600</v>
      </c>
      <c r="E813">
        <v>100</v>
      </c>
      <c r="F813">
        <v>4100</v>
      </c>
      <c r="G813">
        <v>125400</v>
      </c>
    </row>
    <row r="814" spans="1:13" x14ac:dyDescent="0.25">
      <c r="A814" t="s">
        <v>1397</v>
      </c>
      <c r="B814">
        <v>94</v>
      </c>
      <c r="C814">
        <v>642.02</v>
      </c>
      <c r="D814">
        <v>500</v>
      </c>
      <c r="E814">
        <v>100</v>
      </c>
      <c r="F814">
        <v>3000</v>
      </c>
      <c r="G814">
        <v>60350</v>
      </c>
    </row>
    <row r="816" spans="1:13" x14ac:dyDescent="0.25">
      <c r="A816" t="s">
        <v>5658</v>
      </c>
    </row>
    <row r="817" spans="1:7" x14ac:dyDescent="0.25">
      <c r="A817" t="s">
        <v>905</v>
      </c>
      <c r="B817" t="s">
        <v>4394</v>
      </c>
      <c r="C817" t="s">
        <v>4428</v>
      </c>
      <c r="D817" t="s">
        <v>4429</v>
      </c>
      <c r="E817" t="s">
        <v>4430</v>
      </c>
      <c r="F817" t="s">
        <v>4431</v>
      </c>
      <c r="G817" t="s">
        <v>4432</v>
      </c>
    </row>
    <row r="818" spans="1:7" x14ac:dyDescent="0.25">
      <c r="A818" t="s">
        <v>4844</v>
      </c>
      <c r="B818">
        <v>34</v>
      </c>
      <c r="C818">
        <v>311.76</v>
      </c>
      <c r="D818">
        <v>250</v>
      </c>
      <c r="E818">
        <v>100</v>
      </c>
      <c r="F818">
        <v>600</v>
      </c>
      <c r="G818">
        <v>10600</v>
      </c>
    </row>
    <row r="819" spans="1:7" x14ac:dyDescent="0.25">
      <c r="A819" t="s">
        <v>4845</v>
      </c>
      <c r="B819">
        <v>225</v>
      </c>
      <c r="C819">
        <v>646.89</v>
      </c>
      <c r="D819">
        <v>600</v>
      </c>
      <c r="E819">
        <v>150</v>
      </c>
      <c r="F819">
        <v>3000</v>
      </c>
      <c r="G819">
        <v>145550</v>
      </c>
    </row>
    <row r="820" spans="1:7" x14ac:dyDescent="0.25">
      <c r="A820" t="s">
        <v>4846</v>
      </c>
      <c r="B820">
        <v>29</v>
      </c>
      <c r="C820">
        <v>1020.69</v>
      </c>
      <c r="D820">
        <v>800</v>
      </c>
      <c r="E820">
        <v>300</v>
      </c>
      <c r="F820">
        <v>4100</v>
      </c>
      <c r="G820">
        <v>29600</v>
      </c>
    </row>
    <row r="822" spans="1:7" x14ac:dyDescent="0.25">
      <c r="A822" t="s">
        <v>5659</v>
      </c>
    </row>
    <row r="823" spans="1:7" x14ac:dyDescent="0.25">
      <c r="A823" t="s">
        <v>906</v>
      </c>
      <c r="B823" t="s">
        <v>4394</v>
      </c>
      <c r="C823" t="s">
        <v>4428</v>
      </c>
      <c r="D823" t="s">
        <v>4429</v>
      </c>
      <c r="E823" t="s">
        <v>4430</v>
      </c>
      <c r="F823" t="s">
        <v>4431</v>
      </c>
      <c r="G823" t="s">
        <v>4432</v>
      </c>
    </row>
    <row r="824" spans="1:7" x14ac:dyDescent="0.25">
      <c r="A824" t="s">
        <v>1338</v>
      </c>
      <c r="B824">
        <v>45</v>
      </c>
      <c r="C824">
        <v>598.89</v>
      </c>
      <c r="D824">
        <v>600</v>
      </c>
      <c r="E824">
        <v>100</v>
      </c>
      <c r="F824">
        <v>1000</v>
      </c>
      <c r="G824">
        <v>26950</v>
      </c>
    </row>
    <row r="825" spans="1:7" x14ac:dyDescent="0.25">
      <c r="A825" t="s">
        <v>1370</v>
      </c>
      <c r="B825">
        <v>32</v>
      </c>
      <c r="C825">
        <v>775</v>
      </c>
      <c r="D825">
        <v>650</v>
      </c>
      <c r="E825">
        <v>200</v>
      </c>
      <c r="F825">
        <v>2800</v>
      </c>
      <c r="G825">
        <v>24800</v>
      </c>
    </row>
    <row r="826" spans="1:7" x14ac:dyDescent="0.25">
      <c r="A826" t="s">
        <v>1439</v>
      </c>
      <c r="B826">
        <v>20</v>
      </c>
      <c r="C826">
        <v>852.5</v>
      </c>
      <c r="D826">
        <v>600</v>
      </c>
      <c r="E826">
        <v>250</v>
      </c>
      <c r="F826">
        <v>4100</v>
      </c>
      <c r="G826">
        <v>17050</v>
      </c>
    </row>
    <row r="827" spans="1:7" x14ac:dyDescent="0.25">
      <c r="A827" t="s">
        <v>1476</v>
      </c>
      <c r="B827">
        <v>70</v>
      </c>
      <c r="C827">
        <v>415</v>
      </c>
      <c r="D827">
        <v>350</v>
      </c>
      <c r="E827">
        <v>100</v>
      </c>
      <c r="F827">
        <v>1200</v>
      </c>
      <c r="G827">
        <v>29050</v>
      </c>
    </row>
    <row r="828" spans="1:7" x14ac:dyDescent="0.25">
      <c r="A828" t="s">
        <v>5476</v>
      </c>
      <c r="B828">
        <v>5</v>
      </c>
      <c r="C828">
        <v>500</v>
      </c>
      <c r="D828">
        <v>500</v>
      </c>
      <c r="E828">
        <v>200</v>
      </c>
      <c r="F828">
        <v>800</v>
      </c>
      <c r="G828">
        <v>2500</v>
      </c>
    </row>
    <row r="829" spans="1:7" x14ac:dyDescent="0.25">
      <c r="A829" t="s">
        <v>1399</v>
      </c>
      <c r="B829">
        <v>43</v>
      </c>
      <c r="C829">
        <v>665.12</v>
      </c>
      <c r="D829">
        <v>600</v>
      </c>
      <c r="E829">
        <v>200</v>
      </c>
      <c r="F829">
        <v>3000</v>
      </c>
      <c r="G829">
        <v>28600</v>
      </c>
    </row>
    <row r="830" spans="1:7" x14ac:dyDescent="0.25">
      <c r="A830" t="s">
        <v>1415</v>
      </c>
      <c r="B830">
        <v>73</v>
      </c>
      <c r="C830">
        <v>778.08</v>
      </c>
      <c r="D830">
        <v>700</v>
      </c>
      <c r="E830">
        <v>200</v>
      </c>
      <c r="F830">
        <v>3000</v>
      </c>
      <c r="G830">
        <v>56800</v>
      </c>
    </row>
    <row r="832" spans="1:7" x14ac:dyDescent="0.25">
      <c r="A832" t="s">
        <v>5660</v>
      </c>
    </row>
    <row r="833" spans="1:7" x14ac:dyDescent="0.25">
      <c r="A833" t="s">
        <v>907</v>
      </c>
      <c r="B833" t="s">
        <v>4394</v>
      </c>
      <c r="C833" t="s">
        <v>4428</v>
      </c>
      <c r="D833" t="s">
        <v>4429</v>
      </c>
      <c r="E833" t="s">
        <v>4430</v>
      </c>
      <c r="F833" t="s">
        <v>4431</v>
      </c>
      <c r="G833" t="s">
        <v>4432</v>
      </c>
    </row>
    <row r="834" spans="1:7" x14ac:dyDescent="0.25">
      <c r="A834" t="s">
        <v>109</v>
      </c>
      <c r="B834">
        <v>249</v>
      </c>
      <c r="C834">
        <v>650.20000000000005</v>
      </c>
      <c r="D834">
        <v>600</v>
      </c>
      <c r="E834">
        <v>100</v>
      </c>
      <c r="F834">
        <v>4100</v>
      </c>
      <c r="G834">
        <v>161900</v>
      </c>
    </row>
    <row r="835" spans="1:7" x14ac:dyDescent="0.25">
      <c r="A835" t="s">
        <v>192</v>
      </c>
      <c r="B835">
        <v>39</v>
      </c>
      <c r="C835">
        <v>611.54</v>
      </c>
      <c r="D835">
        <v>500</v>
      </c>
      <c r="E835">
        <v>200</v>
      </c>
      <c r="F835">
        <v>2800</v>
      </c>
      <c r="G835">
        <v>23850</v>
      </c>
    </row>
    <row r="837" spans="1:7" x14ac:dyDescent="0.25">
      <c r="A837" t="s">
        <v>5661</v>
      </c>
    </row>
    <row r="838" spans="1:7" x14ac:dyDescent="0.25">
      <c r="A838" t="s">
        <v>910</v>
      </c>
      <c r="B838" t="s">
        <v>4394</v>
      </c>
      <c r="C838" t="s">
        <v>4428</v>
      </c>
      <c r="D838" t="s">
        <v>4429</v>
      </c>
      <c r="E838" t="s">
        <v>4430</v>
      </c>
      <c r="F838" t="s">
        <v>4431</v>
      </c>
      <c r="G838" t="s">
        <v>4432</v>
      </c>
    </row>
    <row r="839" spans="1:7" x14ac:dyDescent="0.25">
      <c r="A839" t="s">
        <v>1371</v>
      </c>
      <c r="B839">
        <v>40</v>
      </c>
      <c r="C839">
        <v>828.75</v>
      </c>
      <c r="D839">
        <v>650</v>
      </c>
      <c r="E839">
        <v>200</v>
      </c>
      <c r="F839">
        <v>3000</v>
      </c>
      <c r="G839">
        <v>33150</v>
      </c>
    </row>
    <row r="840" spans="1:7" x14ac:dyDescent="0.25">
      <c r="A840" t="s">
        <v>1452</v>
      </c>
      <c r="B840">
        <v>17</v>
      </c>
      <c r="C840">
        <v>938.24</v>
      </c>
      <c r="D840">
        <v>900</v>
      </c>
      <c r="E840">
        <v>300</v>
      </c>
      <c r="F840">
        <v>2800</v>
      </c>
      <c r="G840">
        <v>15950</v>
      </c>
    </row>
    <row r="841" spans="1:7" x14ac:dyDescent="0.25">
      <c r="A841" t="s">
        <v>5560</v>
      </c>
      <c r="B841">
        <v>58</v>
      </c>
      <c r="C841">
        <v>469.83</v>
      </c>
      <c r="D841">
        <v>400</v>
      </c>
      <c r="E841">
        <v>100</v>
      </c>
      <c r="F841">
        <v>2000</v>
      </c>
      <c r="G841">
        <v>27250</v>
      </c>
    </row>
    <row r="842" spans="1:7" x14ac:dyDescent="0.25">
      <c r="A842" t="s">
        <v>1424</v>
      </c>
      <c r="B842">
        <v>116</v>
      </c>
      <c r="C842">
        <v>621.98</v>
      </c>
      <c r="D842">
        <v>500</v>
      </c>
      <c r="E842">
        <v>150</v>
      </c>
      <c r="F842">
        <v>4100</v>
      </c>
      <c r="G842">
        <v>72150</v>
      </c>
    </row>
    <row r="843" spans="1:7" x14ac:dyDescent="0.25">
      <c r="A843" t="s">
        <v>1340</v>
      </c>
      <c r="B843">
        <v>30</v>
      </c>
      <c r="C843">
        <v>685</v>
      </c>
      <c r="D843">
        <v>700</v>
      </c>
      <c r="E843">
        <v>200</v>
      </c>
      <c r="F843">
        <v>950</v>
      </c>
      <c r="G843">
        <v>20550</v>
      </c>
    </row>
    <row r="844" spans="1:7" x14ac:dyDescent="0.25">
      <c r="A844" t="s">
        <v>5561</v>
      </c>
      <c r="B844">
        <v>8</v>
      </c>
      <c r="C844">
        <v>331.25</v>
      </c>
      <c r="D844">
        <v>250</v>
      </c>
      <c r="E844">
        <v>200</v>
      </c>
      <c r="F844">
        <v>700</v>
      </c>
      <c r="G844">
        <v>2650</v>
      </c>
    </row>
    <row r="845" spans="1:7" x14ac:dyDescent="0.25">
      <c r="A845" t="s">
        <v>1416</v>
      </c>
      <c r="B845">
        <v>19</v>
      </c>
      <c r="C845">
        <v>739.47</v>
      </c>
      <c r="D845">
        <v>800</v>
      </c>
      <c r="E845">
        <v>400</v>
      </c>
      <c r="F845">
        <v>1300</v>
      </c>
      <c r="G845">
        <v>14050</v>
      </c>
    </row>
    <row r="847" spans="1:7" x14ac:dyDescent="0.25">
      <c r="A847" t="s">
        <v>5662</v>
      </c>
    </row>
    <row r="848" spans="1:7" x14ac:dyDescent="0.25">
      <c r="A848" t="s">
        <v>928</v>
      </c>
      <c r="B848" t="s">
        <v>4394</v>
      </c>
      <c r="C848" t="s">
        <v>4428</v>
      </c>
      <c r="D848" t="s">
        <v>4429</v>
      </c>
      <c r="E848" t="s">
        <v>4430</v>
      </c>
      <c r="F848" t="s">
        <v>4431</v>
      </c>
      <c r="G848" t="s">
        <v>4432</v>
      </c>
    </row>
    <row r="849" spans="1:7" x14ac:dyDescent="0.25">
      <c r="A849" t="s">
        <v>4433</v>
      </c>
      <c r="B849">
        <v>4</v>
      </c>
      <c r="C849">
        <v>1875</v>
      </c>
      <c r="D849">
        <v>1000</v>
      </c>
      <c r="E849">
        <v>900</v>
      </c>
      <c r="F849">
        <v>4100</v>
      </c>
      <c r="G849">
        <v>7500</v>
      </c>
    </row>
    <row r="850" spans="1:7" x14ac:dyDescent="0.25">
      <c r="A850" t="s">
        <v>4434</v>
      </c>
      <c r="B850">
        <v>114</v>
      </c>
      <c r="C850">
        <v>653.07000000000005</v>
      </c>
      <c r="D850">
        <v>600</v>
      </c>
      <c r="E850">
        <v>100</v>
      </c>
      <c r="F850">
        <v>2000</v>
      </c>
      <c r="G850">
        <v>74450</v>
      </c>
    </row>
    <row r="851" spans="1:7" x14ac:dyDescent="0.25">
      <c r="A851" t="s">
        <v>4435</v>
      </c>
      <c r="B851">
        <v>89</v>
      </c>
      <c r="C851">
        <v>605.05999999999995</v>
      </c>
      <c r="D851">
        <v>500</v>
      </c>
      <c r="E851">
        <v>100</v>
      </c>
      <c r="F851">
        <v>1500</v>
      </c>
      <c r="G851">
        <v>53850</v>
      </c>
    </row>
    <row r="852" spans="1:7" x14ac:dyDescent="0.25">
      <c r="A852" t="s">
        <v>4436</v>
      </c>
      <c r="B852">
        <v>79</v>
      </c>
      <c r="C852">
        <v>558.86</v>
      </c>
      <c r="D852">
        <v>500</v>
      </c>
      <c r="E852">
        <v>200</v>
      </c>
      <c r="F852">
        <v>3000</v>
      </c>
      <c r="G852">
        <v>44150</v>
      </c>
    </row>
    <row r="853" spans="1:7" x14ac:dyDescent="0.25">
      <c r="A853" t="s">
        <v>4437</v>
      </c>
      <c r="B853">
        <v>2</v>
      </c>
      <c r="C853">
        <v>2900</v>
      </c>
      <c r="D853">
        <v>2800</v>
      </c>
      <c r="E853">
        <v>2800</v>
      </c>
      <c r="F853">
        <v>3000</v>
      </c>
      <c r="G853">
        <v>5800</v>
      </c>
    </row>
    <row r="855" spans="1:7" x14ac:dyDescent="0.25">
      <c r="A855" t="s">
        <v>5663</v>
      </c>
    </row>
    <row r="856" spans="1:7" x14ac:dyDescent="0.25">
      <c r="A856" t="s">
        <v>913</v>
      </c>
      <c r="B856" t="s">
        <v>4394</v>
      </c>
      <c r="C856" t="s">
        <v>4428</v>
      </c>
      <c r="D856" t="s">
        <v>4429</v>
      </c>
      <c r="E856" t="s">
        <v>4430</v>
      </c>
      <c r="F856" t="s">
        <v>4431</v>
      </c>
      <c r="G856" t="s">
        <v>4432</v>
      </c>
    </row>
    <row r="857" spans="1:7" x14ac:dyDescent="0.25">
      <c r="A857" t="s">
        <v>1561</v>
      </c>
      <c r="B857">
        <v>2</v>
      </c>
      <c r="C857">
        <v>1250</v>
      </c>
      <c r="D857">
        <v>1000</v>
      </c>
      <c r="E857">
        <v>1000</v>
      </c>
      <c r="F857">
        <v>1500</v>
      </c>
      <c r="G857">
        <v>2500</v>
      </c>
    </row>
    <row r="858" spans="1:7" x14ac:dyDescent="0.25">
      <c r="A858" t="s">
        <v>1460</v>
      </c>
      <c r="B858">
        <v>64</v>
      </c>
      <c r="C858">
        <v>557.03</v>
      </c>
      <c r="D858">
        <v>500</v>
      </c>
      <c r="E858">
        <v>100</v>
      </c>
      <c r="F858">
        <v>1500</v>
      </c>
      <c r="G858">
        <v>35650</v>
      </c>
    </row>
    <row r="859" spans="1:7" x14ac:dyDescent="0.25">
      <c r="A859" t="s">
        <v>1342</v>
      </c>
      <c r="B859">
        <v>66</v>
      </c>
      <c r="C859">
        <v>556.05999999999995</v>
      </c>
      <c r="D859">
        <v>500</v>
      </c>
      <c r="E859">
        <v>100</v>
      </c>
      <c r="F859">
        <v>1300</v>
      </c>
      <c r="G859">
        <v>36700</v>
      </c>
    </row>
    <row r="860" spans="1:7" x14ac:dyDescent="0.25">
      <c r="A860" t="s">
        <v>1375</v>
      </c>
      <c r="B860">
        <v>90</v>
      </c>
      <c r="C860">
        <v>834.44</v>
      </c>
      <c r="D860">
        <v>700</v>
      </c>
      <c r="E860">
        <v>150</v>
      </c>
      <c r="F860">
        <v>4100</v>
      </c>
      <c r="G860">
        <v>75100</v>
      </c>
    </row>
    <row r="861" spans="1:7" x14ac:dyDescent="0.25">
      <c r="A861" t="s">
        <v>1401</v>
      </c>
      <c r="B861">
        <v>65</v>
      </c>
      <c r="C861">
        <v>504.62</v>
      </c>
      <c r="D861">
        <v>400</v>
      </c>
      <c r="E861">
        <v>200</v>
      </c>
      <c r="F861">
        <v>3000</v>
      </c>
      <c r="G861">
        <v>32800</v>
      </c>
    </row>
    <row r="862" spans="1:7" x14ac:dyDescent="0.25">
      <c r="A862" t="s">
        <v>1682</v>
      </c>
      <c r="B862">
        <v>1</v>
      </c>
      <c r="C862">
        <v>3000</v>
      </c>
      <c r="D862">
        <v>3000</v>
      </c>
      <c r="E862">
        <v>3000</v>
      </c>
      <c r="F862">
        <v>3000</v>
      </c>
      <c r="G862">
        <v>3000</v>
      </c>
    </row>
    <row r="864" spans="1:7" x14ac:dyDescent="0.25">
      <c r="A864" t="s">
        <v>5664</v>
      </c>
    </row>
    <row r="865" spans="1:7" x14ac:dyDescent="0.25">
      <c r="A865" t="s">
        <v>903</v>
      </c>
      <c r="B865" t="s">
        <v>4394</v>
      </c>
      <c r="C865" t="s">
        <v>4428</v>
      </c>
      <c r="D865" t="s">
        <v>4429</v>
      </c>
      <c r="E865" t="s">
        <v>4430</v>
      </c>
      <c r="F865" t="s">
        <v>4431</v>
      </c>
      <c r="G865" t="s">
        <v>4432</v>
      </c>
    </row>
    <row r="866" spans="1:7" x14ac:dyDescent="0.25">
      <c r="A866" t="s">
        <v>70</v>
      </c>
      <c r="B866">
        <v>83</v>
      </c>
      <c r="C866">
        <v>638.54999999999995</v>
      </c>
      <c r="D866">
        <v>500</v>
      </c>
      <c r="E866">
        <v>200</v>
      </c>
      <c r="F866">
        <v>3000</v>
      </c>
      <c r="G866">
        <v>53000</v>
      </c>
    </row>
    <row r="867" spans="1:7" x14ac:dyDescent="0.25">
      <c r="A867" t="s">
        <v>71</v>
      </c>
      <c r="B867">
        <v>205</v>
      </c>
      <c r="C867">
        <v>647.55999999999995</v>
      </c>
      <c r="D867">
        <v>600</v>
      </c>
      <c r="E867">
        <v>100</v>
      </c>
      <c r="F867">
        <v>4100</v>
      </c>
      <c r="G867">
        <v>132750</v>
      </c>
    </row>
    <row r="868" spans="1:7" x14ac:dyDescent="0.25">
      <c r="A868" t="s">
        <v>1296</v>
      </c>
      <c r="B868">
        <v>288</v>
      </c>
      <c r="C868">
        <v>644.97</v>
      </c>
      <c r="D868">
        <v>550</v>
      </c>
      <c r="E868">
        <v>100</v>
      </c>
      <c r="F868">
        <v>4100</v>
      </c>
      <c r="G868">
        <v>185750</v>
      </c>
    </row>
    <row r="870" spans="1:7" x14ac:dyDescent="0.25">
      <c r="A870" t="s">
        <v>5665</v>
      </c>
    </row>
    <row r="871" spans="1:7" x14ac:dyDescent="0.25">
      <c r="A871" t="s">
        <v>1297</v>
      </c>
      <c r="B871" t="s">
        <v>4394</v>
      </c>
      <c r="C871" t="s">
        <v>4428</v>
      </c>
      <c r="D871" t="s">
        <v>4429</v>
      </c>
      <c r="E871" t="s">
        <v>4430</v>
      </c>
      <c r="F871" t="s">
        <v>4431</v>
      </c>
      <c r="G871" t="s">
        <v>4432</v>
      </c>
    </row>
    <row r="872" spans="1:7" x14ac:dyDescent="0.25">
      <c r="A872" t="s">
        <v>5549</v>
      </c>
      <c r="B872">
        <v>196</v>
      </c>
      <c r="C872">
        <v>546.42999999999995</v>
      </c>
      <c r="D872">
        <v>500</v>
      </c>
      <c r="E872">
        <v>100</v>
      </c>
      <c r="F872">
        <v>3500</v>
      </c>
      <c r="G872">
        <v>107100</v>
      </c>
    </row>
    <row r="873" spans="1:7" x14ac:dyDescent="0.25">
      <c r="A873" t="s">
        <v>1397</v>
      </c>
      <c r="B873">
        <v>94</v>
      </c>
      <c r="C873">
        <v>576.6</v>
      </c>
      <c r="D873">
        <v>500</v>
      </c>
      <c r="E873">
        <v>100</v>
      </c>
      <c r="F873">
        <v>3000</v>
      </c>
      <c r="G873">
        <v>54200</v>
      </c>
    </row>
    <row r="875" spans="1:7" x14ac:dyDescent="0.25">
      <c r="A875" t="s">
        <v>5666</v>
      </c>
    </row>
    <row r="876" spans="1:7" x14ac:dyDescent="0.25">
      <c r="A876" t="s">
        <v>905</v>
      </c>
      <c r="B876" t="s">
        <v>4394</v>
      </c>
      <c r="C876" t="s">
        <v>4428</v>
      </c>
      <c r="D876" t="s">
        <v>4429</v>
      </c>
      <c r="E876" t="s">
        <v>4430</v>
      </c>
      <c r="F876" t="s">
        <v>4431</v>
      </c>
      <c r="G876" t="s">
        <v>4432</v>
      </c>
    </row>
    <row r="877" spans="1:7" x14ac:dyDescent="0.25">
      <c r="A877" t="s">
        <v>4844</v>
      </c>
      <c r="B877">
        <v>35</v>
      </c>
      <c r="C877">
        <v>290</v>
      </c>
      <c r="D877">
        <v>250</v>
      </c>
      <c r="E877">
        <v>100</v>
      </c>
      <c r="F877">
        <v>750</v>
      </c>
      <c r="G877">
        <v>10150</v>
      </c>
    </row>
    <row r="878" spans="1:7" x14ac:dyDescent="0.25">
      <c r="A878" t="s">
        <v>4845</v>
      </c>
      <c r="B878">
        <v>224</v>
      </c>
      <c r="C878">
        <v>549.33000000000004</v>
      </c>
      <c r="D878">
        <v>500</v>
      </c>
      <c r="E878">
        <v>100</v>
      </c>
      <c r="F878">
        <v>3000</v>
      </c>
      <c r="G878">
        <v>123050</v>
      </c>
    </row>
    <row r="879" spans="1:7" x14ac:dyDescent="0.25">
      <c r="A879" t="s">
        <v>4846</v>
      </c>
      <c r="B879">
        <v>31</v>
      </c>
      <c r="C879">
        <v>906.45</v>
      </c>
      <c r="D879">
        <v>800</v>
      </c>
      <c r="E879">
        <v>250</v>
      </c>
      <c r="F879">
        <v>3500</v>
      </c>
      <c r="G879">
        <v>28100</v>
      </c>
    </row>
    <row r="881" spans="1:7" x14ac:dyDescent="0.25">
      <c r="A881" t="s">
        <v>5667</v>
      </c>
    </row>
    <row r="882" spans="1:7" x14ac:dyDescent="0.25">
      <c r="A882" t="s">
        <v>906</v>
      </c>
      <c r="B882" t="s">
        <v>4394</v>
      </c>
      <c r="C882" t="s">
        <v>4428</v>
      </c>
      <c r="D882" t="s">
        <v>4429</v>
      </c>
      <c r="E882" t="s">
        <v>4430</v>
      </c>
      <c r="F882" t="s">
        <v>4431</v>
      </c>
      <c r="G882" t="s">
        <v>4432</v>
      </c>
    </row>
    <row r="883" spans="1:7" x14ac:dyDescent="0.25">
      <c r="A883" t="s">
        <v>1338</v>
      </c>
      <c r="B883">
        <v>46</v>
      </c>
      <c r="C883">
        <v>533.70000000000005</v>
      </c>
      <c r="D883">
        <v>550</v>
      </c>
      <c r="E883">
        <v>100</v>
      </c>
      <c r="F883">
        <v>1000</v>
      </c>
      <c r="G883">
        <v>24550</v>
      </c>
    </row>
    <row r="884" spans="1:7" x14ac:dyDescent="0.25">
      <c r="A884" t="s">
        <v>1370</v>
      </c>
      <c r="B884">
        <v>31</v>
      </c>
      <c r="C884">
        <v>704.84</v>
      </c>
      <c r="D884">
        <v>550</v>
      </c>
      <c r="E884">
        <v>100</v>
      </c>
      <c r="F884">
        <v>2700</v>
      </c>
      <c r="G884">
        <v>21850</v>
      </c>
    </row>
    <row r="885" spans="1:7" x14ac:dyDescent="0.25">
      <c r="A885" t="s">
        <v>1439</v>
      </c>
      <c r="B885">
        <v>20</v>
      </c>
      <c r="C885">
        <v>700</v>
      </c>
      <c r="D885">
        <v>600</v>
      </c>
      <c r="E885">
        <v>200</v>
      </c>
      <c r="F885">
        <v>3500</v>
      </c>
      <c r="G885">
        <v>14000</v>
      </c>
    </row>
    <row r="886" spans="1:7" x14ac:dyDescent="0.25">
      <c r="A886" t="s">
        <v>1476</v>
      </c>
      <c r="B886">
        <v>70</v>
      </c>
      <c r="C886">
        <v>335</v>
      </c>
      <c r="D886">
        <v>300</v>
      </c>
      <c r="E886">
        <v>100</v>
      </c>
      <c r="F886">
        <v>900</v>
      </c>
      <c r="G886">
        <v>23450</v>
      </c>
    </row>
    <row r="887" spans="1:7" x14ac:dyDescent="0.25">
      <c r="A887" t="s">
        <v>5476</v>
      </c>
      <c r="B887">
        <v>5</v>
      </c>
      <c r="C887">
        <v>430</v>
      </c>
      <c r="D887">
        <v>400</v>
      </c>
      <c r="E887">
        <v>200</v>
      </c>
      <c r="F887">
        <v>700</v>
      </c>
      <c r="G887">
        <v>2150</v>
      </c>
    </row>
    <row r="888" spans="1:7" x14ac:dyDescent="0.25">
      <c r="A888" t="s">
        <v>1399</v>
      </c>
      <c r="B888">
        <v>42</v>
      </c>
      <c r="C888">
        <v>592.86</v>
      </c>
      <c r="D888">
        <v>500</v>
      </c>
      <c r="E888">
        <v>200</v>
      </c>
      <c r="F888">
        <v>2300</v>
      </c>
      <c r="G888">
        <v>24900</v>
      </c>
    </row>
    <row r="889" spans="1:7" x14ac:dyDescent="0.25">
      <c r="A889" t="s">
        <v>1415</v>
      </c>
      <c r="B889">
        <v>76</v>
      </c>
      <c r="C889">
        <v>663.16</v>
      </c>
      <c r="D889">
        <v>600</v>
      </c>
      <c r="E889">
        <v>150</v>
      </c>
      <c r="F889">
        <v>3000</v>
      </c>
      <c r="G889">
        <v>50400</v>
      </c>
    </row>
    <row r="891" spans="1:7" x14ac:dyDescent="0.25">
      <c r="A891" t="s">
        <v>5668</v>
      </c>
    </row>
    <row r="892" spans="1:7" x14ac:dyDescent="0.25">
      <c r="A892" t="s">
        <v>907</v>
      </c>
      <c r="B892" t="s">
        <v>4394</v>
      </c>
      <c r="C892" t="s">
        <v>4428</v>
      </c>
      <c r="D892" t="s">
        <v>4429</v>
      </c>
      <c r="E892" t="s">
        <v>4430</v>
      </c>
      <c r="F892" t="s">
        <v>4431</v>
      </c>
      <c r="G892" t="s">
        <v>4432</v>
      </c>
    </row>
    <row r="893" spans="1:7" x14ac:dyDescent="0.25">
      <c r="A893" t="s">
        <v>109</v>
      </c>
      <c r="B893">
        <v>250</v>
      </c>
      <c r="C893">
        <v>560.79999999999995</v>
      </c>
      <c r="D893">
        <v>500</v>
      </c>
      <c r="E893">
        <v>100</v>
      </c>
      <c r="F893">
        <v>3500</v>
      </c>
      <c r="G893">
        <v>140200</v>
      </c>
    </row>
    <row r="894" spans="1:7" x14ac:dyDescent="0.25">
      <c r="A894" t="s">
        <v>192</v>
      </c>
      <c r="B894">
        <v>40</v>
      </c>
      <c r="C894">
        <v>527.5</v>
      </c>
      <c r="D894">
        <v>400</v>
      </c>
      <c r="E894">
        <v>200</v>
      </c>
      <c r="F894">
        <v>2700</v>
      </c>
      <c r="G894">
        <v>21100</v>
      </c>
    </row>
    <row r="896" spans="1:7" x14ac:dyDescent="0.25">
      <c r="A896" t="s">
        <v>5669</v>
      </c>
    </row>
    <row r="897" spans="1:7" x14ac:dyDescent="0.25">
      <c r="A897" t="s">
        <v>910</v>
      </c>
      <c r="B897" t="s">
        <v>4394</v>
      </c>
      <c r="C897" t="s">
        <v>4428</v>
      </c>
      <c r="D897" t="s">
        <v>4429</v>
      </c>
      <c r="E897" t="s">
        <v>4430</v>
      </c>
      <c r="F897" t="s">
        <v>4431</v>
      </c>
      <c r="G897" t="s">
        <v>4432</v>
      </c>
    </row>
    <row r="898" spans="1:7" x14ac:dyDescent="0.25">
      <c r="A898" t="s">
        <v>1371</v>
      </c>
      <c r="B898">
        <v>41</v>
      </c>
      <c r="C898">
        <v>739.02</v>
      </c>
      <c r="D898">
        <v>600</v>
      </c>
      <c r="E898">
        <v>200</v>
      </c>
      <c r="F898">
        <v>3000</v>
      </c>
      <c r="G898">
        <v>30300</v>
      </c>
    </row>
    <row r="899" spans="1:7" x14ac:dyDescent="0.25">
      <c r="A899" t="s">
        <v>1452</v>
      </c>
      <c r="B899">
        <v>18</v>
      </c>
      <c r="C899">
        <v>750</v>
      </c>
      <c r="D899">
        <v>700</v>
      </c>
      <c r="E899">
        <v>300</v>
      </c>
      <c r="F899">
        <v>2700</v>
      </c>
      <c r="G899">
        <v>13500</v>
      </c>
    </row>
    <row r="900" spans="1:7" x14ac:dyDescent="0.25">
      <c r="A900" t="s">
        <v>5560</v>
      </c>
      <c r="B900">
        <v>57</v>
      </c>
      <c r="C900">
        <v>418.42</v>
      </c>
      <c r="D900">
        <v>300</v>
      </c>
      <c r="E900">
        <v>100</v>
      </c>
      <c r="F900">
        <v>1500</v>
      </c>
      <c r="G900">
        <v>23850</v>
      </c>
    </row>
    <row r="901" spans="1:7" x14ac:dyDescent="0.25">
      <c r="A901" t="s">
        <v>1424</v>
      </c>
      <c r="B901">
        <v>118</v>
      </c>
      <c r="C901">
        <v>514.83000000000004</v>
      </c>
      <c r="D901">
        <v>450</v>
      </c>
      <c r="E901">
        <v>150</v>
      </c>
      <c r="F901">
        <v>3500</v>
      </c>
      <c r="G901">
        <v>60750</v>
      </c>
    </row>
    <row r="902" spans="1:7" x14ac:dyDescent="0.25">
      <c r="A902" t="s">
        <v>1340</v>
      </c>
      <c r="B902">
        <v>29</v>
      </c>
      <c r="C902">
        <v>622.41</v>
      </c>
      <c r="D902">
        <v>600</v>
      </c>
      <c r="E902">
        <v>100</v>
      </c>
      <c r="F902">
        <v>900</v>
      </c>
      <c r="G902">
        <v>18050</v>
      </c>
    </row>
    <row r="903" spans="1:7" x14ac:dyDescent="0.25">
      <c r="A903" t="s">
        <v>5561</v>
      </c>
      <c r="B903">
        <v>8</v>
      </c>
      <c r="C903">
        <v>268.75</v>
      </c>
      <c r="D903">
        <v>200</v>
      </c>
      <c r="E903">
        <v>150</v>
      </c>
      <c r="F903">
        <v>600</v>
      </c>
      <c r="G903">
        <v>2150</v>
      </c>
    </row>
    <row r="904" spans="1:7" x14ac:dyDescent="0.25">
      <c r="A904" t="s">
        <v>1416</v>
      </c>
      <c r="B904">
        <v>19</v>
      </c>
      <c r="C904">
        <v>668.42</v>
      </c>
      <c r="D904">
        <v>700</v>
      </c>
      <c r="E904">
        <v>300</v>
      </c>
      <c r="F904">
        <v>1200</v>
      </c>
      <c r="G904">
        <v>12700</v>
      </c>
    </row>
    <row r="906" spans="1:7" x14ac:dyDescent="0.25">
      <c r="A906" t="s">
        <v>5670</v>
      </c>
    </row>
    <row r="907" spans="1:7" x14ac:dyDescent="0.25">
      <c r="A907" t="s">
        <v>928</v>
      </c>
      <c r="B907" t="s">
        <v>4394</v>
      </c>
      <c r="C907" t="s">
        <v>4428</v>
      </c>
      <c r="D907" t="s">
        <v>4429</v>
      </c>
      <c r="E907" t="s">
        <v>4430</v>
      </c>
      <c r="F907" t="s">
        <v>4431</v>
      </c>
      <c r="G907" t="s">
        <v>4432</v>
      </c>
    </row>
    <row r="908" spans="1:7" x14ac:dyDescent="0.25">
      <c r="A908" t="s">
        <v>4433</v>
      </c>
      <c r="B908">
        <v>5</v>
      </c>
      <c r="C908">
        <v>1360</v>
      </c>
      <c r="D908">
        <v>1000</v>
      </c>
      <c r="E908">
        <v>500</v>
      </c>
      <c r="F908">
        <v>3500</v>
      </c>
      <c r="G908">
        <v>6800</v>
      </c>
    </row>
    <row r="909" spans="1:7" x14ac:dyDescent="0.25">
      <c r="A909" t="s">
        <v>4434</v>
      </c>
      <c r="B909">
        <v>115</v>
      </c>
      <c r="C909">
        <v>557.83000000000004</v>
      </c>
      <c r="D909">
        <v>500</v>
      </c>
      <c r="E909">
        <v>100</v>
      </c>
      <c r="F909">
        <v>1500</v>
      </c>
      <c r="G909">
        <v>64150</v>
      </c>
    </row>
    <row r="910" spans="1:7" x14ac:dyDescent="0.25">
      <c r="A910" t="s">
        <v>4435</v>
      </c>
      <c r="B910">
        <v>88</v>
      </c>
      <c r="C910">
        <v>505.68</v>
      </c>
      <c r="D910">
        <v>450</v>
      </c>
      <c r="E910">
        <v>100</v>
      </c>
      <c r="F910">
        <v>1200</v>
      </c>
      <c r="G910">
        <v>44500</v>
      </c>
    </row>
    <row r="911" spans="1:7" x14ac:dyDescent="0.25">
      <c r="A911" t="s">
        <v>4436</v>
      </c>
      <c r="B911">
        <v>80</v>
      </c>
      <c r="C911">
        <v>501.88</v>
      </c>
      <c r="D911">
        <v>400</v>
      </c>
      <c r="E911">
        <v>150</v>
      </c>
      <c r="F911">
        <v>2300</v>
      </c>
      <c r="G911">
        <v>40150</v>
      </c>
    </row>
    <row r="912" spans="1:7" x14ac:dyDescent="0.25">
      <c r="A912" t="s">
        <v>4437</v>
      </c>
      <c r="B912">
        <v>2</v>
      </c>
      <c r="C912">
        <v>2850</v>
      </c>
      <c r="D912">
        <v>2700</v>
      </c>
      <c r="E912">
        <v>2700</v>
      </c>
      <c r="F912">
        <v>3000</v>
      </c>
      <c r="G912">
        <v>5700</v>
      </c>
    </row>
    <row r="914" spans="1:7" x14ac:dyDescent="0.25">
      <c r="A914" t="s">
        <v>5671</v>
      </c>
    </row>
    <row r="915" spans="1:7" x14ac:dyDescent="0.25">
      <c r="A915" t="s">
        <v>913</v>
      </c>
      <c r="B915" t="s">
        <v>4394</v>
      </c>
      <c r="C915" t="s">
        <v>4428</v>
      </c>
      <c r="D915" t="s">
        <v>4429</v>
      </c>
      <c r="E915" t="s">
        <v>4430</v>
      </c>
      <c r="F915" t="s">
        <v>4431</v>
      </c>
      <c r="G915" t="s">
        <v>4432</v>
      </c>
    </row>
    <row r="916" spans="1:7" x14ac:dyDescent="0.25">
      <c r="A916" t="s">
        <v>1561</v>
      </c>
      <c r="B916">
        <v>3</v>
      </c>
      <c r="C916">
        <v>833.33</v>
      </c>
      <c r="D916">
        <v>1000</v>
      </c>
      <c r="E916">
        <v>500</v>
      </c>
      <c r="F916">
        <v>1000</v>
      </c>
      <c r="G916">
        <v>2500</v>
      </c>
    </row>
    <row r="917" spans="1:7" x14ac:dyDescent="0.25">
      <c r="A917" t="s">
        <v>1460</v>
      </c>
      <c r="B917">
        <v>65</v>
      </c>
      <c r="C917">
        <v>479.23</v>
      </c>
      <c r="D917">
        <v>400</v>
      </c>
      <c r="E917">
        <v>100</v>
      </c>
      <c r="F917">
        <v>1300</v>
      </c>
      <c r="G917">
        <v>31150</v>
      </c>
    </row>
    <row r="918" spans="1:7" x14ac:dyDescent="0.25">
      <c r="A918" t="s">
        <v>1342</v>
      </c>
      <c r="B918">
        <v>66</v>
      </c>
      <c r="C918">
        <v>469.7</v>
      </c>
      <c r="D918">
        <v>400</v>
      </c>
      <c r="E918">
        <v>100</v>
      </c>
      <c r="F918">
        <v>1200</v>
      </c>
      <c r="G918">
        <v>31000</v>
      </c>
    </row>
    <row r="919" spans="1:7" x14ac:dyDescent="0.25">
      <c r="A919" t="s">
        <v>1375</v>
      </c>
      <c r="B919">
        <v>90</v>
      </c>
      <c r="C919">
        <v>717.22</v>
      </c>
      <c r="D919">
        <v>600</v>
      </c>
      <c r="E919">
        <v>150</v>
      </c>
      <c r="F919">
        <v>3500</v>
      </c>
      <c r="G919">
        <v>64550</v>
      </c>
    </row>
    <row r="920" spans="1:7" x14ac:dyDescent="0.25">
      <c r="A920" t="s">
        <v>1401</v>
      </c>
      <c r="B920">
        <v>65</v>
      </c>
      <c r="C920">
        <v>447.69</v>
      </c>
      <c r="D920">
        <v>400</v>
      </c>
      <c r="E920">
        <v>150</v>
      </c>
      <c r="F920">
        <v>2300</v>
      </c>
      <c r="G920">
        <v>29100</v>
      </c>
    </row>
    <row r="921" spans="1:7" x14ac:dyDescent="0.25">
      <c r="A921" t="s">
        <v>1682</v>
      </c>
      <c r="B921">
        <v>1</v>
      </c>
      <c r="C921">
        <v>3000</v>
      </c>
      <c r="D921">
        <v>3000</v>
      </c>
      <c r="E921">
        <v>3000</v>
      </c>
      <c r="F921">
        <v>3000</v>
      </c>
      <c r="G921">
        <v>3000</v>
      </c>
    </row>
    <row r="923" spans="1:7" x14ac:dyDescent="0.25">
      <c r="A923" t="s">
        <v>5672</v>
      </c>
    </row>
    <row r="924" spans="1:7" x14ac:dyDescent="0.25">
      <c r="A924" t="s">
        <v>903</v>
      </c>
      <c r="B924" t="s">
        <v>4394</v>
      </c>
      <c r="C924" t="s">
        <v>4428</v>
      </c>
      <c r="D924" t="s">
        <v>4429</v>
      </c>
      <c r="E924" t="s">
        <v>4430</v>
      </c>
      <c r="F924" t="s">
        <v>4431</v>
      </c>
      <c r="G924" t="s">
        <v>4432</v>
      </c>
    </row>
    <row r="925" spans="1:7" x14ac:dyDescent="0.25">
      <c r="A925" t="s">
        <v>70</v>
      </c>
      <c r="B925">
        <v>84</v>
      </c>
      <c r="C925">
        <v>572.62</v>
      </c>
      <c r="D925">
        <v>500</v>
      </c>
      <c r="E925">
        <v>150</v>
      </c>
      <c r="F925">
        <v>3000</v>
      </c>
      <c r="G925">
        <v>48100</v>
      </c>
    </row>
    <row r="926" spans="1:7" x14ac:dyDescent="0.25">
      <c r="A926" t="s">
        <v>71</v>
      </c>
      <c r="B926">
        <v>206</v>
      </c>
      <c r="C926">
        <v>549.51</v>
      </c>
      <c r="D926">
        <v>500</v>
      </c>
      <c r="E926">
        <v>100</v>
      </c>
      <c r="F926">
        <v>3500</v>
      </c>
      <c r="G926">
        <v>113200</v>
      </c>
    </row>
    <row r="927" spans="1:7" x14ac:dyDescent="0.25">
      <c r="A927" t="s">
        <v>1296</v>
      </c>
      <c r="B927">
        <v>290</v>
      </c>
      <c r="C927">
        <v>556.21</v>
      </c>
      <c r="D927">
        <v>500</v>
      </c>
      <c r="E927">
        <v>100</v>
      </c>
      <c r="F927">
        <v>3500</v>
      </c>
      <c r="G927">
        <v>161300</v>
      </c>
    </row>
    <row r="929" spans="1:7" x14ac:dyDescent="0.25">
      <c r="A929" t="s">
        <v>5673</v>
      </c>
    </row>
    <row r="930" spans="1:7" x14ac:dyDescent="0.25">
      <c r="A930" t="s">
        <v>1297</v>
      </c>
      <c r="B930" t="s">
        <v>4394</v>
      </c>
      <c r="C930" t="s">
        <v>4428</v>
      </c>
      <c r="D930" t="s">
        <v>4429</v>
      </c>
      <c r="E930" t="s">
        <v>4430</v>
      </c>
      <c r="F930" t="s">
        <v>4431</v>
      </c>
      <c r="G930" t="s">
        <v>4432</v>
      </c>
    </row>
    <row r="931" spans="1:7" x14ac:dyDescent="0.25">
      <c r="A931" t="s">
        <v>5549</v>
      </c>
      <c r="B931">
        <v>151</v>
      </c>
      <c r="C931">
        <v>1558.61</v>
      </c>
      <c r="D931">
        <v>900</v>
      </c>
      <c r="E931">
        <v>50</v>
      </c>
      <c r="F931">
        <v>5000</v>
      </c>
      <c r="G931">
        <v>235350</v>
      </c>
    </row>
    <row r="932" spans="1:7" x14ac:dyDescent="0.25">
      <c r="A932" t="s">
        <v>1397</v>
      </c>
      <c r="B932">
        <v>74</v>
      </c>
      <c r="C932">
        <v>1543.24</v>
      </c>
      <c r="D932">
        <v>1350</v>
      </c>
      <c r="E932">
        <v>50</v>
      </c>
      <c r="F932">
        <v>5500</v>
      </c>
      <c r="G932">
        <v>114200</v>
      </c>
    </row>
    <row r="934" spans="1:7" x14ac:dyDescent="0.25">
      <c r="A934" t="s">
        <v>5674</v>
      </c>
    </row>
    <row r="935" spans="1:7" x14ac:dyDescent="0.25">
      <c r="A935" t="s">
        <v>905</v>
      </c>
      <c r="B935" t="s">
        <v>4394</v>
      </c>
      <c r="C935" t="s">
        <v>4428</v>
      </c>
      <c r="D935" t="s">
        <v>4429</v>
      </c>
      <c r="E935" t="s">
        <v>4430</v>
      </c>
      <c r="F935" t="s">
        <v>4431</v>
      </c>
      <c r="G935" t="s">
        <v>4432</v>
      </c>
    </row>
    <row r="936" spans="1:7" x14ac:dyDescent="0.25">
      <c r="A936" t="s">
        <v>4844</v>
      </c>
      <c r="B936">
        <v>22</v>
      </c>
      <c r="C936">
        <v>1143.18</v>
      </c>
      <c r="D936">
        <v>900</v>
      </c>
      <c r="E936">
        <v>50</v>
      </c>
      <c r="F936">
        <v>4000</v>
      </c>
      <c r="G936">
        <v>25150</v>
      </c>
    </row>
    <row r="937" spans="1:7" x14ac:dyDescent="0.25">
      <c r="A937" t="s">
        <v>4845</v>
      </c>
      <c r="B937">
        <v>178</v>
      </c>
      <c r="C937">
        <v>1521.35</v>
      </c>
      <c r="D937">
        <v>1000</v>
      </c>
      <c r="E937">
        <v>50</v>
      </c>
      <c r="F937">
        <v>5500</v>
      </c>
      <c r="G937">
        <v>270800</v>
      </c>
    </row>
    <row r="938" spans="1:7" x14ac:dyDescent="0.25">
      <c r="A938" t="s">
        <v>4846</v>
      </c>
      <c r="B938">
        <v>25</v>
      </c>
      <c r="C938">
        <v>2144</v>
      </c>
      <c r="D938">
        <v>2300</v>
      </c>
      <c r="E938">
        <v>250</v>
      </c>
      <c r="F938">
        <v>4800</v>
      </c>
      <c r="G938">
        <v>53600</v>
      </c>
    </row>
    <row r="940" spans="1:7" x14ac:dyDescent="0.25">
      <c r="A940" t="s">
        <v>5675</v>
      </c>
    </row>
    <row r="941" spans="1:7" x14ac:dyDescent="0.25">
      <c r="A941" t="s">
        <v>906</v>
      </c>
      <c r="B941" t="s">
        <v>4394</v>
      </c>
      <c r="C941" t="s">
        <v>4428</v>
      </c>
      <c r="D941" t="s">
        <v>4429</v>
      </c>
      <c r="E941" t="s">
        <v>4430</v>
      </c>
      <c r="F941" t="s">
        <v>4431</v>
      </c>
      <c r="G941" t="s">
        <v>4432</v>
      </c>
    </row>
    <row r="942" spans="1:7" x14ac:dyDescent="0.25">
      <c r="A942" t="s">
        <v>1338</v>
      </c>
      <c r="B942">
        <v>36</v>
      </c>
      <c r="C942">
        <v>1323.61</v>
      </c>
      <c r="D942">
        <v>500</v>
      </c>
      <c r="E942">
        <v>100</v>
      </c>
      <c r="F942">
        <v>4800</v>
      </c>
      <c r="G942">
        <v>47650</v>
      </c>
    </row>
    <row r="943" spans="1:7" x14ac:dyDescent="0.25">
      <c r="A943" t="s">
        <v>1370</v>
      </c>
      <c r="B943">
        <v>24</v>
      </c>
      <c r="C943">
        <v>1758.33</v>
      </c>
      <c r="D943">
        <v>900</v>
      </c>
      <c r="E943">
        <v>100</v>
      </c>
      <c r="F943">
        <v>5500</v>
      </c>
      <c r="G943">
        <v>42200</v>
      </c>
    </row>
    <row r="944" spans="1:7" x14ac:dyDescent="0.25">
      <c r="A944" t="s">
        <v>1439</v>
      </c>
      <c r="B944">
        <v>15</v>
      </c>
      <c r="C944">
        <v>1230</v>
      </c>
      <c r="D944">
        <v>900</v>
      </c>
      <c r="E944">
        <v>200</v>
      </c>
      <c r="F944">
        <v>2800</v>
      </c>
      <c r="G944">
        <v>18450</v>
      </c>
    </row>
    <row r="945" spans="1:7" x14ac:dyDescent="0.25">
      <c r="A945" t="s">
        <v>1476</v>
      </c>
      <c r="B945">
        <v>54</v>
      </c>
      <c r="C945">
        <v>1092.5899999999999</v>
      </c>
      <c r="D945">
        <v>800</v>
      </c>
      <c r="E945">
        <v>50</v>
      </c>
      <c r="F945">
        <v>4000</v>
      </c>
      <c r="G945">
        <v>59000</v>
      </c>
    </row>
    <row r="946" spans="1:7" x14ac:dyDescent="0.25">
      <c r="A946" t="s">
        <v>5476</v>
      </c>
      <c r="B946">
        <v>5</v>
      </c>
      <c r="C946">
        <v>890</v>
      </c>
      <c r="D946">
        <v>900</v>
      </c>
      <c r="E946">
        <v>100</v>
      </c>
      <c r="F946">
        <v>2000</v>
      </c>
      <c r="G946">
        <v>4450</v>
      </c>
    </row>
    <row r="947" spans="1:7" x14ac:dyDescent="0.25">
      <c r="A947" t="s">
        <v>1399</v>
      </c>
      <c r="B947">
        <v>33</v>
      </c>
      <c r="C947">
        <v>1448.48</v>
      </c>
      <c r="D947">
        <v>1500</v>
      </c>
      <c r="E947">
        <v>50</v>
      </c>
      <c r="F947">
        <v>5000</v>
      </c>
      <c r="G947">
        <v>47800</v>
      </c>
    </row>
    <row r="948" spans="1:7" x14ac:dyDescent="0.25">
      <c r="A948" t="s">
        <v>1415</v>
      </c>
      <c r="B948">
        <v>58</v>
      </c>
      <c r="C948">
        <v>2241.38</v>
      </c>
      <c r="D948">
        <v>2300</v>
      </c>
      <c r="E948">
        <v>50</v>
      </c>
      <c r="F948">
        <v>4800</v>
      </c>
      <c r="G948">
        <v>130000</v>
      </c>
    </row>
    <row r="950" spans="1:7" x14ac:dyDescent="0.25">
      <c r="A950" t="s">
        <v>5676</v>
      </c>
    </row>
    <row r="951" spans="1:7" x14ac:dyDescent="0.25">
      <c r="A951" t="s">
        <v>907</v>
      </c>
      <c r="B951" t="s">
        <v>4394</v>
      </c>
      <c r="C951" t="s">
        <v>4428</v>
      </c>
      <c r="D951" t="s">
        <v>4429</v>
      </c>
      <c r="E951" t="s">
        <v>4430</v>
      </c>
      <c r="F951" t="s">
        <v>4431</v>
      </c>
      <c r="G951" t="s">
        <v>4432</v>
      </c>
    </row>
    <row r="952" spans="1:7" x14ac:dyDescent="0.25">
      <c r="A952" t="s">
        <v>109</v>
      </c>
      <c r="B952">
        <v>195</v>
      </c>
      <c r="C952">
        <v>1561.54</v>
      </c>
      <c r="D952">
        <v>1000</v>
      </c>
      <c r="E952">
        <v>50</v>
      </c>
      <c r="F952">
        <v>5500</v>
      </c>
      <c r="G952">
        <v>304500</v>
      </c>
    </row>
    <row r="953" spans="1:7" x14ac:dyDescent="0.25">
      <c r="A953" t="s">
        <v>192</v>
      </c>
      <c r="B953">
        <v>30</v>
      </c>
      <c r="C953">
        <v>1501.67</v>
      </c>
      <c r="D953">
        <v>1200</v>
      </c>
      <c r="E953">
        <v>50</v>
      </c>
      <c r="F953">
        <v>4800</v>
      </c>
      <c r="G953">
        <v>45050</v>
      </c>
    </row>
    <row r="955" spans="1:7" x14ac:dyDescent="0.25">
      <c r="A955" t="s">
        <v>5677</v>
      </c>
    </row>
    <row r="956" spans="1:7" x14ac:dyDescent="0.25">
      <c r="A956" t="s">
        <v>910</v>
      </c>
      <c r="B956" t="s">
        <v>4394</v>
      </c>
      <c r="C956" t="s">
        <v>4428</v>
      </c>
      <c r="D956" t="s">
        <v>4429</v>
      </c>
      <c r="E956" t="s">
        <v>4430</v>
      </c>
      <c r="F956" t="s">
        <v>4431</v>
      </c>
      <c r="G956" t="s">
        <v>4432</v>
      </c>
    </row>
    <row r="957" spans="1:7" x14ac:dyDescent="0.25">
      <c r="A957" t="s">
        <v>1371</v>
      </c>
      <c r="B957">
        <v>31</v>
      </c>
      <c r="C957">
        <v>1440.32</v>
      </c>
      <c r="D957">
        <v>500</v>
      </c>
      <c r="E957">
        <v>100</v>
      </c>
      <c r="F957">
        <v>5000</v>
      </c>
      <c r="G957">
        <v>44650</v>
      </c>
    </row>
    <row r="958" spans="1:7" x14ac:dyDescent="0.25">
      <c r="A958" t="s">
        <v>1452</v>
      </c>
      <c r="B958">
        <v>15</v>
      </c>
      <c r="C958">
        <v>3033.33</v>
      </c>
      <c r="D958">
        <v>3400</v>
      </c>
      <c r="E958">
        <v>300</v>
      </c>
      <c r="F958">
        <v>4800</v>
      </c>
      <c r="G958">
        <v>45500</v>
      </c>
    </row>
    <row r="959" spans="1:7" x14ac:dyDescent="0.25">
      <c r="A959" t="s">
        <v>5560</v>
      </c>
      <c r="B959">
        <v>40</v>
      </c>
      <c r="C959">
        <v>1240</v>
      </c>
      <c r="D959">
        <v>1000</v>
      </c>
      <c r="E959">
        <v>50</v>
      </c>
      <c r="F959">
        <v>5000</v>
      </c>
      <c r="G959">
        <v>49600</v>
      </c>
    </row>
    <row r="960" spans="1:7" x14ac:dyDescent="0.25">
      <c r="A960" t="s">
        <v>1424</v>
      </c>
      <c r="B960">
        <v>98</v>
      </c>
      <c r="C960">
        <v>1269.3900000000001</v>
      </c>
      <c r="D960">
        <v>850</v>
      </c>
      <c r="E960">
        <v>100</v>
      </c>
      <c r="F960">
        <v>5500</v>
      </c>
      <c r="G960">
        <v>124400</v>
      </c>
    </row>
    <row r="961" spans="1:7" x14ac:dyDescent="0.25">
      <c r="A961" t="s">
        <v>1340</v>
      </c>
      <c r="B961">
        <v>24</v>
      </c>
      <c r="C961">
        <v>2039.58</v>
      </c>
      <c r="D961">
        <v>1500</v>
      </c>
      <c r="E961">
        <v>100</v>
      </c>
      <c r="F961">
        <v>4800</v>
      </c>
      <c r="G961">
        <v>48950</v>
      </c>
    </row>
    <row r="962" spans="1:7" x14ac:dyDescent="0.25">
      <c r="A962" t="s">
        <v>5561</v>
      </c>
      <c r="B962">
        <v>3</v>
      </c>
      <c r="C962">
        <v>200</v>
      </c>
      <c r="D962">
        <v>200</v>
      </c>
      <c r="E962">
        <v>100</v>
      </c>
      <c r="F962">
        <v>300</v>
      </c>
      <c r="G962">
        <v>600</v>
      </c>
    </row>
    <row r="963" spans="1:7" x14ac:dyDescent="0.25">
      <c r="A963" t="s">
        <v>1416</v>
      </c>
      <c r="B963">
        <v>14</v>
      </c>
      <c r="C963">
        <v>2560.71</v>
      </c>
      <c r="D963">
        <v>3000</v>
      </c>
      <c r="E963">
        <v>50</v>
      </c>
      <c r="F963">
        <v>4800</v>
      </c>
      <c r="G963">
        <v>35850</v>
      </c>
    </row>
    <row r="965" spans="1:7" x14ac:dyDescent="0.25">
      <c r="A965" t="s">
        <v>5678</v>
      </c>
    </row>
    <row r="966" spans="1:7" x14ac:dyDescent="0.25">
      <c r="A966" t="s">
        <v>928</v>
      </c>
      <c r="B966" t="s">
        <v>4394</v>
      </c>
      <c r="C966" t="s">
        <v>4428</v>
      </c>
      <c r="D966" t="s">
        <v>4429</v>
      </c>
      <c r="E966" t="s">
        <v>4430</v>
      </c>
      <c r="F966" t="s">
        <v>4431</v>
      </c>
      <c r="G966" t="s">
        <v>4432</v>
      </c>
    </row>
    <row r="967" spans="1:7" x14ac:dyDescent="0.25">
      <c r="A967" t="s">
        <v>4433</v>
      </c>
      <c r="B967">
        <v>3</v>
      </c>
      <c r="C967">
        <v>1200</v>
      </c>
      <c r="D967">
        <v>900</v>
      </c>
      <c r="E967">
        <v>200</v>
      </c>
      <c r="F967">
        <v>2500</v>
      </c>
      <c r="G967">
        <v>3600</v>
      </c>
    </row>
    <row r="968" spans="1:7" x14ac:dyDescent="0.25">
      <c r="A968" t="s">
        <v>4434</v>
      </c>
      <c r="B968">
        <v>117</v>
      </c>
      <c r="C968">
        <v>2611.9699999999998</v>
      </c>
      <c r="D968">
        <v>2500</v>
      </c>
      <c r="E968">
        <v>100</v>
      </c>
      <c r="F968">
        <v>5500</v>
      </c>
      <c r="G968">
        <v>305600</v>
      </c>
    </row>
    <row r="969" spans="1:7" x14ac:dyDescent="0.25">
      <c r="A969" t="s">
        <v>4435</v>
      </c>
      <c r="B969">
        <v>50</v>
      </c>
      <c r="C969">
        <v>423</v>
      </c>
      <c r="D969">
        <v>250</v>
      </c>
      <c r="E969">
        <v>50</v>
      </c>
      <c r="F969">
        <v>2200</v>
      </c>
      <c r="G969">
        <v>21150</v>
      </c>
    </row>
    <row r="970" spans="1:7" x14ac:dyDescent="0.25">
      <c r="A970" t="s">
        <v>4436</v>
      </c>
      <c r="B970">
        <v>53</v>
      </c>
      <c r="C970">
        <v>325.47000000000003</v>
      </c>
      <c r="D970">
        <v>250</v>
      </c>
      <c r="E970">
        <v>50</v>
      </c>
      <c r="F970">
        <v>1300</v>
      </c>
      <c r="G970">
        <v>17250</v>
      </c>
    </row>
    <row r="971" spans="1:7" x14ac:dyDescent="0.25">
      <c r="A971" t="s">
        <v>4437</v>
      </c>
      <c r="B971">
        <v>2</v>
      </c>
      <c r="C971">
        <v>975</v>
      </c>
      <c r="D971">
        <v>150</v>
      </c>
      <c r="E971">
        <v>150</v>
      </c>
      <c r="F971">
        <v>1800</v>
      </c>
      <c r="G971">
        <v>1950</v>
      </c>
    </row>
    <row r="973" spans="1:7" x14ac:dyDescent="0.25">
      <c r="A973" t="s">
        <v>5679</v>
      </c>
    </row>
    <row r="974" spans="1:7" x14ac:dyDescent="0.25">
      <c r="A974" t="s">
        <v>913</v>
      </c>
      <c r="B974" t="s">
        <v>4394</v>
      </c>
      <c r="C974" t="s">
        <v>4428</v>
      </c>
      <c r="D974" t="s">
        <v>4429</v>
      </c>
      <c r="E974" t="s">
        <v>4430</v>
      </c>
      <c r="F974" t="s">
        <v>4431</v>
      </c>
      <c r="G974" t="s">
        <v>4432</v>
      </c>
    </row>
    <row r="975" spans="1:7" x14ac:dyDescent="0.25">
      <c r="A975" t="s">
        <v>1561</v>
      </c>
      <c r="B975">
        <v>1</v>
      </c>
      <c r="C975">
        <v>200</v>
      </c>
      <c r="D975">
        <v>200</v>
      </c>
      <c r="E975">
        <v>200</v>
      </c>
      <c r="F975">
        <v>200</v>
      </c>
      <c r="G975">
        <v>200</v>
      </c>
    </row>
    <row r="976" spans="1:7" x14ac:dyDescent="0.25">
      <c r="A976" t="s">
        <v>1460</v>
      </c>
      <c r="B976">
        <v>67</v>
      </c>
      <c r="C976">
        <v>2429.1</v>
      </c>
      <c r="D976">
        <v>2300</v>
      </c>
      <c r="E976">
        <v>1000</v>
      </c>
      <c r="F976">
        <v>4800</v>
      </c>
      <c r="G976">
        <v>162750</v>
      </c>
    </row>
    <row r="977" spans="1:7" x14ac:dyDescent="0.25">
      <c r="A977" t="s">
        <v>1342</v>
      </c>
      <c r="B977">
        <v>41</v>
      </c>
      <c r="C977">
        <v>400</v>
      </c>
      <c r="D977">
        <v>200</v>
      </c>
      <c r="E977">
        <v>50</v>
      </c>
      <c r="F977">
        <v>2200</v>
      </c>
      <c r="G977">
        <v>16400</v>
      </c>
    </row>
    <row r="978" spans="1:7" x14ac:dyDescent="0.25">
      <c r="A978" t="s">
        <v>1375</v>
      </c>
      <c r="B978">
        <v>74</v>
      </c>
      <c r="C978">
        <v>2142.5700000000002</v>
      </c>
      <c r="D978">
        <v>2000</v>
      </c>
      <c r="E978">
        <v>100</v>
      </c>
      <c r="F978">
        <v>5500</v>
      </c>
      <c r="G978">
        <v>158550</v>
      </c>
    </row>
    <row r="979" spans="1:7" x14ac:dyDescent="0.25">
      <c r="A979" t="s">
        <v>1401</v>
      </c>
      <c r="B979">
        <v>41</v>
      </c>
      <c r="C979">
        <v>280.49</v>
      </c>
      <c r="D979">
        <v>250</v>
      </c>
      <c r="E979">
        <v>50</v>
      </c>
      <c r="F979">
        <v>950</v>
      </c>
      <c r="G979">
        <v>11500</v>
      </c>
    </row>
    <row r="980" spans="1:7" x14ac:dyDescent="0.25">
      <c r="A980" t="s">
        <v>1682</v>
      </c>
      <c r="B980">
        <v>1</v>
      </c>
      <c r="C980">
        <v>150</v>
      </c>
      <c r="D980">
        <v>150</v>
      </c>
      <c r="E980">
        <v>150</v>
      </c>
      <c r="F980">
        <v>150</v>
      </c>
      <c r="G980">
        <v>150</v>
      </c>
    </row>
    <row r="982" spans="1:7" x14ac:dyDescent="0.25">
      <c r="A982" t="s">
        <v>5680</v>
      </c>
    </row>
    <row r="983" spans="1:7" x14ac:dyDescent="0.25">
      <c r="A983" t="s">
        <v>903</v>
      </c>
      <c r="B983" t="s">
        <v>4394</v>
      </c>
      <c r="C983" t="s">
        <v>4428</v>
      </c>
      <c r="D983" t="s">
        <v>4429</v>
      </c>
      <c r="E983" t="s">
        <v>4430</v>
      </c>
      <c r="F983" t="s">
        <v>4431</v>
      </c>
      <c r="G983" t="s">
        <v>4432</v>
      </c>
    </row>
    <row r="984" spans="1:7" x14ac:dyDescent="0.25">
      <c r="A984" t="s">
        <v>70</v>
      </c>
      <c r="B984">
        <v>63</v>
      </c>
      <c r="C984">
        <v>1143.6500000000001</v>
      </c>
      <c r="D984">
        <v>300</v>
      </c>
      <c r="E984">
        <v>50</v>
      </c>
      <c r="F984">
        <v>4800</v>
      </c>
      <c r="G984">
        <v>72050</v>
      </c>
    </row>
    <row r="985" spans="1:7" x14ac:dyDescent="0.25">
      <c r="A985" t="s">
        <v>71</v>
      </c>
      <c r="B985">
        <v>162</v>
      </c>
      <c r="C985">
        <v>1712.96</v>
      </c>
      <c r="D985">
        <v>1500</v>
      </c>
      <c r="E985">
        <v>50</v>
      </c>
      <c r="F985">
        <v>5500</v>
      </c>
      <c r="G985">
        <v>277500</v>
      </c>
    </row>
    <row r="986" spans="1:7" x14ac:dyDescent="0.25">
      <c r="A986" t="s">
        <v>1296</v>
      </c>
      <c r="B986">
        <v>225</v>
      </c>
      <c r="C986">
        <v>1553.56</v>
      </c>
      <c r="D986">
        <v>1100</v>
      </c>
      <c r="E986">
        <v>50</v>
      </c>
      <c r="F986">
        <v>5500</v>
      </c>
      <c r="G986">
        <v>349550</v>
      </c>
    </row>
    <row r="988" spans="1:7" x14ac:dyDescent="0.25">
      <c r="A988" t="s">
        <v>5681</v>
      </c>
    </row>
    <row r="989" spans="1:7" x14ac:dyDescent="0.25">
      <c r="A989" t="s">
        <v>1297</v>
      </c>
      <c r="B989" t="s">
        <v>4394</v>
      </c>
      <c r="C989" t="s">
        <v>4428</v>
      </c>
      <c r="D989" t="s">
        <v>4429</v>
      </c>
      <c r="E989" t="s">
        <v>4430</v>
      </c>
      <c r="F989" t="s">
        <v>4431</v>
      </c>
      <c r="G989" t="s">
        <v>4432</v>
      </c>
    </row>
    <row r="990" spans="1:7" x14ac:dyDescent="0.25">
      <c r="A990" t="s">
        <v>5549</v>
      </c>
      <c r="B990">
        <v>154</v>
      </c>
      <c r="C990">
        <v>1194.81</v>
      </c>
      <c r="D990">
        <v>500</v>
      </c>
      <c r="E990">
        <v>50</v>
      </c>
      <c r="F990">
        <v>4500</v>
      </c>
      <c r="G990">
        <v>184000</v>
      </c>
    </row>
    <row r="991" spans="1:7" x14ac:dyDescent="0.25">
      <c r="A991" t="s">
        <v>1397</v>
      </c>
      <c r="B991">
        <v>73</v>
      </c>
      <c r="C991">
        <v>1154.79</v>
      </c>
      <c r="D991">
        <v>1000</v>
      </c>
      <c r="E991">
        <v>100</v>
      </c>
      <c r="F991">
        <v>5000</v>
      </c>
      <c r="G991">
        <v>84300</v>
      </c>
    </row>
    <row r="993" spans="1:7" x14ac:dyDescent="0.25">
      <c r="A993" t="s">
        <v>5682</v>
      </c>
    </row>
    <row r="994" spans="1:7" x14ac:dyDescent="0.25">
      <c r="A994" t="s">
        <v>905</v>
      </c>
      <c r="B994" t="s">
        <v>4394</v>
      </c>
      <c r="C994" t="s">
        <v>4428</v>
      </c>
      <c r="D994" t="s">
        <v>4429</v>
      </c>
      <c r="E994" t="s">
        <v>4430</v>
      </c>
      <c r="F994" t="s">
        <v>4431</v>
      </c>
      <c r="G994" t="s">
        <v>4432</v>
      </c>
    </row>
    <row r="995" spans="1:7" x14ac:dyDescent="0.25">
      <c r="A995" t="s">
        <v>4844</v>
      </c>
      <c r="B995">
        <v>23</v>
      </c>
      <c r="C995">
        <v>745.65</v>
      </c>
      <c r="D995">
        <v>500</v>
      </c>
      <c r="E995">
        <v>50</v>
      </c>
      <c r="F995">
        <v>2500</v>
      </c>
      <c r="G995">
        <v>17150</v>
      </c>
    </row>
    <row r="996" spans="1:7" x14ac:dyDescent="0.25">
      <c r="A996" t="s">
        <v>4845</v>
      </c>
      <c r="B996">
        <v>179</v>
      </c>
      <c r="C996">
        <v>1168.72</v>
      </c>
      <c r="D996">
        <v>700</v>
      </c>
      <c r="E996">
        <v>50</v>
      </c>
      <c r="F996">
        <v>5000</v>
      </c>
      <c r="G996">
        <v>209200</v>
      </c>
    </row>
    <row r="997" spans="1:7" x14ac:dyDescent="0.25">
      <c r="A997" t="s">
        <v>4846</v>
      </c>
      <c r="B997">
        <v>25</v>
      </c>
      <c r="C997">
        <v>1678</v>
      </c>
      <c r="D997">
        <v>1700</v>
      </c>
      <c r="E997">
        <v>200</v>
      </c>
      <c r="F997">
        <v>3700</v>
      </c>
      <c r="G997">
        <v>41950</v>
      </c>
    </row>
    <row r="999" spans="1:7" x14ac:dyDescent="0.25">
      <c r="A999" t="s">
        <v>5683</v>
      </c>
    </row>
    <row r="1000" spans="1:7" x14ac:dyDescent="0.25">
      <c r="A1000" t="s">
        <v>906</v>
      </c>
      <c r="B1000" t="s">
        <v>4394</v>
      </c>
      <c r="C1000" t="s">
        <v>4428</v>
      </c>
      <c r="D1000" t="s">
        <v>4429</v>
      </c>
      <c r="E1000" t="s">
        <v>4430</v>
      </c>
      <c r="F1000" t="s">
        <v>4431</v>
      </c>
      <c r="G1000" t="s">
        <v>4432</v>
      </c>
    </row>
    <row r="1001" spans="1:7" x14ac:dyDescent="0.25">
      <c r="A1001" t="s">
        <v>1338</v>
      </c>
      <c r="B1001">
        <v>36</v>
      </c>
      <c r="C1001">
        <v>1101.3900000000001</v>
      </c>
      <c r="D1001">
        <v>500</v>
      </c>
      <c r="E1001">
        <v>100</v>
      </c>
      <c r="F1001">
        <v>4500</v>
      </c>
      <c r="G1001">
        <v>39650</v>
      </c>
    </row>
    <row r="1002" spans="1:7" x14ac:dyDescent="0.25">
      <c r="A1002" t="s">
        <v>1370</v>
      </c>
      <c r="B1002">
        <v>24</v>
      </c>
      <c r="C1002">
        <v>1337.5</v>
      </c>
      <c r="D1002">
        <v>700</v>
      </c>
      <c r="E1002">
        <v>50</v>
      </c>
      <c r="F1002">
        <v>4000</v>
      </c>
      <c r="G1002">
        <v>32100</v>
      </c>
    </row>
    <row r="1003" spans="1:7" x14ac:dyDescent="0.25">
      <c r="A1003" t="s">
        <v>1439</v>
      </c>
      <c r="B1003">
        <v>15</v>
      </c>
      <c r="C1003">
        <v>1070</v>
      </c>
      <c r="D1003">
        <v>900</v>
      </c>
      <c r="E1003">
        <v>150</v>
      </c>
      <c r="F1003">
        <v>2500</v>
      </c>
      <c r="G1003">
        <v>16050</v>
      </c>
    </row>
    <row r="1004" spans="1:7" x14ac:dyDescent="0.25">
      <c r="A1004" t="s">
        <v>1476</v>
      </c>
      <c r="B1004">
        <v>56</v>
      </c>
      <c r="C1004">
        <v>746.43</v>
      </c>
      <c r="D1004">
        <v>450</v>
      </c>
      <c r="E1004">
        <v>50</v>
      </c>
      <c r="F1004">
        <v>3000</v>
      </c>
      <c r="G1004">
        <v>41800</v>
      </c>
    </row>
    <row r="1005" spans="1:7" x14ac:dyDescent="0.25">
      <c r="A1005" t="s">
        <v>5476</v>
      </c>
      <c r="B1005">
        <v>5</v>
      </c>
      <c r="C1005">
        <v>590</v>
      </c>
      <c r="D1005">
        <v>500</v>
      </c>
      <c r="E1005">
        <v>100</v>
      </c>
      <c r="F1005">
        <v>1500</v>
      </c>
      <c r="G1005">
        <v>2950</v>
      </c>
    </row>
    <row r="1006" spans="1:7" x14ac:dyDescent="0.25">
      <c r="A1006" t="s">
        <v>1399</v>
      </c>
      <c r="B1006">
        <v>32</v>
      </c>
      <c r="C1006">
        <v>1135.94</v>
      </c>
      <c r="D1006">
        <v>700</v>
      </c>
      <c r="E1006">
        <v>100</v>
      </c>
      <c r="F1006">
        <v>5000</v>
      </c>
      <c r="G1006">
        <v>36350</v>
      </c>
    </row>
    <row r="1007" spans="1:7" x14ac:dyDescent="0.25">
      <c r="A1007" t="s">
        <v>1415</v>
      </c>
      <c r="B1007">
        <v>59</v>
      </c>
      <c r="C1007">
        <v>1684.75</v>
      </c>
      <c r="D1007">
        <v>2000</v>
      </c>
      <c r="E1007">
        <v>100</v>
      </c>
      <c r="F1007">
        <v>3700</v>
      </c>
      <c r="G1007">
        <v>99400</v>
      </c>
    </row>
    <row r="1009" spans="1:7" x14ac:dyDescent="0.25">
      <c r="A1009" t="s">
        <v>5684</v>
      </c>
    </row>
    <row r="1010" spans="1:7" x14ac:dyDescent="0.25">
      <c r="A1010" t="s">
        <v>907</v>
      </c>
      <c r="B1010" t="s">
        <v>4394</v>
      </c>
      <c r="C1010" t="s">
        <v>4428</v>
      </c>
      <c r="D1010" t="s">
        <v>4429</v>
      </c>
      <c r="E1010" t="s">
        <v>4430</v>
      </c>
      <c r="F1010" t="s">
        <v>4431</v>
      </c>
      <c r="G1010" t="s">
        <v>4432</v>
      </c>
    </row>
    <row r="1011" spans="1:7" x14ac:dyDescent="0.25">
      <c r="A1011" t="s">
        <v>109</v>
      </c>
      <c r="B1011">
        <v>196</v>
      </c>
      <c r="C1011">
        <v>1188.27</v>
      </c>
      <c r="D1011">
        <v>500</v>
      </c>
      <c r="E1011">
        <v>50</v>
      </c>
      <c r="F1011">
        <v>5000</v>
      </c>
      <c r="G1011">
        <v>232900</v>
      </c>
    </row>
    <row r="1012" spans="1:7" x14ac:dyDescent="0.25">
      <c r="A1012" t="s">
        <v>192</v>
      </c>
      <c r="B1012">
        <v>31</v>
      </c>
      <c r="C1012">
        <v>1141.94</v>
      </c>
      <c r="D1012">
        <v>900</v>
      </c>
      <c r="E1012">
        <v>50</v>
      </c>
      <c r="F1012">
        <v>3500</v>
      </c>
      <c r="G1012">
        <v>35400</v>
      </c>
    </row>
    <row r="1014" spans="1:7" x14ac:dyDescent="0.25">
      <c r="A1014" t="s">
        <v>5685</v>
      </c>
    </row>
    <row r="1015" spans="1:7" x14ac:dyDescent="0.25">
      <c r="A1015" t="s">
        <v>910</v>
      </c>
      <c r="B1015" t="s">
        <v>4394</v>
      </c>
      <c r="C1015" t="s">
        <v>4428</v>
      </c>
      <c r="D1015" t="s">
        <v>4429</v>
      </c>
      <c r="E1015" t="s">
        <v>4430</v>
      </c>
      <c r="F1015" t="s">
        <v>4431</v>
      </c>
      <c r="G1015" t="s">
        <v>4432</v>
      </c>
    </row>
    <row r="1016" spans="1:7" x14ac:dyDescent="0.25">
      <c r="A1016" t="s">
        <v>1371</v>
      </c>
      <c r="B1016">
        <v>31</v>
      </c>
      <c r="C1016">
        <v>1137.0999999999999</v>
      </c>
      <c r="D1016">
        <v>350</v>
      </c>
      <c r="E1016">
        <v>100</v>
      </c>
      <c r="F1016">
        <v>4000</v>
      </c>
      <c r="G1016">
        <v>35250</v>
      </c>
    </row>
    <row r="1017" spans="1:7" x14ac:dyDescent="0.25">
      <c r="A1017" t="s">
        <v>1452</v>
      </c>
      <c r="B1017">
        <v>15</v>
      </c>
      <c r="C1017">
        <v>2313.33</v>
      </c>
      <c r="D1017">
        <v>2800</v>
      </c>
      <c r="E1017">
        <v>300</v>
      </c>
      <c r="F1017">
        <v>3900</v>
      </c>
      <c r="G1017">
        <v>34700</v>
      </c>
    </row>
    <row r="1018" spans="1:7" x14ac:dyDescent="0.25">
      <c r="A1018" t="s">
        <v>5560</v>
      </c>
      <c r="B1018">
        <v>38</v>
      </c>
      <c r="C1018">
        <v>946.05</v>
      </c>
      <c r="D1018">
        <v>500</v>
      </c>
      <c r="E1018">
        <v>50</v>
      </c>
      <c r="F1018">
        <v>5000</v>
      </c>
      <c r="G1018">
        <v>35950</v>
      </c>
    </row>
    <row r="1019" spans="1:7" x14ac:dyDescent="0.25">
      <c r="A1019" t="s">
        <v>1424</v>
      </c>
      <c r="B1019">
        <v>99</v>
      </c>
      <c r="C1019">
        <v>921.72</v>
      </c>
      <c r="D1019">
        <v>500</v>
      </c>
      <c r="E1019">
        <v>100</v>
      </c>
      <c r="F1019">
        <v>4000</v>
      </c>
      <c r="G1019">
        <v>91250</v>
      </c>
    </row>
    <row r="1020" spans="1:7" x14ac:dyDescent="0.25">
      <c r="A1020" t="s">
        <v>1340</v>
      </c>
      <c r="B1020">
        <v>25</v>
      </c>
      <c r="C1020">
        <v>1596</v>
      </c>
      <c r="D1020">
        <v>800</v>
      </c>
      <c r="E1020">
        <v>50</v>
      </c>
      <c r="F1020">
        <v>4500</v>
      </c>
      <c r="G1020">
        <v>39900</v>
      </c>
    </row>
    <row r="1021" spans="1:7" x14ac:dyDescent="0.25">
      <c r="A1021" t="s">
        <v>5561</v>
      </c>
      <c r="B1021">
        <v>5</v>
      </c>
      <c r="C1021">
        <v>230</v>
      </c>
      <c r="D1021">
        <v>200</v>
      </c>
      <c r="E1021">
        <v>100</v>
      </c>
      <c r="F1021">
        <v>350</v>
      </c>
      <c r="G1021">
        <v>1150</v>
      </c>
    </row>
    <row r="1022" spans="1:7" x14ac:dyDescent="0.25">
      <c r="A1022" t="s">
        <v>1416</v>
      </c>
      <c r="B1022">
        <v>14</v>
      </c>
      <c r="C1022">
        <v>2150</v>
      </c>
      <c r="D1022">
        <v>2400</v>
      </c>
      <c r="E1022">
        <v>350</v>
      </c>
      <c r="F1022">
        <v>3700</v>
      </c>
      <c r="G1022">
        <v>30100</v>
      </c>
    </row>
    <row r="1024" spans="1:7" x14ac:dyDescent="0.25">
      <c r="A1024" t="s">
        <v>5686</v>
      </c>
    </row>
    <row r="1025" spans="1:7" x14ac:dyDescent="0.25">
      <c r="A1025" t="s">
        <v>928</v>
      </c>
      <c r="B1025" t="s">
        <v>4394</v>
      </c>
      <c r="C1025" t="s">
        <v>4428</v>
      </c>
      <c r="D1025" t="s">
        <v>4429</v>
      </c>
      <c r="E1025" t="s">
        <v>4430</v>
      </c>
      <c r="F1025" t="s">
        <v>4431</v>
      </c>
      <c r="G1025" t="s">
        <v>4432</v>
      </c>
    </row>
    <row r="1026" spans="1:7" x14ac:dyDescent="0.25">
      <c r="A1026" t="s">
        <v>4433</v>
      </c>
      <c r="B1026">
        <v>3</v>
      </c>
      <c r="C1026">
        <v>1033.33</v>
      </c>
      <c r="D1026">
        <v>1200</v>
      </c>
      <c r="E1026">
        <v>200</v>
      </c>
      <c r="F1026">
        <v>1700</v>
      </c>
      <c r="G1026">
        <v>3100</v>
      </c>
    </row>
    <row r="1027" spans="1:7" x14ac:dyDescent="0.25">
      <c r="A1027" t="s">
        <v>4434</v>
      </c>
      <c r="B1027">
        <v>115</v>
      </c>
      <c r="C1027">
        <v>2007.83</v>
      </c>
      <c r="D1027">
        <v>2000</v>
      </c>
      <c r="E1027">
        <v>100</v>
      </c>
      <c r="F1027">
        <v>5000</v>
      </c>
      <c r="G1027">
        <v>230900</v>
      </c>
    </row>
    <row r="1028" spans="1:7" x14ac:dyDescent="0.25">
      <c r="A1028" t="s">
        <v>4435</v>
      </c>
      <c r="B1028">
        <v>50</v>
      </c>
      <c r="C1028">
        <v>339</v>
      </c>
      <c r="D1028">
        <v>250</v>
      </c>
      <c r="E1028">
        <v>50</v>
      </c>
      <c r="F1028">
        <v>1900</v>
      </c>
      <c r="G1028">
        <v>16950</v>
      </c>
    </row>
    <row r="1029" spans="1:7" x14ac:dyDescent="0.25">
      <c r="A1029" t="s">
        <v>4436</v>
      </c>
      <c r="B1029">
        <v>57</v>
      </c>
      <c r="C1029">
        <v>281.58</v>
      </c>
      <c r="D1029">
        <v>300</v>
      </c>
      <c r="E1029">
        <v>50</v>
      </c>
      <c r="F1029">
        <v>700</v>
      </c>
      <c r="G1029">
        <v>16050</v>
      </c>
    </row>
    <row r="1030" spans="1:7" x14ac:dyDescent="0.25">
      <c r="A1030" t="s">
        <v>4437</v>
      </c>
      <c r="B1030">
        <v>2</v>
      </c>
      <c r="C1030">
        <v>650</v>
      </c>
      <c r="D1030">
        <v>100</v>
      </c>
      <c r="E1030">
        <v>100</v>
      </c>
      <c r="F1030">
        <v>1200</v>
      </c>
      <c r="G1030">
        <v>1300</v>
      </c>
    </row>
    <row r="1032" spans="1:7" x14ac:dyDescent="0.25">
      <c r="A1032" t="s">
        <v>5687</v>
      </c>
    </row>
    <row r="1033" spans="1:7" x14ac:dyDescent="0.25">
      <c r="A1033" t="s">
        <v>913</v>
      </c>
      <c r="B1033" t="s">
        <v>4394</v>
      </c>
      <c r="C1033" t="s">
        <v>4428</v>
      </c>
      <c r="D1033" t="s">
        <v>4429</v>
      </c>
      <c r="E1033" t="s">
        <v>4430</v>
      </c>
      <c r="F1033" t="s">
        <v>4431</v>
      </c>
      <c r="G1033" t="s">
        <v>4432</v>
      </c>
    </row>
    <row r="1034" spans="1:7" x14ac:dyDescent="0.25">
      <c r="A1034" t="s">
        <v>1561</v>
      </c>
      <c r="B1034">
        <v>1</v>
      </c>
      <c r="C1034">
        <v>200</v>
      </c>
      <c r="D1034">
        <v>200</v>
      </c>
      <c r="E1034">
        <v>200</v>
      </c>
      <c r="F1034">
        <v>200</v>
      </c>
      <c r="G1034">
        <v>200</v>
      </c>
    </row>
    <row r="1035" spans="1:7" x14ac:dyDescent="0.25">
      <c r="A1035" t="s">
        <v>1460</v>
      </c>
      <c r="B1035">
        <v>65</v>
      </c>
      <c r="C1035">
        <v>1850</v>
      </c>
      <c r="D1035">
        <v>1500</v>
      </c>
      <c r="E1035">
        <v>450</v>
      </c>
      <c r="F1035">
        <v>3900</v>
      </c>
      <c r="G1035">
        <v>120250</v>
      </c>
    </row>
    <row r="1036" spans="1:7" x14ac:dyDescent="0.25">
      <c r="A1036" t="s">
        <v>1342</v>
      </c>
      <c r="B1036">
        <v>41</v>
      </c>
      <c r="C1036">
        <v>323.17</v>
      </c>
      <c r="D1036">
        <v>200</v>
      </c>
      <c r="E1036">
        <v>50</v>
      </c>
      <c r="F1036">
        <v>1900</v>
      </c>
      <c r="G1036">
        <v>13250</v>
      </c>
    </row>
    <row r="1037" spans="1:7" x14ac:dyDescent="0.25">
      <c r="A1037" t="s">
        <v>1375</v>
      </c>
      <c r="B1037">
        <v>74</v>
      </c>
      <c r="C1037">
        <v>1656.76</v>
      </c>
      <c r="D1037">
        <v>1600</v>
      </c>
      <c r="E1037">
        <v>100</v>
      </c>
      <c r="F1037">
        <v>5000</v>
      </c>
      <c r="G1037">
        <v>122600</v>
      </c>
    </row>
    <row r="1038" spans="1:7" x14ac:dyDescent="0.25">
      <c r="A1038" t="s">
        <v>1401</v>
      </c>
      <c r="B1038">
        <v>45</v>
      </c>
      <c r="C1038">
        <v>264.44</v>
      </c>
      <c r="D1038">
        <v>200</v>
      </c>
      <c r="E1038">
        <v>50</v>
      </c>
      <c r="F1038">
        <v>700</v>
      </c>
      <c r="G1038">
        <v>11900</v>
      </c>
    </row>
    <row r="1039" spans="1:7" x14ac:dyDescent="0.25">
      <c r="A1039" t="s">
        <v>1682</v>
      </c>
      <c r="B1039">
        <v>1</v>
      </c>
      <c r="C1039">
        <v>100</v>
      </c>
      <c r="D1039">
        <v>100</v>
      </c>
      <c r="E1039">
        <v>100</v>
      </c>
      <c r="F1039">
        <v>100</v>
      </c>
      <c r="G1039">
        <v>100</v>
      </c>
    </row>
    <row r="1041" spans="1:7" x14ac:dyDescent="0.25">
      <c r="A1041" t="s">
        <v>5688</v>
      </c>
    </row>
    <row r="1042" spans="1:7" x14ac:dyDescent="0.25">
      <c r="A1042" t="s">
        <v>903</v>
      </c>
      <c r="B1042" t="s">
        <v>4394</v>
      </c>
      <c r="C1042" t="s">
        <v>4428</v>
      </c>
      <c r="D1042" t="s">
        <v>4429</v>
      </c>
      <c r="E1042" t="s">
        <v>4430</v>
      </c>
      <c r="F1042" t="s">
        <v>4431</v>
      </c>
      <c r="G1042" t="s">
        <v>4432</v>
      </c>
    </row>
    <row r="1043" spans="1:7" x14ac:dyDescent="0.25">
      <c r="A1043" t="s">
        <v>70</v>
      </c>
      <c r="B1043">
        <v>66</v>
      </c>
      <c r="C1043">
        <v>881.06</v>
      </c>
      <c r="D1043">
        <v>300</v>
      </c>
      <c r="E1043">
        <v>50</v>
      </c>
      <c r="F1043">
        <v>3700</v>
      </c>
      <c r="G1043">
        <v>58150</v>
      </c>
    </row>
    <row r="1044" spans="1:7" x14ac:dyDescent="0.25">
      <c r="A1044" t="s">
        <v>71</v>
      </c>
      <c r="B1044">
        <v>161</v>
      </c>
      <c r="C1044">
        <v>1305.28</v>
      </c>
      <c r="D1044">
        <v>1000</v>
      </c>
      <c r="E1044">
        <v>50</v>
      </c>
      <c r="F1044">
        <v>5000</v>
      </c>
      <c r="G1044">
        <v>210150</v>
      </c>
    </row>
    <row r="1045" spans="1:7" x14ac:dyDescent="0.25">
      <c r="A1045" t="s">
        <v>1296</v>
      </c>
      <c r="B1045">
        <v>227</v>
      </c>
      <c r="C1045">
        <v>1181.94</v>
      </c>
      <c r="D1045">
        <v>700</v>
      </c>
      <c r="E1045">
        <v>50</v>
      </c>
      <c r="F1045">
        <v>5000</v>
      </c>
      <c r="G1045">
        <v>268300</v>
      </c>
    </row>
    <row r="1047" spans="1:7" x14ac:dyDescent="0.25">
      <c r="A1047" t="s">
        <v>5689</v>
      </c>
    </row>
    <row r="1048" spans="1:7" x14ac:dyDescent="0.25">
      <c r="A1048" t="s">
        <v>1297</v>
      </c>
      <c r="B1048" t="s">
        <v>4394</v>
      </c>
      <c r="C1048" t="s">
        <v>4428</v>
      </c>
      <c r="D1048" t="s">
        <v>4429</v>
      </c>
      <c r="E1048" t="s">
        <v>4430</v>
      </c>
      <c r="F1048" t="s">
        <v>4431</v>
      </c>
      <c r="G1048" t="s">
        <v>4432</v>
      </c>
    </row>
    <row r="1049" spans="1:7" x14ac:dyDescent="0.25">
      <c r="A1049" t="s">
        <v>5549</v>
      </c>
      <c r="B1049">
        <v>79</v>
      </c>
      <c r="C1049">
        <v>2350.63</v>
      </c>
      <c r="D1049">
        <v>2200</v>
      </c>
      <c r="E1049">
        <v>800</v>
      </c>
      <c r="F1049">
        <v>4900</v>
      </c>
      <c r="G1049">
        <v>185700</v>
      </c>
    </row>
    <row r="1050" spans="1:7" x14ac:dyDescent="0.25">
      <c r="A1050" t="s">
        <v>1397</v>
      </c>
      <c r="B1050">
        <v>37</v>
      </c>
      <c r="C1050">
        <v>2072.9699999999998</v>
      </c>
      <c r="D1050">
        <v>2000</v>
      </c>
      <c r="E1050">
        <v>500</v>
      </c>
      <c r="F1050">
        <v>3800</v>
      </c>
      <c r="G1050">
        <v>76700</v>
      </c>
    </row>
    <row r="1052" spans="1:7" x14ac:dyDescent="0.25">
      <c r="A1052" t="s">
        <v>5690</v>
      </c>
    </row>
    <row r="1053" spans="1:7" x14ac:dyDescent="0.25">
      <c r="A1053" t="s">
        <v>905</v>
      </c>
      <c r="B1053" t="s">
        <v>4394</v>
      </c>
      <c r="C1053" t="s">
        <v>4428</v>
      </c>
      <c r="D1053" t="s">
        <v>4429</v>
      </c>
      <c r="E1053" t="s">
        <v>4430</v>
      </c>
      <c r="F1053" t="s">
        <v>4431</v>
      </c>
      <c r="G1053" t="s">
        <v>4432</v>
      </c>
    </row>
    <row r="1054" spans="1:7" x14ac:dyDescent="0.25">
      <c r="A1054" t="s">
        <v>4844</v>
      </c>
      <c r="B1054">
        <v>14</v>
      </c>
      <c r="C1054">
        <v>1657.14</v>
      </c>
      <c r="D1054">
        <v>1900</v>
      </c>
      <c r="E1054">
        <v>800</v>
      </c>
      <c r="F1054">
        <v>2200</v>
      </c>
      <c r="G1054">
        <v>23200</v>
      </c>
    </row>
    <row r="1055" spans="1:7" x14ac:dyDescent="0.25">
      <c r="A1055" t="s">
        <v>4845</v>
      </c>
      <c r="B1055">
        <v>93</v>
      </c>
      <c r="C1055">
        <v>2315.0500000000002</v>
      </c>
      <c r="D1055">
        <v>2300</v>
      </c>
      <c r="E1055">
        <v>500</v>
      </c>
      <c r="F1055">
        <v>4900</v>
      </c>
      <c r="G1055">
        <v>215300</v>
      </c>
    </row>
    <row r="1056" spans="1:7" x14ac:dyDescent="0.25">
      <c r="A1056" t="s">
        <v>4846</v>
      </c>
      <c r="B1056">
        <v>9</v>
      </c>
      <c r="C1056">
        <v>2655.56</v>
      </c>
      <c r="D1056">
        <v>2500</v>
      </c>
      <c r="E1056">
        <v>1000</v>
      </c>
      <c r="F1056">
        <v>4000</v>
      </c>
      <c r="G1056">
        <v>23900</v>
      </c>
    </row>
    <row r="1058" spans="1:7" x14ac:dyDescent="0.25">
      <c r="A1058" t="s">
        <v>5691</v>
      </c>
    </row>
    <row r="1059" spans="1:7" x14ac:dyDescent="0.25">
      <c r="A1059" t="s">
        <v>906</v>
      </c>
      <c r="B1059" t="s">
        <v>4394</v>
      </c>
      <c r="C1059" t="s">
        <v>4428</v>
      </c>
      <c r="D1059" t="s">
        <v>4429</v>
      </c>
      <c r="E1059" t="s">
        <v>4430</v>
      </c>
      <c r="F1059" t="s">
        <v>4431</v>
      </c>
      <c r="G1059" t="s">
        <v>4432</v>
      </c>
    </row>
    <row r="1060" spans="1:7" x14ac:dyDescent="0.25">
      <c r="A1060" t="s">
        <v>1338</v>
      </c>
      <c r="B1060">
        <v>22</v>
      </c>
      <c r="C1060">
        <v>2631.82</v>
      </c>
      <c r="D1060">
        <v>2500</v>
      </c>
      <c r="E1060">
        <v>1000</v>
      </c>
      <c r="F1060">
        <v>4900</v>
      </c>
      <c r="G1060">
        <v>57900</v>
      </c>
    </row>
    <row r="1061" spans="1:7" x14ac:dyDescent="0.25">
      <c r="A1061" t="s">
        <v>1370</v>
      </c>
      <c r="B1061">
        <v>15</v>
      </c>
      <c r="C1061">
        <v>2400</v>
      </c>
      <c r="D1061">
        <v>2500</v>
      </c>
      <c r="E1061">
        <v>900</v>
      </c>
      <c r="F1061">
        <v>3700</v>
      </c>
      <c r="G1061">
        <v>36000</v>
      </c>
    </row>
    <row r="1062" spans="1:7" x14ac:dyDescent="0.25">
      <c r="A1062" t="s">
        <v>1439</v>
      </c>
      <c r="B1062">
        <v>6</v>
      </c>
      <c r="C1062">
        <v>2283.33</v>
      </c>
      <c r="D1062">
        <v>2000</v>
      </c>
      <c r="E1062">
        <v>1800</v>
      </c>
      <c r="F1062">
        <v>3500</v>
      </c>
      <c r="G1062">
        <v>13700</v>
      </c>
    </row>
    <row r="1063" spans="1:7" x14ac:dyDescent="0.25">
      <c r="A1063" t="s">
        <v>1476</v>
      </c>
      <c r="B1063">
        <v>25</v>
      </c>
      <c r="C1063">
        <v>1924</v>
      </c>
      <c r="D1063">
        <v>2000</v>
      </c>
      <c r="E1063">
        <v>800</v>
      </c>
      <c r="F1063">
        <v>3000</v>
      </c>
      <c r="G1063">
        <v>48100</v>
      </c>
    </row>
    <row r="1064" spans="1:7" x14ac:dyDescent="0.25">
      <c r="A1064" t="s">
        <v>5476</v>
      </c>
      <c r="B1064">
        <v>2</v>
      </c>
      <c r="C1064">
        <v>1500</v>
      </c>
      <c r="D1064">
        <v>1400</v>
      </c>
      <c r="E1064">
        <v>1400</v>
      </c>
      <c r="F1064">
        <v>1600</v>
      </c>
      <c r="G1064">
        <v>3000</v>
      </c>
    </row>
    <row r="1065" spans="1:7" x14ac:dyDescent="0.25">
      <c r="A1065" t="s">
        <v>1399</v>
      </c>
      <c r="B1065">
        <v>18</v>
      </c>
      <c r="C1065">
        <v>2177.7800000000002</v>
      </c>
      <c r="D1065">
        <v>2000</v>
      </c>
      <c r="E1065">
        <v>900</v>
      </c>
      <c r="F1065">
        <v>3800</v>
      </c>
      <c r="G1065">
        <v>39200</v>
      </c>
    </row>
    <row r="1066" spans="1:7" x14ac:dyDescent="0.25">
      <c r="A1066" t="s">
        <v>1415</v>
      </c>
      <c r="B1066">
        <v>28</v>
      </c>
      <c r="C1066">
        <v>2303.5700000000002</v>
      </c>
      <c r="D1066">
        <v>2300</v>
      </c>
      <c r="E1066">
        <v>500</v>
      </c>
      <c r="F1066">
        <v>4000</v>
      </c>
      <c r="G1066">
        <v>64500</v>
      </c>
    </row>
    <row r="1068" spans="1:7" x14ac:dyDescent="0.25">
      <c r="A1068" t="s">
        <v>5692</v>
      </c>
    </row>
    <row r="1069" spans="1:7" x14ac:dyDescent="0.25">
      <c r="A1069" t="s">
        <v>907</v>
      </c>
      <c r="B1069" t="s">
        <v>4394</v>
      </c>
      <c r="C1069" t="s">
        <v>4428</v>
      </c>
      <c r="D1069" t="s">
        <v>4429</v>
      </c>
      <c r="E1069" t="s">
        <v>4430</v>
      </c>
      <c r="F1069" t="s">
        <v>4431</v>
      </c>
      <c r="G1069" t="s">
        <v>4432</v>
      </c>
    </row>
    <row r="1070" spans="1:7" x14ac:dyDescent="0.25">
      <c r="A1070" t="s">
        <v>109</v>
      </c>
      <c r="B1070">
        <v>109</v>
      </c>
      <c r="C1070">
        <v>2282.5700000000002</v>
      </c>
      <c r="D1070">
        <v>2200</v>
      </c>
      <c r="E1070">
        <v>800</v>
      </c>
      <c r="F1070">
        <v>4900</v>
      </c>
      <c r="G1070">
        <v>248800</v>
      </c>
    </row>
    <row r="1071" spans="1:7" x14ac:dyDescent="0.25">
      <c r="A1071" t="s">
        <v>192</v>
      </c>
      <c r="B1071">
        <v>7</v>
      </c>
      <c r="C1071">
        <v>1942.86</v>
      </c>
      <c r="D1071">
        <v>2000</v>
      </c>
      <c r="E1071">
        <v>500</v>
      </c>
      <c r="F1071">
        <v>3500</v>
      </c>
      <c r="G1071">
        <v>13600</v>
      </c>
    </row>
    <row r="1073" spans="1:7" x14ac:dyDescent="0.25">
      <c r="A1073" t="s">
        <v>5693</v>
      </c>
    </row>
    <row r="1074" spans="1:7" x14ac:dyDescent="0.25">
      <c r="A1074" t="s">
        <v>910</v>
      </c>
      <c r="B1074" t="s">
        <v>4394</v>
      </c>
      <c r="C1074" t="s">
        <v>4428</v>
      </c>
      <c r="D1074" t="s">
        <v>4429</v>
      </c>
      <c r="E1074" t="s">
        <v>4430</v>
      </c>
      <c r="F1074" t="s">
        <v>4431</v>
      </c>
      <c r="G1074" t="s">
        <v>4432</v>
      </c>
    </row>
    <row r="1075" spans="1:7" x14ac:dyDescent="0.25">
      <c r="A1075" t="s">
        <v>1371</v>
      </c>
      <c r="B1075">
        <v>19</v>
      </c>
      <c r="C1075">
        <v>2357.89</v>
      </c>
      <c r="D1075">
        <v>2500</v>
      </c>
      <c r="E1075">
        <v>900</v>
      </c>
      <c r="F1075">
        <v>3500</v>
      </c>
      <c r="G1075">
        <v>44800</v>
      </c>
    </row>
    <row r="1076" spans="1:7" x14ac:dyDescent="0.25">
      <c r="A1076" t="s">
        <v>1452</v>
      </c>
      <c r="B1076">
        <v>6</v>
      </c>
      <c r="C1076">
        <v>2766.67</v>
      </c>
      <c r="D1076">
        <v>2500</v>
      </c>
      <c r="E1076">
        <v>1700</v>
      </c>
      <c r="F1076">
        <v>4900</v>
      </c>
      <c r="G1076">
        <v>16600</v>
      </c>
    </row>
    <row r="1077" spans="1:7" x14ac:dyDescent="0.25">
      <c r="A1077" t="s">
        <v>5560</v>
      </c>
      <c r="B1077">
        <v>21</v>
      </c>
      <c r="C1077">
        <v>1719.05</v>
      </c>
      <c r="D1077">
        <v>1900</v>
      </c>
      <c r="E1077">
        <v>1000</v>
      </c>
      <c r="F1077">
        <v>2800</v>
      </c>
      <c r="G1077">
        <v>36100</v>
      </c>
    </row>
    <row r="1078" spans="1:7" x14ac:dyDescent="0.25">
      <c r="A1078" t="s">
        <v>1424</v>
      </c>
      <c r="B1078">
        <v>46</v>
      </c>
      <c r="C1078">
        <v>2197.83</v>
      </c>
      <c r="D1078">
        <v>2000</v>
      </c>
      <c r="E1078">
        <v>500</v>
      </c>
      <c r="F1078">
        <v>3800</v>
      </c>
      <c r="G1078">
        <v>101100</v>
      </c>
    </row>
    <row r="1079" spans="1:7" x14ac:dyDescent="0.25">
      <c r="A1079" t="s">
        <v>1340</v>
      </c>
      <c r="B1079">
        <v>13</v>
      </c>
      <c r="C1079">
        <v>2753.85</v>
      </c>
      <c r="D1079">
        <v>2800</v>
      </c>
      <c r="E1079">
        <v>900</v>
      </c>
      <c r="F1079">
        <v>4200</v>
      </c>
      <c r="G1079">
        <v>35800</v>
      </c>
    </row>
    <row r="1080" spans="1:7" x14ac:dyDescent="0.25">
      <c r="A1080" t="s">
        <v>5561</v>
      </c>
      <c r="B1080">
        <v>3</v>
      </c>
      <c r="C1080">
        <v>1300</v>
      </c>
      <c r="D1080">
        <v>1500</v>
      </c>
      <c r="E1080">
        <v>800</v>
      </c>
      <c r="F1080">
        <v>1600</v>
      </c>
      <c r="G1080">
        <v>3900</v>
      </c>
    </row>
    <row r="1081" spans="1:7" x14ac:dyDescent="0.25">
      <c r="A1081" t="s">
        <v>1416</v>
      </c>
      <c r="B1081">
        <v>8</v>
      </c>
      <c r="C1081">
        <v>3012.5</v>
      </c>
      <c r="D1081">
        <v>3000</v>
      </c>
      <c r="E1081">
        <v>2500</v>
      </c>
      <c r="F1081">
        <v>3500</v>
      </c>
      <c r="G1081">
        <v>24100</v>
      </c>
    </row>
    <row r="1083" spans="1:7" x14ac:dyDescent="0.25">
      <c r="A1083" t="s">
        <v>5694</v>
      </c>
    </row>
    <row r="1084" spans="1:7" x14ac:dyDescent="0.25">
      <c r="A1084" t="s">
        <v>928</v>
      </c>
      <c r="B1084" t="s">
        <v>4394</v>
      </c>
      <c r="C1084" t="s">
        <v>4428</v>
      </c>
      <c r="D1084" t="s">
        <v>4429</v>
      </c>
      <c r="E1084" t="s">
        <v>4430</v>
      </c>
      <c r="F1084" t="s">
        <v>4431</v>
      </c>
      <c r="G1084" t="s">
        <v>4432</v>
      </c>
    </row>
    <row r="1085" spans="1:7" x14ac:dyDescent="0.25">
      <c r="A1085" t="s">
        <v>4434</v>
      </c>
      <c r="B1085">
        <v>6</v>
      </c>
      <c r="C1085">
        <v>3000</v>
      </c>
      <c r="D1085">
        <v>2200</v>
      </c>
      <c r="E1085">
        <v>1300</v>
      </c>
      <c r="F1085">
        <v>4900</v>
      </c>
      <c r="G1085">
        <v>18000</v>
      </c>
    </row>
    <row r="1086" spans="1:7" x14ac:dyDescent="0.25">
      <c r="A1086" t="s">
        <v>4435</v>
      </c>
      <c r="B1086">
        <v>88</v>
      </c>
      <c r="C1086">
        <v>2255.6799999999998</v>
      </c>
      <c r="D1086">
        <v>2200</v>
      </c>
      <c r="E1086">
        <v>500</v>
      </c>
      <c r="F1086">
        <v>4200</v>
      </c>
      <c r="G1086">
        <v>198500</v>
      </c>
    </row>
    <row r="1087" spans="1:7" x14ac:dyDescent="0.25">
      <c r="A1087" t="s">
        <v>4436</v>
      </c>
      <c r="B1087">
        <v>22</v>
      </c>
      <c r="C1087">
        <v>2086.36</v>
      </c>
      <c r="D1087">
        <v>2000</v>
      </c>
      <c r="E1087">
        <v>900</v>
      </c>
      <c r="F1087">
        <v>3500</v>
      </c>
      <c r="G1087">
        <v>45900</v>
      </c>
    </row>
    <row r="1089" spans="1:7" x14ac:dyDescent="0.25">
      <c r="A1089" t="s">
        <v>5695</v>
      </c>
    </row>
    <row r="1090" spans="1:7" x14ac:dyDescent="0.25">
      <c r="A1090" t="s">
        <v>913</v>
      </c>
      <c r="B1090" t="s">
        <v>4394</v>
      </c>
      <c r="C1090" t="s">
        <v>4428</v>
      </c>
      <c r="D1090" t="s">
        <v>4429</v>
      </c>
      <c r="E1090" t="s">
        <v>4430</v>
      </c>
      <c r="F1090" t="s">
        <v>4431</v>
      </c>
      <c r="G1090" t="s">
        <v>4432</v>
      </c>
    </row>
    <row r="1091" spans="1:7" x14ac:dyDescent="0.25">
      <c r="A1091" t="s">
        <v>1342</v>
      </c>
      <c r="B1091">
        <v>65</v>
      </c>
      <c r="C1091">
        <v>2152.31</v>
      </c>
      <c r="D1091">
        <v>2200</v>
      </c>
      <c r="E1091">
        <v>500</v>
      </c>
      <c r="F1091">
        <v>3800</v>
      </c>
      <c r="G1091">
        <v>139900</v>
      </c>
    </row>
    <row r="1092" spans="1:7" x14ac:dyDescent="0.25">
      <c r="A1092" t="s">
        <v>1375</v>
      </c>
      <c r="B1092">
        <v>33</v>
      </c>
      <c r="C1092">
        <v>2512.12</v>
      </c>
      <c r="D1092">
        <v>2500</v>
      </c>
      <c r="E1092">
        <v>800</v>
      </c>
      <c r="F1092">
        <v>4900</v>
      </c>
      <c r="G1092">
        <v>82900</v>
      </c>
    </row>
    <row r="1093" spans="1:7" x14ac:dyDescent="0.25">
      <c r="A1093" t="s">
        <v>1401</v>
      </c>
      <c r="B1093">
        <v>18</v>
      </c>
      <c r="C1093">
        <v>2200</v>
      </c>
      <c r="D1093">
        <v>2000</v>
      </c>
      <c r="E1093">
        <v>1000</v>
      </c>
      <c r="F1093">
        <v>3500</v>
      </c>
      <c r="G1093">
        <v>39600</v>
      </c>
    </row>
    <row r="1095" spans="1:7" x14ac:dyDescent="0.25">
      <c r="A1095" t="s">
        <v>5696</v>
      </c>
    </row>
    <row r="1096" spans="1:7" x14ac:dyDescent="0.25">
      <c r="A1096" t="s">
        <v>903</v>
      </c>
      <c r="B1096" t="s">
        <v>4394</v>
      </c>
      <c r="C1096" t="s">
        <v>4428</v>
      </c>
      <c r="D1096" t="s">
        <v>4429</v>
      </c>
      <c r="E1096" t="s">
        <v>4430</v>
      </c>
      <c r="F1096" t="s">
        <v>4431</v>
      </c>
      <c r="G1096" t="s">
        <v>4432</v>
      </c>
    </row>
    <row r="1097" spans="1:7" x14ac:dyDescent="0.25">
      <c r="A1097" t="s">
        <v>70</v>
      </c>
      <c r="B1097">
        <v>19</v>
      </c>
      <c r="C1097">
        <v>2310.5300000000002</v>
      </c>
      <c r="D1097">
        <v>2200</v>
      </c>
      <c r="E1097">
        <v>1000</v>
      </c>
      <c r="F1097">
        <v>4000</v>
      </c>
      <c r="G1097">
        <v>43900</v>
      </c>
    </row>
    <row r="1098" spans="1:7" x14ac:dyDescent="0.25">
      <c r="A1098" t="s">
        <v>71</v>
      </c>
      <c r="B1098">
        <v>97</v>
      </c>
      <c r="C1098">
        <v>2252.58</v>
      </c>
      <c r="D1098">
        <v>2200</v>
      </c>
      <c r="E1098">
        <v>500</v>
      </c>
      <c r="F1098">
        <v>4900</v>
      </c>
      <c r="G1098">
        <v>218500</v>
      </c>
    </row>
    <row r="1099" spans="1:7" x14ac:dyDescent="0.25">
      <c r="A1099" t="s">
        <v>1296</v>
      </c>
      <c r="B1099">
        <v>116</v>
      </c>
      <c r="C1099">
        <v>2262.0700000000002</v>
      </c>
      <c r="D1099">
        <v>2200</v>
      </c>
      <c r="E1099">
        <v>500</v>
      </c>
      <c r="F1099">
        <v>4900</v>
      </c>
      <c r="G1099">
        <v>262400</v>
      </c>
    </row>
    <row r="1101" spans="1:7" x14ac:dyDescent="0.25">
      <c r="A1101" t="s">
        <v>5697</v>
      </c>
    </row>
    <row r="1102" spans="1:7" x14ac:dyDescent="0.25">
      <c r="A1102" t="s">
        <v>1297</v>
      </c>
      <c r="B1102" t="s">
        <v>4394</v>
      </c>
      <c r="C1102" t="s">
        <v>4428</v>
      </c>
      <c r="D1102" t="s">
        <v>4429</v>
      </c>
      <c r="E1102" t="s">
        <v>4430</v>
      </c>
      <c r="F1102" t="s">
        <v>4431</v>
      </c>
      <c r="G1102" t="s">
        <v>4432</v>
      </c>
    </row>
    <row r="1103" spans="1:7" x14ac:dyDescent="0.25">
      <c r="A1103" t="s">
        <v>5549</v>
      </c>
      <c r="B1103">
        <v>80</v>
      </c>
      <c r="C1103">
        <v>2001.25</v>
      </c>
      <c r="D1103">
        <v>1800</v>
      </c>
      <c r="E1103">
        <v>300</v>
      </c>
      <c r="F1103">
        <v>9000</v>
      </c>
      <c r="G1103">
        <v>160100</v>
      </c>
    </row>
    <row r="1104" spans="1:7" x14ac:dyDescent="0.25">
      <c r="A1104" t="s">
        <v>1397</v>
      </c>
      <c r="B1104">
        <v>39</v>
      </c>
      <c r="C1104">
        <v>1897.44</v>
      </c>
      <c r="D1104">
        <v>1500</v>
      </c>
      <c r="E1104">
        <v>500</v>
      </c>
      <c r="F1104">
        <v>10000</v>
      </c>
      <c r="G1104">
        <v>74000</v>
      </c>
    </row>
    <row r="1106" spans="1:7" x14ac:dyDescent="0.25">
      <c r="A1106" t="s">
        <v>5698</v>
      </c>
    </row>
    <row r="1107" spans="1:7" x14ac:dyDescent="0.25">
      <c r="A1107" t="s">
        <v>905</v>
      </c>
      <c r="B1107" t="s">
        <v>4394</v>
      </c>
      <c r="C1107" t="s">
        <v>4428</v>
      </c>
      <c r="D1107" t="s">
        <v>4429</v>
      </c>
      <c r="E1107" t="s">
        <v>4430</v>
      </c>
      <c r="F1107" t="s">
        <v>4431</v>
      </c>
      <c r="G1107" t="s">
        <v>4432</v>
      </c>
    </row>
    <row r="1108" spans="1:7" x14ac:dyDescent="0.25">
      <c r="A1108" t="s">
        <v>4844</v>
      </c>
      <c r="B1108">
        <v>14</v>
      </c>
      <c r="C1108">
        <v>1257.1400000000001</v>
      </c>
      <c r="D1108">
        <v>1000</v>
      </c>
      <c r="E1108">
        <v>600</v>
      </c>
      <c r="F1108">
        <v>1800</v>
      </c>
      <c r="G1108">
        <v>17600</v>
      </c>
    </row>
    <row r="1109" spans="1:7" x14ac:dyDescent="0.25">
      <c r="A1109" t="s">
        <v>4845</v>
      </c>
      <c r="B1109">
        <v>96</v>
      </c>
      <c r="C1109">
        <v>2066.67</v>
      </c>
      <c r="D1109">
        <v>1900</v>
      </c>
      <c r="E1109">
        <v>300</v>
      </c>
      <c r="F1109">
        <v>10000</v>
      </c>
      <c r="G1109">
        <v>198400</v>
      </c>
    </row>
    <row r="1110" spans="1:7" x14ac:dyDescent="0.25">
      <c r="A1110" t="s">
        <v>4846</v>
      </c>
      <c r="B1110">
        <v>9</v>
      </c>
      <c r="C1110">
        <v>2011.11</v>
      </c>
      <c r="D1110">
        <v>2000</v>
      </c>
      <c r="E1110">
        <v>700</v>
      </c>
      <c r="F1110">
        <v>3000</v>
      </c>
      <c r="G1110">
        <v>18100</v>
      </c>
    </row>
    <row r="1112" spans="1:7" x14ac:dyDescent="0.25">
      <c r="A1112" t="s">
        <v>5699</v>
      </c>
    </row>
    <row r="1113" spans="1:7" x14ac:dyDescent="0.25">
      <c r="A1113" t="s">
        <v>906</v>
      </c>
      <c r="B1113" t="s">
        <v>4394</v>
      </c>
      <c r="C1113" t="s">
        <v>4428</v>
      </c>
      <c r="D1113" t="s">
        <v>4429</v>
      </c>
      <c r="E1113" t="s">
        <v>4430</v>
      </c>
      <c r="F1113" t="s">
        <v>4431</v>
      </c>
      <c r="G1113" t="s">
        <v>4432</v>
      </c>
    </row>
    <row r="1114" spans="1:7" x14ac:dyDescent="0.25">
      <c r="A1114" t="s">
        <v>1338</v>
      </c>
      <c r="B1114">
        <v>20</v>
      </c>
      <c r="C1114">
        <v>2190</v>
      </c>
      <c r="D1114">
        <v>2000</v>
      </c>
      <c r="E1114">
        <v>800</v>
      </c>
      <c r="F1114">
        <v>4500</v>
      </c>
      <c r="G1114">
        <v>43800</v>
      </c>
    </row>
    <row r="1115" spans="1:7" x14ac:dyDescent="0.25">
      <c r="A1115" t="s">
        <v>1370</v>
      </c>
      <c r="B1115">
        <v>15</v>
      </c>
      <c r="C1115">
        <v>2560</v>
      </c>
      <c r="D1115">
        <v>2000</v>
      </c>
      <c r="E1115">
        <v>1200</v>
      </c>
      <c r="F1115">
        <v>9000</v>
      </c>
      <c r="G1115">
        <v>38400</v>
      </c>
    </row>
    <row r="1116" spans="1:7" x14ac:dyDescent="0.25">
      <c r="A1116" t="s">
        <v>1439</v>
      </c>
      <c r="B1116">
        <v>6</v>
      </c>
      <c r="C1116">
        <v>1766.67</v>
      </c>
      <c r="D1116">
        <v>1500</v>
      </c>
      <c r="E1116">
        <v>1200</v>
      </c>
      <c r="F1116">
        <v>2800</v>
      </c>
      <c r="G1116">
        <v>10600</v>
      </c>
    </row>
    <row r="1117" spans="1:7" x14ac:dyDescent="0.25">
      <c r="A1117" t="s">
        <v>1476</v>
      </c>
      <c r="B1117">
        <v>26</v>
      </c>
      <c r="C1117">
        <v>1519.23</v>
      </c>
      <c r="D1117">
        <v>1500</v>
      </c>
      <c r="E1117">
        <v>300</v>
      </c>
      <c r="F1117">
        <v>5000</v>
      </c>
      <c r="G1117">
        <v>39500</v>
      </c>
    </row>
    <row r="1118" spans="1:7" x14ac:dyDescent="0.25">
      <c r="A1118" t="s">
        <v>5476</v>
      </c>
      <c r="B1118">
        <v>2</v>
      </c>
      <c r="C1118">
        <v>3300</v>
      </c>
      <c r="D1118">
        <v>1400</v>
      </c>
      <c r="E1118">
        <v>1400</v>
      </c>
      <c r="F1118">
        <v>5200</v>
      </c>
      <c r="G1118">
        <v>6600</v>
      </c>
    </row>
    <row r="1119" spans="1:7" x14ac:dyDescent="0.25">
      <c r="A1119" t="s">
        <v>1399</v>
      </c>
      <c r="B1119">
        <v>20</v>
      </c>
      <c r="C1119">
        <v>1685</v>
      </c>
      <c r="D1119">
        <v>1300</v>
      </c>
      <c r="E1119">
        <v>500</v>
      </c>
      <c r="F1119">
        <v>4500</v>
      </c>
      <c r="G1119">
        <v>33700</v>
      </c>
    </row>
    <row r="1120" spans="1:7" x14ac:dyDescent="0.25">
      <c r="A1120" t="s">
        <v>1415</v>
      </c>
      <c r="B1120">
        <v>30</v>
      </c>
      <c r="C1120">
        <v>2050</v>
      </c>
      <c r="D1120">
        <v>1700</v>
      </c>
      <c r="E1120">
        <v>500</v>
      </c>
      <c r="F1120">
        <v>10000</v>
      </c>
      <c r="G1120">
        <v>61500</v>
      </c>
    </row>
    <row r="1122" spans="1:7" x14ac:dyDescent="0.25">
      <c r="A1122" t="s">
        <v>5700</v>
      </c>
    </row>
    <row r="1123" spans="1:7" x14ac:dyDescent="0.25">
      <c r="A1123" t="s">
        <v>907</v>
      </c>
      <c r="B1123" t="s">
        <v>4394</v>
      </c>
      <c r="C1123" t="s">
        <v>4428</v>
      </c>
      <c r="D1123" t="s">
        <v>4429</v>
      </c>
      <c r="E1123" t="s">
        <v>4430</v>
      </c>
      <c r="F1123" t="s">
        <v>4431</v>
      </c>
      <c r="G1123" t="s">
        <v>4432</v>
      </c>
    </row>
    <row r="1124" spans="1:7" x14ac:dyDescent="0.25">
      <c r="A1124" t="s">
        <v>109</v>
      </c>
      <c r="B1124">
        <v>112</v>
      </c>
      <c r="C1124">
        <v>1986.61</v>
      </c>
      <c r="D1124">
        <v>1800</v>
      </c>
      <c r="E1124">
        <v>300</v>
      </c>
      <c r="F1124">
        <v>10000</v>
      </c>
      <c r="G1124">
        <v>222500</v>
      </c>
    </row>
    <row r="1125" spans="1:7" x14ac:dyDescent="0.25">
      <c r="A1125" t="s">
        <v>192</v>
      </c>
      <c r="B1125">
        <v>7</v>
      </c>
      <c r="C1125">
        <v>1657.14</v>
      </c>
      <c r="D1125">
        <v>1900</v>
      </c>
      <c r="E1125">
        <v>500</v>
      </c>
      <c r="F1125">
        <v>2800</v>
      </c>
      <c r="G1125">
        <v>11600</v>
      </c>
    </row>
    <row r="1127" spans="1:7" x14ac:dyDescent="0.25">
      <c r="A1127" t="s">
        <v>5701</v>
      </c>
    </row>
    <row r="1128" spans="1:7" x14ac:dyDescent="0.25">
      <c r="A1128" t="s">
        <v>910</v>
      </c>
      <c r="B1128" t="s">
        <v>4394</v>
      </c>
      <c r="C1128" t="s">
        <v>4428</v>
      </c>
      <c r="D1128" t="s">
        <v>4429</v>
      </c>
      <c r="E1128" t="s">
        <v>4430</v>
      </c>
      <c r="F1128" t="s">
        <v>4431</v>
      </c>
      <c r="G1128" t="s">
        <v>4432</v>
      </c>
    </row>
    <row r="1129" spans="1:7" x14ac:dyDescent="0.25">
      <c r="A1129" t="s">
        <v>1371</v>
      </c>
      <c r="B1129">
        <v>22</v>
      </c>
      <c r="C1129">
        <v>2304.5500000000002</v>
      </c>
      <c r="D1129">
        <v>2000</v>
      </c>
      <c r="E1129">
        <v>800</v>
      </c>
      <c r="F1129">
        <v>9000</v>
      </c>
      <c r="G1129">
        <v>50700</v>
      </c>
    </row>
    <row r="1130" spans="1:7" x14ac:dyDescent="0.25">
      <c r="A1130" t="s">
        <v>1452</v>
      </c>
      <c r="B1130">
        <v>5</v>
      </c>
      <c r="C1130">
        <v>1960</v>
      </c>
      <c r="D1130">
        <v>2000</v>
      </c>
      <c r="E1130">
        <v>700</v>
      </c>
      <c r="F1130">
        <v>3000</v>
      </c>
      <c r="G1130">
        <v>9800</v>
      </c>
    </row>
    <row r="1131" spans="1:7" x14ac:dyDescent="0.25">
      <c r="A1131" t="s">
        <v>5560</v>
      </c>
      <c r="B1131">
        <v>20</v>
      </c>
      <c r="C1131">
        <v>1365</v>
      </c>
      <c r="D1131">
        <v>1200</v>
      </c>
      <c r="E1131">
        <v>700</v>
      </c>
      <c r="F1131">
        <v>2400</v>
      </c>
      <c r="G1131">
        <v>27300</v>
      </c>
    </row>
    <row r="1132" spans="1:7" x14ac:dyDescent="0.25">
      <c r="A1132" t="s">
        <v>1424</v>
      </c>
      <c r="B1132">
        <v>49</v>
      </c>
      <c r="C1132">
        <v>2077.5500000000002</v>
      </c>
      <c r="D1132">
        <v>1800</v>
      </c>
      <c r="E1132">
        <v>300</v>
      </c>
      <c r="F1132">
        <v>10000</v>
      </c>
      <c r="G1132">
        <v>101800</v>
      </c>
    </row>
    <row r="1133" spans="1:7" x14ac:dyDescent="0.25">
      <c r="A1133" t="s">
        <v>1340</v>
      </c>
      <c r="B1133">
        <v>12</v>
      </c>
      <c r="C1133">
        <v>2000</v>
      </c>
      <c r="D1133">
        <v>2000</v>
      </c>
      <c r="E1133">
        <v>500</v>
      </c>
      <c r="F1133">
        <v>3500</v>
      </c>
      <c r="G1133">
        <v>24000</v>
      </c>
    </row>
    <row r="1134" spans="1:7" x14ac:dyDescent="0.25">
      <c r="A1134" t="s">
        <v>5561</v>
      </c>
      <c r="B1134">
        <v>3</v>
      </c>
      <c r="C1134">
        <v>1000</v>
      </c>
      <c r="D1134">
        <v>1000</v>
      </c>
      <c r="E1134">
        <v>600</v>
      </c>
      <c r="F1134">
        <v>1400</v>
      </c>
      <c r="G1134">
        <v>3000</v>
      </c>
    </row>
    <row r="1135" spans="1:7" x14ac:dyDescent="0.25">
      <c r="A1135" t="s">
        <v>1416</v>
      </c>
      <c r="B1135">
        <v>8</v>
      </c>
      <c r="C1135">
        <v>2187.5</v>
      </c>
      <c r="D1135">
        <v>2000</v>
      </c>
      <c r="E1135">
        <v>1200</v>
      </c>
      <c r="F1135">
        <v>3200</v>
      </c>
      <c r="G1135">
        <v>17500</v>
      </c>
    </row>
    <row r="1137" spans="1:7" x14ac:dyDescent="0.25">
      <c r="A1137" t="s">
        <v>5702</v>
      </c>
    </row>
    <row r="1138" spans="1:7" x14ac:dyDescent="0.25">
      <c r="A1138" t="s">
        <v>928</v>
      </c>
      <c r="B1138" t="s">
        <v>4394</v>
      </c>
      <c r="C1138" t="s">
        <v>4428</v>
      </c>
      <c r="D1138" t="s">
        <v>4429</v>
      </c>
      <c r="E1138" t="s">
        <v>4430</v>
      </c>
      <c r="F1138" t="s">
        <v>4431</v>
      </c>
      <c r="G1138" t="s">
        <v>4432</v>
      </c>
    </row>
    <row r="1139" spans="1:7" x14ac:dyDescent="0.25">
      <c r="A1139" t="s">
        <v>4434</v>
      </c>
      <c r="B1139">
        <v>4</v>
      </c>
      <c r="C1139">
        <v>1800</v>
      </c>
      <c r="D1139">
        <v>1800</v>
      </c>
      <c r="E1139">
        <v>900</v>
      </c>
      <c r="F1139">
        <v>2500</v>
      </c>
      <c r="G1139">
        <v>7200</v>
      </c>
    </row>
    <row r="1140" spans="1:7" x14ac:dyDescent="0.25">
      <c r="A1140" t="s">
        <v>4435</v>
      </c>
      <c r="B1140">
        <v>87</v>
      </c>
      <c r="C1140">
        <v>1689.66</v>
      </c>
      <c r="D1140">
        <v>1800</v>
      </c>
      <c r="E1140">
        <v>500</v>
      </c>
      <c r="F1140">
        <v>3500</v>
      </c>
      <c r="G1140">
        <v>147000</v>
      </c>
    </row>
    <row r="1141" spans="1:7" x14ac:dyDescent="0.25">
      <c r="A1141" t="s">
        <v>4436</v>
      </c>
      <c r="B1141">
        <v>28</v>
      </c>
      <c r="C1141">
        <v>2853.57</v>
      </c>
      <c r="D1141">
        <v>2000</v>
      </c>
      <c r="E1141">
        <v>300</v>
      </c>
      <c r="F1141">
        <v>10000</v>
      </c>
      <c r="G1141">
        <v>79900</v>
      </c>
    </row>
    <row r="1143" spans="1:7" x14ac:dyDescent="0.25">
      <c r="A1143" t="s">
        <v>5703</v>
      </c>
    </row>
    <row r="1144" spans="1:7" x14ac:dyDescent="0.25">
      <c r="A1144" t="s">
        <v>913</v>
      </c>
      <c r="B1144" t="s">
        <v>4394</v>
      </c>
      <c r="C1144" t="s">
        <v>4428</v>
      </c>
      <c r="D1144" t="s">
        <v>4429</v>
      </c>
      <c r="E1144" t="s">
        <v>4430</v>
      </c>
      <c r="F1144" t="s">
        <v>4431</v>
      </c>
      <c r="G1144" t="s">
        <v>4432</v>
      </c>
    </row>
    <row r="1145" spans="1:7" x14ac:dyDescent="0.25">
      <c r="A1145" t="s">
        <v>1342</v>
      </c>
      <c r="B1145">
        <v>65</v>
      </c>
      <c r="C1145">
        <v>1583.08</v>
      </c>
      <c r="D1145">
        <v>1600</v>
      </c>
      <c r="E1145">
        <v>500</v>
      </c>
      <c r="F1145">
        <v>3000</v>
      </c>
      <c r="G1145">
        <v>102900</v>
      </c>
    </row>
    <row r="1146" spans="1:7" x14ac:dyDescent="0.25">
      <c r="A1146" t="s">
        <v>1375</v>
      </c>
      <c r="B1146">
        <v>32</v>
      </c>
      <c r="C1146">
        <v>2128.12</v>
      </c>
      <c r="D1146">
        <v>2000</v>
      </c>
      <c r="E1146">
        <v>500</v>
      </c>
      <c r="F1146">
        <v>5000</v>
      </c>
      <c r="G1146">
        <v>68100</v>
      </c>
    </row>
    <row r="1147" spans="1:7" x14ac:dyDescent="0.25">
      <c r="A1147" t="s">
        <v>1401</v>
      </c>
      <c r="B1147">
        <v>22</v>
      </c>
      <c r="C1147">
        <v>2868.18</v>
      </c>
      <c r="D1147">
        <v>2000</v>
      </c>
      <c r="E1147">
        <v>300</v>
      </c>
      <c r="F1147">
        <v>10000</v>
      </c>
      <c r="G1147">
        <v>63100</v>
      </c>
    </row>
    <row r="1149" spans="1:7" x14ac:dyDescent="0.25">
      <c r="A1149" t="s">
        <v>5704</v>
      </c>
    </row>
    <row r="1150" spans="1:7" x14ac:dyDescent="0.25">
      <c r="A1150" t="s">
        <v>903</v>
      </c>
      <c r="B1150" t="s">
        <v>4394</v>
      </c>
      <c r="C1150" t="s">
        <v>4428</v>
      </c>
      <c r="D1150" t="s">
        <v>4429</v>
      </c>
      <c r="E1150" t="s">
        <v>4430</v>
      </c>
      <c r="F1150" t="s">
        <v>4431</v>
      </c>
      <c r="G1150" t="s">
        <v>4432</v>
      </c>
    </row>
    <row r="1151" spans="1:7" x14ac:dyDescent="0.25">
      <c r="A1151" t="s">
        <v>70</v>
      </c>
      <c r="B1151">
        <v>20</v>
      </c>
      <c r="C1151">
        <v>3050</v>
      </c>
      <c r="D1151">
        <v>2300</v>
      </c>
      <c r="E1151">
        <v>300</v>
      </c>
      <c r="F1151">
        <v>10000</v>
      </c>
      <c r="G1151">
        <v>61000</v>
      </c>
    </row>
    <row r="1152" spans="1:7" x14ac:dyDescent="0.25">
      <c r="A1152" t="s">
        <v>71</v>
      </c>
      <c r="B1152">
        <v>99</v>
      </c>
      <c r="C1152">
        <v>1748.48</v>
      </c>
      <c r="D1152">
        <v>1800</v>
      </c>
      <c r="E1152">
        <v>500</v>
      </c>
      <c r="F1152">
        <v>5000</v>
      </c>
      <c r="G1152">
        <v>173100</v>
      </c>
    </row>
    <row r="1153" spans="1:7" x14ac:dyDescent="0.25">
      <c r="A1153" t="s">
        <v>1296</v>
      </c>
      <c r="B1153">
        <v>119</v>
      </c>
      <c r="C1153">
        <v>1967.23</v>
      </c>
      <c r="D1153">
        <v>1800</v>
      </c>
      <c r="E1153">
        <v>300</v>
      </c>
      <c r="F1153">
        <v>10000</v>
      </c>
      <c r="G1153">
        <v>234100</v>
      </c>
    </row>
    <row r="1155" spans="1:7" x14ac:dyDescent="0.25">
      <c r="A1155" t="s">
        <v>5705</v>
      </c>
    </row>
    <row r="1156" spans="1:7" x14ac:dyDescent="0.25">
      <c r="A1156" t="s">
        <v>1297</v>
      </c>
      <c r="B1156" t="s">
        <v>4394</v>
      </c>
      <c r="C1156" t="s">
        <v>109</v>
      </c>
      <c r="D1156" t="s">
        <v>4962</v>
      </c>
      <c r="E1156" t="s">
        <v>4963</v>
      </c>
    </row>
    <row r="1157" spans="1:7" x14ac:dyDescent="0.25">
      <c r="A1157" t="s">
        <v>5549</v>
      </c>
      <c r="B1157">
        <v>198</v>
      </c>
      <c r="C1157" t="s">
        <v>4680</v>
      </c>
      <c r="D1157" t="s">
        <v>4964</v>
      </c>
      <c r="E1157" t="s">
        <v>4965</v>
      </c>
    </row>
    <row r="1158" spans="1:7" x14ac:dyDescent="0.25">
      <c r="A1158" t="s">
        <v>1397</v>
      </c>
      <c r="B1158">
        <v>99</v>
      </c>
      <c r="C1158" t="s">
        <v>4852</v>
      </c>
      <c r="D1158" t="s">
        <v>4857</v>
      </c>
      <c r="E1158" t="s">
        <v>4628</v>
      </c>
    </row>
    <row r="1159" spans="1:7" x14ac:dyDescent="0.25">
      <c r="A1159" t="s">
        <v>1296</v>
      </c>
      <c r="B1159">
        <v>297</v>
      </c>
      <c r="C1159" t="s">
        <v>4660</v>
      </c>
      <c r="D1159" t="s">
        <v>4966</v>
      </c>
      <c r="E1159" t="s">
        <v>4464</v>
      </c>
    </row>
    <row r="1161" spans="1:7" x14ac:dyDescent="0.25">
      <c r="A1161" t="s">
        <v>5706</v>
      </c>
    </row>
    <row r="1162" spans="1:7" x14ac:dyDescent="0.25">
      <c r="A1162" t="s">
        <v>905</v>
      </c>
      <c r="B1162" t="s">
        <v>4394</v>
      </c>
      <c r="C1162" t="s">
        <v>109</v>
      </c>
      <c r="D1162" t="s">
        <v>4962</v>
      </c>
      <c r="E1162" t="s">
        <v>4963</v>
      </c>
    </row>
    <row r="1163" spans="1:7" x14ac:dyDescent="0.25">
      <c r="A1163" t="s">
        <v>4844</v>
      </c>
      <c r="B1163">
        <v>36</v>
      </c>
      <c r="C1163" t="s">
        <v>4649</v>
      </c>
      <c r="D1163" t="s">
        <v>4997</v>
      </c>
      <c r="E1163" t="s">
        <v>4596</v>
      </c>
    </row>
    <row r="1164" spans="1:7" x14ac:dyDescent="0.25">
      <c r="A1164" t="s">
        <v>4845</v>
      </c>
      <c r="B1164">
        <v>230</v>
      </c>
      <c r="C1164" t="s">
        <v>4626</v>
      </c>
      <c r="D1164" t="s">
        <v>4998</v>
      </c>
      <c r="E1164" t="s">
        <v>4999</v>
      </c>
    </row>
    <row r="1165" spans="1:7" x14ac:dyDescent="0.25">
      <c r="A1165" t="s">
        <v>4846</v>
      </c>
      <c r="B1165">
        <v>31</v>
      </c>
      <c r="C1165" t="s">
        <v>4420</v>
      </c>
      <c r="D1165" t="s">
        <v>5000</v>
      </c>
      <c r="E1165" t="s">
        <v>4563</v>
      </c>
    </row>
    <row r="1166" spans="1:7" x14ac:dyDescent="0.25">
      <c r="A1166" t="s">
        <v>1296</v>
      </c>
      <c r="B1166">
        <v>297</v>
      </c>
      <c r="C1166" t="s">
        <v>4660</v>
      </c>
      <c r="D1166" t="s">
        <v>4966</v>
      </c>
      <c r="E1166" t="s">
        <v>4464</v>
      </c>
    </row>
    <row r="1168" spans="1:7" x14ac:dyDescent="0.25">
      <c r="A1168" t="s">
        <v>5707</v>
      </c>
    </row>
    <row r="1169" spans="1:5" x14ac:dyDescent="0.25">
      <c r="A1169" t="s">
        <v>906</v>
      </c>
      <c r="B1169" t="s">
        <v>4394</v>
      </c>
      <c r="C1169" t="s">
        <v>109</v>
      </c>
      <c r="D1169" t="s">
        <v>4962</v>
      </c>
      <c r="E1169" t="s">
        <v>4963</v>
      </c>
    </row>
    <row r="1170" spans="1:5" x14ac:dyDescent="0.25">
      <c r="A1170" t="s">
        <v>1338</v>
      </c>
      <c r="B1170">
        <v>46</v>
      </c>
      <c r="C1170" t="s">
        <v>4406</v>
      </c>
      <c r="D1170" t="s">
        <v>4971</v>
      </c>
      <c r="E1170" t="s">
        <v>4684</v>
      </c>
    </row>
    <row r="1171" spans="1:5" x14ac:dyDescent="0.25">
      <c r="A1171" t="s">
        <v>1370</v>
      </c>
      <c r="B1171">
        <v>33</v>
      </c>
      <c r="C1171" t="s">
        <v>4852</v>
      </c>
      <c r="D1171" t="s">
        <v>5133</v>
      </c>
      <c r="E1171" t="s">
        <v>4863</v>
      </c>
    </row>
    <row r="1172" spans="1:5" x14ac:dyDescent="0.25">
      <c r="A1172" t="s">
        <v>1439</v>
      </c>
      <c r="B1172">
        <v>21</v>
      </c>
      <c r="C1172" t="s">
        <v>4749</v>
      </c>
      <c r="D1172" t="s">
        <v>4784</v>
      </c>
      <c r="E1172" t="s">
        <v>4522</v>
      </c>
    </row>
    <row r="1173" spans="1:5" x14ac:dyDescent="0.25">
      <c r="A1173" t="s">
        <v>1476</v>
      </c>
      <c r="B1173">
        <v>71</v>
      </c>
      <c r="C1173" t="s">
        <v>4750</v>
      </c>
      <c r="D1173" t="s">
        <v>4968</v>
      </c>
      <c r="E1173" t="s">
        <v>4541</v>
      </c>
    </row>
    <row r="1174" spans="1:5" x14ac:dyDescent="0.25">
      <c r="A1174" t="s">
        <v>5476</v>
      </c>
      <c r="B1174">
        <v>6</v>
      </c>
      <c r="C1174" t="s">
        <v>4406</v>
      </c>
      <c r="D1174" t="s">
        <v>4454</v>
      </c>
      <c r="E1174" t="s">
        <v>4406</v>
      </c>
    </row>
    <row r="1175" spans="1:5" x14ac:dyDescent="0.25">
      <c r="A1175" t="s">
        <v>1399</v>
      </c>
      <c r="B1175">
        <v>44</v>
      </c>
      <c r="C1175" t="s">
        <v>4637</v>
      </c>
      <c r="D1175" t="s">
        <v>4793</v>
      </c>
      <c r="E1175" t="s">
        <v>4589</v>
      </c>
    </row>
    <row r="1176" spans="1:5" x14ac:dyDescent="0.25">
      <c r="A1176" t="s">
        <v>1415</v>
      </c>
      <c r="B1176">
        <v>76</v>
      </c>
      <c r="C1176" t="s">
        <v>4864</v>
      </c>
      <c r="D1176" t="s">
        <v>4973</v>
      </c>
      <c r="E1176" t="s">
        <v>4527</v>
      </c>
    </row>
    <row r="1177" spans="1:5" x14ac:dyDescent="0.25">
      <c r="A1177" t="s">
        <v>1296</v>
      </c>
      <c r="B1177">
        <v>297</v>
      </c>
      <c r="C1177" t="s">
        <v>4660</v>
      </c>
      <c r="D1177" t="s">
        <v>4966</v>
      </c>
      <c r="E1177" t="s">
        <v>4464</v>
      </c>
    </row>
    <row r="1179" spans="1:5" x14ac:dyDescent="0.25">
      <c r="A1179" t="s">
        <v>5708</v>
      </c>
    </row>
    <row r="1180" spans="1:5" x14ac:dyDescent="0.25">
      <c r="A1180" t="s">
        <v>907</v>
      </c>
      <c r="B1180" t="s">
        <v>4394</v>
      </c>
      <c r="C1180" t="s">
        <v>109</v>
      </c>
      <c r="D1180" t="s">
        <v>4962</v>
      </c>
      <c r="E1180" t="s">
        <v>4963</v>
      </c>
    </row>
    <row r="1181" spans="1:5" x14ac:dyDescent="0.25">
      <c r="A1181" t="s">
        <v>109</v>
      </c>
      <c r="B1181">
        <v>257</v>
      </c>
      <c r="C1181" t="s">
        <v>4692</v>
      </c>
      <c r="D1181" t="s">
        <v>4974</v>
      </c>
      <c r="E1181" t="s">
        <v>4464</v>
      </c>
    </row>
    <row r="1182" spans="1:5" x14ac:dyDescent="0.25">
      <c r="A1182" t="s">
        <v>192</v>
      </c>
      <c r="B1182">
        <v>40</v>
      </c>
      <c r="C1182" t="s">
        <v>4758</v>
      </c>
      <c r="D1182" t="s">
        <v>4834</v>
      </c>
      <c r="E1182" t="s">
        <v>4643</v>
      </c>
    </row>
    <row r="1183" spans="1:5" x14ac:dyDescent="0.25">
      <c r="A1183" t="s">
        <v>1296</v>
      </c>
      <c r="B1183">
        <v>297</v>
      </c>
      <c r="C1183" t="s">
        <v>4660</v>
      </c>
      <c r="D1183" t="s">
        <v>4966</v>
      </c>
      <c r="E1183" t="s">
        <v>4464</v>
      </c>
    </row>
    <row r="1185" spans="1:5" x14ac:dyDescent="0.25">
      <c r="A1185" t="s">
        <v>5709</v>
      </c>
    </row>
    <row r="1186" spans="1:5" x14ac:dyDescent="0.25">
      <c r="A1186" t="s">
        <v>1295</v>
      </c>
      <c r="B1186" t="s">
        <v>4394</v>
      </c>
      <c r="C1186" t="s">
        <v>109</v>
      </c>
      <c r="D1186" t="s">
        <v>4962</v>
      </c>
      <c r="E1186" t="s">
        <v>4963</v>
      </c>
    </row>
    <row r="1187" spans="1:5" x14ac:dyDescent="0.25">
      <c r="A1187" t="s">
        <v>4395</v>
      </c>
      <c r="B1187">
        <v>32</v>
      </c>
      <c r="C1187" t="s">
        <v>4543</v>
      </c>
      <c r="D1187" t="s">
        <v>4984</v>
      </c>
      <c r="E1187" t="s">
        <v>4695</v>
      </c>
    </row>
    <row r="1188" spans="1:5" x14ac:dyDescent="0.25">
      <c r="A1188" t="s">
        <v>4396</v>
      </c>
      <c r="B1188">
        <v>169</v>
      </c>
      <c r="C1188" t="s">
        <v>4413</v>
      </c>
      <c r="D1188" t="s">
        <v>4985</v>
      </c>
      <c r="E1188" t="s">
        <v>4882</v>
      </c>
    </row>
    <row r="1189" spans="1:5" x14ac:dyDescent="0.25">
      <c r="A1189" t="s">
        <v>4397</v>
      </c>
      <c r="B1189">
        <v>2</v>
      </c>
      <c r="C1189" t="s">
        <v>4406</v>
      </c>
      <c r="D1189" t="s">
        <v>4454</v>
      </c>
      <c r="E1189" t="s">
        <v>4406</v>
      </c>
    </row>
    <row r="1190" spans="1:5" x14ac:dyDescent="0.25">
      <c r="A1190" t="s">
        <v>4398</v>
      </c>
      <c r="B1190">
        <v>92</v>
      </c>
      <c r="C1190" t="s">
        <v>4670</v>
      </c>
      <c r="D1190" t="s">
        <v>4986</v>
      </c>
      <c r="E1190" t="s">
        <v>4863</v>
      </c>
    </row>
    <row r="1191" spans="1:5" x14ac:dyDescent="0.25">
      <c r="A1191" t="s">
        <v>4399</v>
      </c>
      <c r="B1191">
        <v>2</v>
      </c>
      <c r="C1191" t="s">
        <v>4406</v>
      </c>
      <c r="D1191" t="s">
        <v>4454</v>
      </c>
      <c r="E1191" t="s">
        <v>4406</v>
      </c>
    </row>
    <row r="1192" spans="1:5" x14ac:dyDescent="0.25">
      <c r="A1192" t="s">
        <v>1296</v>
      </c>
      <c r="B1192">
        <v>297</v>
      </c>
      <c r="C1192" t="s">
        <v>4660</v>
      </c>
      <c r="D1192" t="s">
        <v>4966</v>
      </c>
      <c r="E1192" t="s">
        <v>4464</v>
      </c>
    </row>
    <row r="1194" spans="1:5" x14ac:dyDescent="0.25">
      <c r="A1194" t="s">
        <v>5710</v>
      </c>
    </row>
    <row r="1195" spans="1:5" x14ac:dyDescent="0.25">
      <c r="A1195" t="s">
        <v>910</v>
      </c>
      <c r="B1195" t="s">
        <v>4394</v>
      </c>
      <c r="C1195" t="s">
        <v>109</v>
      </c>
      <c r="D1195" t="s">
        <v>4962</v>
      </c>
      <c r="E1195" t="s">
        <v>4963</v>
      </c>
    </row>
    <row r="1196" spans="1:5" x14ac:dyDescent="0.25">
      <c r="A1196" t="s">
        <v>1371</v>
      </c>
      <c r="B1196">
        <v>42</v>
      </c>
      <c r="C1196" t="s">
        <v>4400</v>
      </c>
      <c r="D1196" t="s">
        <v>4946</v>
      </c>
      <c r="E1196" t="s">
        <v>4400</v>
      </c>
    </row>
    <row r="1197" spans="1:5" x14ac:dyDescent="0.25">
      <c r="A1197" t="s">
        <v>1452</v>
      </c>
      <c r="B1197">
        <v>18</v>
      </c>
      <c r="C1197" t="s">
        <v>4406</v>
      </c>
      <c r="D1197" t="s">
        <v>4783</v>
      </c>
      <c r="E1197" t="s">
        <v>4596</v>
      </c>
    </row>
    <row r="1198" spans="1:5" x14ac:dyDescent="0.25">
      <c r="A1198" t="s">
        <v>5560</v>
      </c>
      <c r="B1198">
        <v>59</v>
      </c>
      <c r="C1198" t="s">
        <v>4925</v>
      </c>
      <c r="D1198" t="s">
        <v>4980</v>
      </c>
      <c r="E1198" t="s">
        <v>5125</v>
      </c>
    </row>
    <row r="1199" spans="1:5" x14ac:dyDescent="0.25">
      <c r="A1199" t="s">
        <v>1424</v>
      </c>
      <c r="B1199">
        <v>120</v>
      </c>
      <c r="C1199" t="s">
        <v>4419</v>
      </c>
      <c r="D1199" t="s">
        <v>4968</v>
      </c>
      <c r="E1199" t="s">
        <v>4596</v>
      </c>
    </row>
    <row r="1200" spans="1:5" x14ac:dyDescent="0.25">
      <c r="A1200" t="s">
        <v>1340</v>
      </c>
      <c r="B1200">
        <v>31</v>
      </c>
      <c r="C1200" t="s">
        <v>4713</v>
      </c>
      <c r="D1200" t="s">
        <v>4969</v>
      </c>
      <c r="E1200" t="s">
        <v>4578</v>
      </c>
    </row>
    <row r="1201" spans="1:5" x14ac:dyDescent="0.25">
      <c r="A1201" t="s">
        <v>5561</v>
      </c>
      <c r="B1201">
        <v>8</v>
      </c>
      <c r="C1201" t="s">
        <v>4406</v>
      </c>
      <c r="D1201" t="s">
        <v>4945</v>
      </c>
      <c r="E1201" t="s">
        <v>4479</v>
      </c>
    </row>
    <row r="1202" spans="1:5" x14ac:dyDescent="0.25">
      <c r="A1202" t="s">
        <v>1416</v>
      </c>
      <c r="B1202">
        <v>19</v>
      </c>
      <c r="C1202" t="s">
        <v>4406</v>
      </c>
      <c r="D1202" t="s">
        <v>4970</v>
      </c>
      <c r="E1202" t="s">
        <v>4640</v>
      </c>
    </row>
    <row r="1203" spans="1:5" x14ac:dyDescent="0.25">
      <c r="A1203" t="s">
        <v>1296</v>
      </c>
      <c r="B1203">
        <v>297</v>
      </c>
      <c r="C1203" t="s">
        <v>4660</v>
      </c>
      <c r="D1203" t="s">
        <v>4966</v>
      </c>
      <c r="E1203" t="s">
        <v>4464</v>
      </c>
    </row>
    <row r="1205" spans="1:5" x14ac:dyDescent="0.25">
      <c r="A1205" t="s">
        <v>5711</v>
      </c>
    </row>
    <row r="1206" spans="1:5" x14ac:dyDescent="0.25">
      <c r="A1206" t="s">
        <v>928</v>
      </c>
      <c r="B1206" t="s">
        <v>4394</v>
      </c>
      <c r="C1206" t="s">
        <v>109</v>
      </c>
      <c r="D1206" t="s">
        <v>4962</v>
      </c>
      <c r="E1206" t="s">
        <v>4963</v>
      </c>
    </row>
    <row r="1207" spans="1:5" x14ac:dyDescent="0.25">
      <c r="A1207" t="s">
        <v>4433</v>
      </c>
      <c r="B1207">
        <v>5</v>
      </c>
      <c r="C1207" t="s">
        <v>4406</v>
      </c>
      <c r="D1207" t="s">
        <v>4454</v>
      </c>
      <c r="E1207" t="s">
        <v>4406</v>
      </c>
    </row>
    <row r="1208" spans="1:5" x14ac:dyDescent="0.25">
      <c r="A1208" t="s">
        <v>4434</v>
      </c>
      <c r="B1208">
        <v>119</v>
      </c>
      <c r="C1208" t="s">
        <v>4758</v>
      </c>
      <c r="D1208" t="s">
        <v>4975</v>
      </c>
      <c r="E1208" t="s">
        <v>4522</v>
      </c>
    </row>
    <row r="1209" spans="1:5" x14ac:dyDescent="0.25">
      <c r="A1209" t="s">
        <v>4435</v>
      </c>
      <c r="B1209">
        <v>90</v>
      </c>
      <c r="C1209" t="s">
        <v>4651</v>
      </c>
      <c r="D1209" t="s">
        <v>4976</v>
      </c>
      <c r="E1209" t="s">
        <v>4731</v>
      </c>
    </row>
    <row r="1210" spans="1:5" x14ac:dyDescent="0.25">
      <c r="A1210" t="s">
        <v>4436</v>
      </c>
      <c r="B1210">
        <v>81</v>
      </c>
      <c r="C1210" t="s">
        <v>4954</v>
      </c>
      <c r="D1210" t="s">
        <v>4977</v>
      </c>
      <c r="E1210" t="s">
        <v>4850</v>
      </c>
    </row>
    <row r="1211" spans="1:5" x14ac:dyDescent="0.25">
      <c r="A1211" t="s">
        <v>4437</v>
      </c>
      <c r="B1211">
        <v>2</v>
      </c>
      <c r="C1211" t="s">
        <v>4406</v>
      </c>
      <c r="D1211" t="s">
        <v>4454</v>
      </c>
      <c r="E1211" t="s">
        <v>4406</v>
      </c>
    </row>
    <row r="1212" spans="1:5" x14ac:dyDescent="0.25">
      <c r="A1212" t="s">
        <v>1296</v>
      </c>
      <c r="B1212">
        <v>297</v>
      </c>
      <c r="C1212" t="s">
        <v>4660</v>
      </c>
      <c r="D1212" t="s">
        <v>4966</v>
      </c>
      <c r="E1212" t="s">
        <v>4464</v>
      </c>
    </row>
    <row r="1214" spans="1:5" x14ac:dyDescent="0.25">
      <c r="A1214" t="s">
        <v>5712</v>
      </c>
    </row>
    <row r="1215" spans="1:5" x14ac:dyDescent="0.25">
      <c r="A1215" t="s">
        <v>913</v>
      </c>
      <c r="B1215" t="s">
        <v>4394</v>
      </c>
      <c r="C1215" t="s">
        <v>109</v>
      </c>
      <c r="D1215" t="s">
        <v>4962</v>
      </c>
      <c r="E1215" t="s">
        <v>4963</v>
      </c>
    </row>
    <row r="1216" spans="1:5" x14ac:dyDescent="0.25">
      <c r="A1216" t="s">
        <v>1561</v>
      </c>
      <c r="B1216">
        <v>3</v>
      </c>
      <c r="C1216" t="s">
        <v>4406</v>
      </c>
      <c r="D1216" t="s">
        <v>4454</v>
      </c>
      <c r="E1216" t="s">
        <v>4406</v>
      </c>
    </row>
    <row r="1217" spans="1:5" x14ac:dyDescent="0.25">
      <c r="A1217" t="s">
        <v>1460</v>
      </c>
      <c r="B1217">
        <v>67</v>
      </c>
      <c r="C1217" t="s">
        <v>4626</v>
      </c>
      <c r="D1217" t="s">
        <v>4978</v>
      </c>
      <c r="E1217" t="s">
        <v>4979</v>
      </c>
    </row>
    <row r="1218" spans="1:5" x14ac:dyDescent="0.25">
      <c r="A1218" t="s">
        <v>1342</v>
      </c>
      <c r="B1218">
        <v>67</v>
      </c>
      <c r="C1218" t="s">
        <v>4626</v>
      </c>
      <c r="D1218" t="s">
        <v>4980</v>
      </c>
      <c r="E1218" t="s">
        <v>4558</v>
      </c>
    </row>
    <row r="1219" spans="1:5" x14ac:dyDescent="0.25">
      <c r="A1219" t="s">
        <v>1375</v>
      </c>
      <c r="B1219">
        <v>93</v>
      </c>
      <c r="C1219" t="s">
        <v>4650</v>
      </c>
      <c r="D1219" t="s">
        <v>4981</v>
      </c>
      <c r="E1219" t="s">
        <v>4921</v>
      </c>
    </row>
    <row r="1220" spans="1:5" x14ac:dyDescent="0.25">
      <c r="A1220" t="s">
        <v>1401</v>
      </c>
      <c r="B1220">
        <v>66</v>
      </c>
      <c r="C1220" t="s">
        <v>4680</v>
      </c>
      <c r="D1220" t="s">
        <v>4982</v>
      </c>
      <c r="E1220" t="s">
        <v>4423</v>
      </c>
    </row>
    <row r="1221" spans="1:5" x14ac:dyDescent="0.25">
      <c r="A1221" t="s">
        <v>1682</v>
      </c>
      <c r="B1221">
        <v>1</v>
      </c>
      <c r="C1221" t="s">
        <v>4406</v>
      </c>
      <c r="D1221" t="s">
        <v>4454</v>
      </c>
      <c r="E1221" t="s">
        <v>4406</v>
      </c>
    </row>
    <row r="1222" spans="1:5" x14ac:dyDescent="0.25">
      <c r="A1222" t="s">
        <v>1296</v>
      </c>
      <c r="B1222">
        <v>297</v>
      </c>
      <c r="C1222" t="s">
        <v>4660</v>
      </c>
      <c r="D1222" t="s">
        <v>4966</v>
      </c>
      <c r="E1222" t="s">
        <v>4464</v>
      </c>
    </row>
    <row r="1224" spans="1:5" x14ac:dyDescent="0.25">
      <c r="A1224" t="s">
        <v>5713</v>
      </c>
    </row>
    <row r="1225" spans="1:5" x14ac:dyDescent="0.25">
      <c r="A1225" t="s">
        <v>917</v>
      </c>
      <c r="B1225" t="s">
        <v>4394</v>
      </c>
      <c r="C1225" t="s">
        <v>109</v>
      </c>
      <c r="D1225" t="s">
        <v>4962</v>
      </c>
      <c r="E1225" t="s">
        <v>4963</v>
      </c>
    </row>
    <row r="1226" spans="1:5" x14ac:dyDescent="0.25">
      <c r="A1226" t="s">
        <v>109</v>
      </c>
      <c r="B1226">
        <v>49</v>
      </c>
      <c r="C1226" t="s">
        <v>4744</v>
      </c>
      <c r="D1226" t="s">
        <v>4730</v>
      </c>
      <c r="E1226" t="s">
        <v>4558</v>
      </c>
    </row>
    <row r="1227" spans="1:5" x14ac:dyDescent="0.25">
      <c r="A1227" t="s">
        <v>192</v>
      </c>
      <c r="B1227">
        <v>248</v>
      </c>
      <c r="C1227" t="s">
        <v>4885</v>
      </c>
      <c r="D1227" t="s">
        <v>4983</v>
      </c>
      <c r="E1227" t="s">
        <v>4607</v>
      </c>
    </row>
    <row r="1228" spans="1:5" x14ac:dyDescent="0.25">
      <c r="A1228" t="s">
        <v>1296</v>
      </c>
      <c r="B1228">
        <v>297</v>
      </c>
      <c r="C1228" t="s">
        <v>4660</v>
      </c>
      <c r="D1228" t="s">
        <v>4966</v>
      </c>
      <c r="E1228" t="s">
        <v>4464</v>
      </c>
    </row>
    <row r="1230" spans="1:5" x14ac:dyDescent="0.25">
      <c r="A1230" t="s">
        <v>5714</v>
      </c>
    </row>
    <row r="1231" spans="1:5" x14ac:dyDescent="0.25">
      <c r="A1231" t="s">
        <v>5477</v>
      </c>
      <c r="B1231" t="s">
        <v>4394</v>
      </c>
      <c r="C1231" t="s">
        <v>109</v>
      </c>
      <c r="D1231" t="s">
        <v>4962</v>
      </c>
      <c r="E1231" t="s">
        <v>4963</v>
      </c>
    </row>
    <row r="1232" spans="1:5" x14ac:dyDescent="0.25">
      <c r="A1232" t="s">
        <v>4438</v>
      </c>
      <c r="B1232">
        <v>95</v>
      </c>
      <c r="C1232" t="s">
        <v>4713</v>
      </c>
      <c r="D1232" t="s">
        <v>5072</v>
      </c>
      <c r="E1232" t="s">
        <v>4999</v>
      </c>
    </row>
    <row r="1233" spans="1:5" x14ac:dyDescent="0.25">
      <c r="A1233" t="s">
        <v>4439</v>
      </c>
      <c r="B1233">
        <v>128</v>
      </c>
      <c r="C1233" t="s">
        <v>4695</v>
      </c>
      <c r="D1233" t="s">
        <v>5187</v>
      </c>
      <c r="E1233" t="s">
        <v>4573</v>
      </c>
    </row>
    <row r="1234" spans="1:5" x14ac:dyDescent="0.25">
      <c r="A1234" t="s">
        <v>1400</v>
      </c>
      <c r="B1234">
        <v>7</v>
      </c>
      <c r="C1234" t="s">
        <v>4450</v>
      </c>
      <c r="D1234" t="s">
        <v>4447</v>
      </c>
      <c r="E1234" t="s">
        <v>4450</v>
      </c>
    </row>
    <row r="1235" spans="1:5" x14ac:dyDescent="0.25">
      <c r="A1235" t="s">
        <v>5566</v>
      </c>
      <c r="B1235">
        <v>36</v>
      </c>
      <c r="C1235" t="s">
        <v>4649</v>
      </c>
      <c r="D1235" t="s">
        <v>4857</v>
      </c>
      <c r="E1235" t="s">
        <v>4858</v>
      </c>
    </row>
    <row r="1236" spans="1:5" x14ac:dyDescent="0.25">
      <c r="A1236" t="s">
        <v>1426</v>
      </c>
      <c r="B1236">
        <v>1</v>
      </c>
      <c r="C1236" t="s">
        <v>4406</v>
      </c>
      <c r="D1236" t="s">
        <v>4454</v>
      </c>
      <c r="E1236" t="s">
        <v>4406</v>
      </c>
    </row>
    <row r="1237" spans="1:5" x14ac:dyDescent="0.25">
      <c r="A1237" t="s">
        <v>1372</v>
      </c>
      <c r="B1237">
        <v>30</v>
      </c>
      <c r="C1237" t="s">
        <v>4416</v>
      </c>
      <c r="D1237" t="s">
        <v>5092</v>
      </c>
      <c r="E1237" t="s">
        <v>4416</v>
      </c>
    </row>
    <row r="1238" spans="1:5" x14ac:dyDescent="0.25">
      <c r="A1238" t="s">
        <v>1296</v>
      </c>
      <c r="B1238">
        <v>297</v>
      </c>
      <c r="C1238" t="s">
        <v>4660</v>
      </c>
      <c r="D1238" t="s">
        <v>4966</v>
      </c>
      <c r="E1238" t="s">
        <v>4464</v>
      </c>
    </row>
    <row r="1240" spans="1:5" x14ac:dyDescent="0.25">
      <c r="A1240" t="s">
        <v>5715</v>
      </c>
    </row>
    <row r="1241" spans="1:5" x14ac:dyDescent="0.25">
      <c r="A1241" t="s">
        <v>912</v>
      </c>
      <c r="B1241" t="s">
        <v>4394</v>
      </c>
      <c r="C1241" t="s">
        <v>109</v>
      </c>
      <c r="D1241" t="s">
        <v>4962</v>
      </c>
      <c r="E1241" t="s">
        <v>4963</v>
      </c>
    </row>
    <row r="1242" spans="1:5" x14ac:dyDescent="0.25">
      <c r="A1242" t="s">
        <v>4438</v>
      </c>
      <c r="B1242">
        <v>80</v>
      </c>
      <c r="C1242" t="s">
        <v>4645</v>
      </c>
      <c r="D1242" t="s">
        <v>5012</v>
      </c>
      <c r="E1242" t="s">
        <v>4479</v>
      </c>
    </row>
    <row r="1243" spans="1:5" x14ac:dyDescent="0.25">
      <c r="A1243" t="s">
        <v>4439</v>
      </c>
      <c r="B1243">
        <v>106</v>
      </c>
      <c r="C1243" t="s">
        <v>4649</v>
      </c>
      <c r="D1243" t="s">
        <v>5090</v>
      </c>
      <c r="E1243" t="s">
        <v>4677</v>
      </c>
    </row>
    <row r="1244" spans="1:5" x14ac:dyDescent="0.25">
      <c r="A1244" t="s">
        <v>1400</v>
      </c>
      <c r="B1244">
        <v>30</v>
      </c>
      <c r="C1244" t="s">
        <v>4651</v>
      </c>
      <c r="D1244" t="s">
        <v>4457</v>
      </c>
      <c r="E1244" t="s">
        <v>5129</v>
      </c>
    </row>
    <row r="1245" spans="1:5" x14ac:dyDescent="0.25">
      <c r="A1245" t="s">
        <v>1340</v>
      </c>
      <c r="B1245">
        <v>31</v>
      </c>
      <c r="C1245" t="s">
        <v>4713</v>
      </c>
      <c r="D1245" t="s">
        <v>4969</v>
      </c>
      <c r="E1245" t="s">
        <v>4578</v>
      </c>
    </row>
    <row r="1246" spans="1:5" x14ac:dyDescent="0.25">
      <c r="A1246" t="s">
        <v>1426</v>
      </c>
      <c r="B1246">
        <v>15</v>
      </c>
      <c r="C1246" t="s">
        <v>4472</v>
      </c>
      <c r="D1246" t="s">
        <v>5106</v>
      </c>
      <c r="E1246" t="s">
        <v>4465</v>
      </c>
    </row>
    <row r="1247" spans="1:5" x14ac:dyDescent="0.25">
      <c r="A1247" t="s">
        <v>1372</v>
      </c>
      <c r="B1247">
        <v>35</v>
      </c>
      <c r="C1247" t="s">
        <v>4654</v>
      </c>
      <c r="D1247" t="s">
        <v>5093</v>
      </c>
      <c r="E1247" t="s">
        <v>4406</v>
      </c>
    </row>
    <row r="1248" spans="1:5" x14ac:dyDescent="0.25">
      <c r="A1248" t="s">
        <v>1296</v>
      </c>
      <c r="B1248">
        <v>297</v>
      </c>
      <c r="C1248" t="s">
        <v>4660</v>
      </c>
      <c r="D1248" t="s">
        <v>4966</v>
      </c>
      <c r="E1248" t="s">
        <v>4464</v>
      </c>
    </row>
    <row r="1250" spans="1:5" x14ac:dyDescent="0.25">
      <c r="A1250" t="s">
        <v>5716</v>
      </c>
    </row>
    <row r="1251" spans="1:5" x14ac:dyDescent="0.25">
      <c r="A1251" t="s">
        <v>924</v>
      </c>
      <c r="B1251" t="s">
        <v>4394</v>
      </c>
      <c r="C1251" t="s">
        <v>109</v>
      </c>
      <c r="D1251" t="s">
        <v>4962</v>
      </c>
      <c r="E1251" t="s">
        <v>4963</v>
      </c>
    </row>
    <row r="1252" spans="1:5" x14ac:dyDescent="0.25">
      <c r="A1252" t="s">
        <v>1345</v>
      </c>
      <c r="B1252">
        <v>69</v>
      </c>
      <c r="C1252" t="s">
        <v>4667</v>
      </c>
      <c r="D1252" t="s">
        <v>4990</v>
      </c>
      <c r="E1252" t="s">
        <v>4940</v>
      </c>
    </row>
    <row r="1253" spans="1:5" x14ac:dyDescent="0.25">
      <c r="A1253" t="s">
        <v>1441</v>
      </c>
      <c r="B1253">
        <v>123</v>
      </c>
      <c r="C1253" t="s">
        <v>4635</v>
      </c>
      <c r="D1253" t="s">
        <v>4991</v>
      </c>
      <c r="E1253" t="s">
        <v>4992</v>
      </c>
    </row>
    <row r="1254" spans="1:5" x14ac:dyDescent="0.25">
      <c r="A1254" t="s">
        <v>1461</v>
      </c>
      <c r="B1254">
        <v>95</v>
      </c>
      <c r="C1254" t="s">
        <v>4751</v>
      </c>
      <c r="D1254" t="s">
        <v>4966</v>
      </c>
      <c r="E1254" t="s">
        <v>4498</v>
      </c>
    </row>
    <row r="1255" spans="1:5" x14ac:dyDescent="0.25">
      <c r="A1255" t="s">
        <v>5554</v>
      </c>
      <c r="B1255">
        <v>10</v>
      </c>
      <c r="C1255" t="s">
        <v>4489</v>
      </c>
      <c r="D1255" t="s">
        <v>4782</v>
      </c>
      <c r="E1255" t="s">
        <v>4406</v>
      </c>
    </row>
    <row r="1256" spans="1:5" x14ac:dyDescent="0.25">
      <c r="A1256" t="s">
        <v>1296</v>
      </c>
      <c r="B1256">
        <v>297</v>
      </c>
      <c r="C1256" t="s">
        <v>4660</v>
      </c>
      <c r="D1256" t="s">
        <v>4966</v>
      </c>
      <c r="E1256" t="s">
        <v>4464</v>
      </c>
    </row>
    <row r="1258" spans="1:5" x14ac:dyDescent="0.25">
      <c r="A1258" t="s">
        <v>5717</v>
      </c>
    </row>
    <row r="1259" spans="1:5" x14ac:dyDescent="0.25">
      <c r="A1259" t="s">
        <v>903</v>
      </c>
      <c r="B1259" t="s">
        <v>4394</v>
      </c>
      <c r="C1259" t="s">
        <v>109</v>
      </c>
      <c r="D1259" t="s">
        <v>4962</v>
      </c>
      <c r="E1259" t="s">
        <v>4963</v>
      </c>
    </row>
    <row r="1260" spans="1:5" x14ac:dyDescent="0.25">
      <c r="A1260" t="s">
        <v>70</v>
      </c>
      <c r="B1260">
        <v>85</v>
      </c>
      <c r="C1260" t="s">
        <v>4757</v>
      </c>
      <c r="D1260" t="s">
        <v>5001</v>
      </c>
      <c r="E1260" t="s">
        <v>4950</v>
      </c>
    </row>
    <row r="1261" spans="1:5" x14ac:dyDescent="0.25">
      <c r="A1261" t="s">
        <v>71</v>
      </c>
      <c r="B1261">
        <v>212</v>
      </c>
      <c r="C1261" t="s">
        <v>4751</v>
      </c>
      <c r="D1261" t="s">
        <v>5002</v>
      </c>
      <c r="E1261" t="s">
        <v>5003</v>
      </c>
    </row>
    <row r="1262" spans="1:5" x14ac:dyDescent="0.25">
      <c r="A1262" t="s">
        <v>1296</v>
      </c>
      <c r="B1262">
        <v>297</v>
      </c>
      <c r="C1262" t="s">
        <v>4660</v>
      </c>
      <c r="D1262" t="s">
        <v>4966</v>
      </c>
      <c r="E1262" t="s">
        <v>4464</v>
      </c>
    </row>
    <row r="1264" spans="1:5" x14ac:dyDescent="0.25">
      <c r="A1264" t="s">
        <v>5718</v>
      </c>
    </row>
    <row r="1265" spans="1:5" x14ac:dyDescent="0.25">
      <c r="A1265" t="s">
        <v>1297</v>
      </c>
      <c r="B1265" t="s">
        <v>4394</v>
      </c>
      <c r="C1265" t="s">
        <v>109</v>
      </c>
      <c r="D1265" t="s">
        <v>4962</v>
      </c>
      <c r="E1265" t="s">
        <v>4963</v>
      </c>
    </row>
    <row r="1266" spans="1:5" x14ac:dyDescent="0.25">
      <c r="A1266" t="s">
        <v>5549</v>
      </c>
      <c r="B1266">
        <v>198</v>
      </c>
      <c r="C1266" t="s">
        <v>4406</v>
      </c>
      <c r="D1266" t="s">
        <v>5004</v>
      </c>
      <c r="E1266" t="s">
        <v>4854</v>
      </c>
    </row>
    <row r="1267" spans="1:5" x14ac:dyDescent="0.25">
      <c r="A1267" t="s">
        <v>1397</v>
      </c>
      <c r="B1267">
        <v>99</v>
      </c>
      <c r="C1267" t="s">
        <v>4744</v>
      </c>
      <c r="D1267" t="s">
        <v>5005</v>
      </c>
      <c r="E1267" t="s">
        <v>4852</v>
      </c>
    </row>
    <row r="1268" spans="1:5" x14ac:dyDescent="0.25">
      <c r="A1268" t="s">
        <v>1296</v>
      </c>
      <c r="B1268">
        <v>297</v>
      </c>
      <c r="C1268" t="s">
        <v>4410</v>
      </c>
      <c r="D1268" t="s">
        <v>5006</v>
      </c>
      <c r="E1268" t="s">
        <v>4479</v>
      </c>
    </row>
    <row r="1270" spans="1:5" x14ac:dyDescent="0.25">
      <c r="A1270" t="s">
        <v>5719</v>
      </c>
    </row>
    <row r="1271" spans="1:5" x14ac:dyDescent="0.25">
      <c r="A1271" t="s">
        <v>905</v>
      </c>
      <c r="B1271" t="s">
        <v>4394</v>
      </c>
      <c r="C1271" t="s">
        <v>109</v>
      </c>
      <c r="D1271" t="s">
        <v>4962</v>
      </c>
      <c r="E1271" t="s">
        <v>4963</v>
      </c>
    </row>
    <row r="1272" spans="1:5" x14ac:dyDescent="0.25">
      <c r="A1272" t="s">
        <v>4844</v>
      </c>
      <c r="B1272">
        <v>36</v>
      </c>
      <c r="C1272" t="s">
        <v>4406</v>
      </c>
      <c r="D1272" t="s">
        <v>5025</v>
      </c>
      <c r="E1272" t="s">
        <v>4859</v>
      </c>
    </row>
    <row r="1273" spans="1:5" x14ac:dyDescent="0.25">
      <c r="A1273" t="s">
        <v>4845</v>
      </c>
      <c r="B1273">
        <v>230</v>
      </c>
      <c r="C1273" t="s">
        <v>4902</v>
      </c>
      <c r="D1273" t="s">
        <v>5026</v>
      </c>
      <c r="E1273" t="s">
        <v>4869</v>
      </c>
    </row>
    <row r="1274" spans="1:5" x14ac:dyDescent="0.25">
      <c r="A1274" t="s">
        <v>4846</v>
      </c>
      <c r="B1274">
        <v>31</v>
      </c>
      <c r="C1274" t="s">
        <v>4406</v>
      </c>
      <c r="D1274" t="s">
        <v>4997</v>
      </c>
      <c r="E1274" t="s">
        <v>4858</v>
      </c>
    </row>
    <row r="1275" spans="1:5" x14ac:dyDescent="0.25">
      <c r="A1275" t="s">
        <v>1296</v>
      </c>
      <c r="B1275">
        <v>297</v>
      </c>
      <c r="C1275" t="s">
        <v>4410</v>
      </c>
      <c r="D1275" t="s">
        <v>5006</v>
      </c>
      <c r="E1275" t="s">
        <v>4479</v>
      </c>
    </row>
    <row r="1277" spans="1:5" x14ac:dyDescent="0.25">
      <c r="A1277" t="s">
        <v>5720</v>
      </c>
    </row>
    <row r="1278" spans="1:5" x14ac:dyDescent="0.25">
      <c r="A1278" t="s">
        <v>906</v>
      </c>
      <c r="B1278" t="s">
        <v>4394</v>
      </c>
      <c r="C1278" t="s">
        <v>109</v>
      </c>
      <c r="D1278" t="s">
        <v>4962</v>
      </c>
      <c r="E1278" t="s">
        <v>4963</v>
      </c>
    </row>
    <row r="1279" spans="1:5" x14ac:dyDescent="0.25">
      <c r="A1279" t="s">
        <v>1338</v>
      </c>
      <c r="B1279">
        <v>46</v>
      </c>
      <c r="C1279" t="s">
        <v>4406</v>
      </c>
      <c r="D1279" t="s">
        <v>4971</v>
      </c>
      <c r="E1279" t="s">
        <v>4684</v>
      </c>
    </row>
    <row r="1280" spans="1:5" x14ac:dyDescent="0.25">
      <c r="A1280" t="s">
        <v>1370</v>
      </c>
      <c r="B1280">
        <v>33</v>
      </c>
      <c r="C1280" t="s">
        <v>4406</v>
      </c>
      <c r="D1280" t="s">
        <v>5009</v>
      </c>
      <c r="E1280" t="s">
        <v>4852</v>
      </c>
    </row>
    <row r="1281" spans="1:5" x14ac:dyDescent="0.25">
      <c r="A1281" t="s">
        <v>1439</v>
      </c>
      <c r="B1281">
        <v>21</v>
      </c>
      <c r="C1281" t="s">
        <v>4749</v>
      </c>
      <c r="D1281" t="s">
        <v>4784</v>
      </c>
      <c r="E1281" t="s">
        <v>4522</v>
      </c>
    </row>
    <row r="1282" spans="1:5" x14ac:dyDescent="0.25">
      <c r="A1282" t="s">
        <v>1476</v>
      </c>
      <c r="B1282">
        <v>71</v>
      </c>
      <c r="C1282" t="s">
        <v>4406</v>
      </c>
      <c r="D1282" t="s">
        <v>5008</v>
      </c>
      <c r="E1282" t="s">
        <v>4701</v>
      </c>
    </row>
    <row r="1283" spans="1:5" x14ac:dyDescent="0.25">
      <c r="A1283" t="s">
        <v>5476</v>
      </c>
      <c r="B1283">
        <v>6</v>
      </c>
      <c r="C1283" t="s">
        <v>4406</v>
      </c>
      <c r="D1283" t="s">
        <v>4454</v>
      </c>
      <c r="E1283" t="s">
        <v>4406</v>
      </c>
    </row>
    <row r="1284" spans="1:5" x14ac:dyDescent="0.25">
      <c r="A1284" t="s">
        <v>1399</v>
      </c>
      <c r="B1284">
        <v>44</v>
      </c>
      <c r="C1284" t="s">
        <v>4753</v>
      </c>
      <c r="D1284" t="s">
        <v>5009</v>
      </c>
      <c r="E1284" t="s">
        <v>4689</v>
      </c>
    </row>
    <row r="1285" spans="1:5" x14ac:dyDescent="0.25">
      <c r="A1285" t="s">
        <v>1415</v>
      </c>
      <c r="B1285">
        <v>76</v>
      </c>
      <c r="C1285" t="s">
        <v>4406</v>
      </c>
      <c r="D1285" t="s">
        <v>5010</v>
      </c>
      <c r="E1285" t="s">
        <v>4653</v>
      </c>
    </row>
    <row r="1286" spans="1:5" x14ac:dyDescent="0.25">
      <c r="A1286" t="s">
        <v>1296</v>
      </c>
      <c r="B1286">
        <v>297</v>
      </c>
      <c r="C1286" t="s">
        <v>4410</v>
      </c>
      <c r="D1286" t="s">
        <v>5006</v>
      </c>
      <c r="E1286" t="s">
        <v>4479</v>
      </c>
    </row>
    <row r="1288" spans="1:5" x14ac:dyDescent="0.25">
      <c r="A1288" t="s">
        <v>5721</v>
      </c>
    </row>
    <row r="1289" spans="1:5" x14ac:dyDescent="0.25">
      <c r="A1289" t="s">
        <v>907</v>
      </c>
      <c r="B1289" t="s">
        <v>4394</v>
      </c>
      <c r="C1289" t="s">
        <v>109</v>
      </c>
      <c r="D1289" t="s">
        <v>4962</v>
      </c>
      <c r="E1289" t="s">
        <v>4963</v>
      </c>
    </row>
    <row r="1290" spans="1:5" x14ac:dyDescent="0.25">
      <c r="A1290" t="s">
        <v>109</v>
      </c>
      <c r="B1290">
        <v>257</v>
      </c>
      <c r="C1290" t="s">
        <v>4417</v>
      </c>
      <c r="D1290" t="s">
        <v>5011</v>
      </c>
      <c r="E1290" t="s">
        <v>4539</v>
      </c>
    </row>
    <row r="1291" spans="1:5" x14ac:dyDescent="0.25">
      <c r="A1291" t="s">
        <v>192</v>
      </c>
      <c r="B1291">
        <v>40</v>
      </c>
      <c r="C1291" t="s">
        <v>4406</v>
      </c>
      <c r="D1291" t="s">
        <v>5012</v>
      </c>
      <c r="E1291" t="s">
        <v>4643</v>
      </c>
    </row>
    <row r="1292" spans="1:5" x14ac:dyDescent="0.25">
      <c r="A1292" t="s">
        <v>1296</v>
      </c>
      <c r="B1292">
        <v>297</v>
      </c>
      <c r="C1292" t="s">
        <v>4410</v>
      </c>
      <c r="D1292" t="s">
        <v>5006</v>
      </c>
      <c r="E1292" t="s">
        <v>4479</v>
      </c>
    </row>
    <row r="1294" spans="1:5" x14ac:dyDescent="0.25">
      <c r="A1294" t="s">
        <v>5722</v>
      </c>
    </row>
    <row r="1295" spans="1:5" x14ac:dyDescent="0.25">
      <c r="A1295" t="s">
        <v>1295</v>
      </c>
      <c r="B1295" t="s">
        <v>4394</v>
      </c>
      <c r="C1295" t="s">
        <v>109</v>
      </c>
      <c r="D1295" t="s">
        <v>4962</v>
      </c>
      <c r="E1295" t="s">
        <v>4963</v>
      </c>
    </row>
    <row r="1296" spans="1:5" x14ac:dyDescent="0.25">
      <c r="A1296" t="s">
        <v>4395</v>
      </c>
      <c r="B1296">
        <v>32</v>
      </c>
      <c r="C1296" t="s">
        <v>4695</v>
      </c>
      <c r="D1296" t="s">
        <v>5020</v>
      </c>
      <c r="E1296" t="s">
        <v>4406</v>
      </c>
    </row>
    <row r="1297" spans="1:5" x14ac:dyDescent="0.25">
      <c r="A1297" t="s">
        <v>4396</v>
      </c>
      <c r="B1297">
        <v>169</v>
      </c>
      <c r="C1297" t="s">
        <v>4406</v>
      </c>
      <c r="D1297" t="s">
        <v>5021</v>
      </c>
      <c r="E1297" t="s">
        <v>4474</v>
      </c>
    </row>
    <row r="1298" spans="1:5" x14ac:dyDescent="0.25">
      <c r="A1298" t="s">
        <v>4397</v>
      </c>
      <c r="B1298">
        <v>2</v>
      </c>
      <c r="C1298" t="s">
        <v>4406</v>
      </c>
      <c r="D1298" t="s">
        <v>4468</v>
      </c>
      <c r="E1298" t="s">
        <v>4468</v>
      </c>
    </row>
    <row r="1299" spans="1:5" x14ac:dyDescent="0.25">
      <c r="A1299" t="s">
        <v>4398</v>
      </c>
      <c r="B1299">
        <v>92</v>
      </c>
      <c r="C1299" t="s">
        <v>4825</v>
      </c>
      <c r="D1299" t="s">
        <v>5022</v>
      </c>
      <c r="E1299" t="s">
        <v>4681</v>
      </c>
    </row>
    <row r="1300" spans="1:5" x14ac:dyDescent="0.25">
      <c r="A1300" t="s">
        <v>4399</v>
      </c>
      <c r="B1300">
        <v>2</v>
      </c>
      <c r="C1300" t="s">
        <v>4406</v>
      </c>
      <c r="D1300" t="s">
        <v>4454</v>
      </c>
      <c r="E1300" t="s">
        <v>4406</v>
      </c>
    </row>
    <row r="1301" spans="1:5" x14ac:dyDescent="0.25">
      <c r="A1301" t="s">
        <v>1296</v>
      </c>
      <c r="B1301">
        <v>297</v>
      </c>
      <c r="C1301" t="s">
        <v>4410</v>
      </c>
      <c r="D1301" t="s">
        <v>5006</v>
      </c>
      <c r="E1301" t="s">
        <v>4479</v>
      </c>
    </row>
    <row r="1303" spans="1:5" x14ac:dyDescent="0.25">
      <c r="A1303" t="s">
        <v>5723</v>
      </c>
    </row>
    <row r="1304" spans="1:5" x14ac:dyDescent="0.25">
      <c r="A1304" t="s">
        <v>910</v>
      </c>
      <c r="B1304" t="s">
        <v>4394</v>
      </c>
      <c r="C1304" t="s">
        <v>109</v>
      </c>
      <c r="D1304" t="s">
        <v>4962</v>
      </c>
      <c r="E1304" t="s">
        <v>4963</v>
      </c>
    </row>
    <row r="1305" spans="1:5" x14ac:dyDescent="0.25">
      <c r="A1305" t="s">
        <v>1371</v>
      </c>
      <c r="B1305">
        <v>42</v>
      </c>
      <c r="C1305" t="s">
        <v>4406</v>
      </c>
      <c r="D1305" t="s">
        <v>5007</v>
      </c>
      <c r="E1305" t="s">
        <v>4749</v>
      </c>
    </row>
    <row r="1306" spans="1:5" x14ac:dyDescent="0.25">
      <c r="A1306" t="s">
        <v>1452</v>
      </c>
      <c r="B1306">
        <v>18</v>
      </c>
      <c r="C1306" t="s">
        <v>4406</v>
      </c>
      <c r="D1306" t="s">
        <v>4783</v>
      </c>
      <c r="E1306" t="s">
        <v>4596</v>
      </c>
    </row>
    <row r="1307" spans="1:5" x14ac:dyDescent="0.25">
      <c r="A1307" t="s">
        <v>5560</v>
      </c>
      <c r="B1307">
        <v>59</v>
      </c>
      <c r="C1307" t="s">
        <v>4419</v>
      </c>
      <c r="D1307" t="s">
        <v>5501</v>
      </c>
      <c r="E1307" t="s">
        <v>4589</v>
      </c>
    </row>
    <row r="1308" spans="1:5" x14ac:dyDescent="0.25">
      <c r="A1308" t="s">
        <v>1424</v>
      </c>
      <c r="B1308">
        <v>120</v>
      </c>
      <c r="C1308" t="s">
        <v>4406</v>
      </c>
      <c r="D1308" t="s">
        <v>4945</v>
      </c>
      <c r="E1308" t="s">
        <v>4479</v>
      </c>
    </row>
    <row r="1309" spans="1:5" x14ac:dyDescent="0.25">
      <c r="A1309" t="s">
        <v>1340</v>
      </c>
      <c r="B1309">
        <v>31</v>
      </c>
      <c r="C1309" t="s">
        <v>4713</v>
      </c>
      <c r="D1309" t="s">
        <v>4969</v>
      </c>
      <c r="E1309" t="s">
        <v>4578</v>
      </c>
    </row>
    <row r="1310" spans="1:5" x14ac:dyDescent="0.25">
      <c r="A1310" t="s">
        <v>5561</v>
      </c>
      <c r="B1310">
        <v>8</v>
      </c>
      <c r="C1310" t="s">
        <v>4406</v>
      </c>
      <c r="D1310" t="s">
        <v>4945</v>
      </c>
      <c r="E1310" t="s">
        <v>4479</v>
      </c>
    </row>
    <row r="1311" spans="1:5" x14ac:dyDescent="0.25">
      <c r="A1311" t="s">
        <v>1416</v>
      </c>
      <c r="B1311">
        <v>19</v>
      </c>
      <c r="C1311" t="s">
        <v>4406</v>
      </c>
      <c r="D1311" t="s">
        <v>4970</v>
      </c>
      <c r="E1311" t="s">
        <v>4640</v>
      </c>
    </row>
    <row r="1312" spans="1:5" x14ac:dyDescent="0.25">
      <c r="A1312" t="s">
        <v>1296</v>
      </c>
      <c r="B1312">
        <v>297</v>
      </c>
      <c r="C1312" t="s">
        <v>4410</v>
      </c>
      <c r="D1312" t="s">
        <v>5006</v>
      </c>
      <c r="E1312" t="s">
        <v>4479</v>
      </c>
    </row>
    <row r="1314" spans="1:5" x14ac:dyDescent="0.25">
      <c r="A1314" t="s">
        <v>5724</v>
      </c>
    </row>
    <row r="1315" spans="1:5" x14ac:dyDescent="0.25">
      <c r="A1315" t="s">
        <v>928</v>
      </c>
      <c r="B1315" t="s">
        <v>4394</v>
      </c>
      <c r="C1315" t="s">
        <v>109</v>
      </c>
      <c r="D1315" t="s">
        <v>4962</v>
      </c>
      <c r="E1315" t="s">
        <v>4963</v>
      </c>
    </row>
    <row r="1316" spans="1:5" x14ac:dyDescent="0.25">
      <c r="A1316" t="s">
        <v>4433</v>
      </c>
      <c r="B1316">
        <v>5</v>
      </c>
      <c r="C1316" t="s">
        <v>4406</v>
      </c>
      <c r="D1316" t="s">
        <v>4454</v>
      </c>
      <c r="E1316" t="s">
        <v>4406</v>
      </c>
    </row>
    <row r="1317" spans="1:5" x14ac:dyDescent="0.25">
      <c r="A1317" t="s">
        <v>4434</v>
      </c>
      <c r="B1317">
        <v>119</v>
      </c>
      <c r="C1317" t="s">
        <v>4419</v>
      </c>
      <c r="D1317" t="s">
        <v>5013</v>
      </c>
      <c r="E1317" t="s">
        <v>5014</v>
      </c>
    </row>
    <row r="1318" spans="1:5" x14ac:dyDescent="0.25">
      <c r="A1318" t="s">
        <v>4435</v>
      </c>
      <c r="B1318">
        <v>90</v>
      </c>
      <c r="C1318" t="s">
        <v>4406</v>
      </c>
      <c r="D1318" t="s">
        <v>4973</v>
      </c>
      <c r="E1318" t="s">
        <v>4524</v>
      </c>
    </row>
    <row r="1319" spans="1:5" x14ac:dyDescent="0.25">
      <c r="A1319" t="s">
        <v>4436</v>
      </c>
      <c r="B1319">
        <v>81</v>
      </c>
      <c r="C1319" t="s">
        <v>4406</v>
      </c>
      <c r="D1319" t="s">
        <v>5015</v>
      </c>
      <c r="E1319" t="s">
        <v>4850</v>
      </c>
    </row>
    <row r="1320" spans="1:5" x14ac:dyDescent="0.25">
      <c r="A1320" t="s">
        <v>4437</v>
      </c>
      <c r="B1320">
        <v>2</v>
      </c>
      <c r="C1320" t="s">
        <v>4406</v>
      </c>
      <c r="D1320" t="s">
        <v>4454</v>
      </c>
      <c r="E1320" t="s">
        <v>4406</v>
      </c>
    </row>
    <row r="1321" spans="1:5" x14ac:dyDescent="0.25">
      <c r="A1321" t="s">
        <v>1296</v>
      </c>
      <c r="B1321">
        <v>297</v>
      </c>
      <c r="C1321" t="s">
        <v>4410</v>
      </c>
      <c r="D1321" t="s">
        <v>5006</v>
      </c>
      <c r="E1321" t="s">
        <v>4479</v>
      </c>
    </row>
    <row r="1323" spans="1:5" x14ac:dyDescent="0.25">
      <c r="A1323" t="s">
        <v>5725</v>
      </c>
    </row>
    <row r="1324" spans="1:5" x14ac:dyDescent="0.25">
      <c r="A1324" t="s">
        <v>913</v>
      </c>
      <c r="B1324" t="s">
        <v>4394</v>
      </c>
      <c r="C1324" t="s">
        <v>109</v>
      </c>
      <c r="D1324" t="s">
        <v>4962</v>
      </c>
      <c r="E1324" t="s">
        <v>4963</v>
      </c>
    </row>
    <row r="1325" spans="1:5" x14ac:dyDescent="0.25">
      <c r="A1325" t="s">
        <v>1561</v>
      </c>
      <c r="B1325">
        <v>3</v>
      </c>
      <c r="C1325" t="s">
        <v>4406</v>
      </c>
      <c r="D1325" t="s">
        <v>4454</v>
      </c>
      <c r="E1325" t="s">
        <v>4406</v>
      </c>
    </row>
    <row r="1326" spans="1:5" x14ac:dyDescent="0.25">
      <c r="A1326" t="s">
        <v>1460</v>
      </c>
      <c r="B1326">
        <v>67</v>
      </c>
      <c r="C1326" t="s">
        <v>4406</v>
      </c>
      <c r="D1326" t="s">
        <v>5016</v>
      </c>
      <c r="E1326" t="s">
        <v>4650</v>
      </c>
    </row>
    <row r="1327" spans="1:5" x14ac:dyDescent="0.25">
      <c r="A1327" t="s">
        <v>1342</v>
      </c>
      <c r="B1327">
        <v>67</v>
      </c>
      <c r="C1327" t="s">
        <v>4406</v>
      </c>
      <c r="D1327" t="s">
        <v>4997</v>
      </c>
      <c r="E1327" t="s">
        <v>4858</v>
      </c>
    </row>
    <row r="1328" spans="1:5" x14ac:dyDescent="0.25">
      <c r="A1328" t="s">
        <v>1375</v>
      </c>
      <c r="B1328">
        <v>93</v>
      </c>
      <c r="C1328" t="s">
        <v>4581</v>
      </c>
      <c r="D1328" t="s">
        <v>5017</v>
      </c>
      <c r="E1328" t="s">
        <v>4420</v>
      </c>
    </row>
    <row r="1329" spans="1:5" x14ac:dyDescent="0.25">
      <c r="A1329" t="s">
        <v>1401</v>
      </c>
      <c r="B1329">
        <v>66</v>
      </c>
      <c r="C1329" t="s">
        <v>4406</v>
      </c>
      <c r="D1329" t="s">
        <v>5018</v>
      </c>
      <c r="E1329" t="s">
        <v>4423</v>
      </c>
    </row>
    <row r="1330" spans="1:5" x14ac:dyDescent="0.25">
      <c r="A1330" t="s">
        <v>1682</v>
      </c>
      <c r="B1330">
        <v>1</v>
      </c>
      <c r="C1330" t="s">
        <v>4406</v>
      </c>
      <c r="D1330" t="s">
        <v>4454</v>
      </c>
      <c r="E1330" t="s">
        <v>4406</v>
      </c>
    </row>
    <row r="1331" spans="1:5" x14ac:dyDescent="0.25">
      <c r="A1331" t="s">
        <v>1296</v>
      </c>
      <c r="B1331">
        <v>297</v>
      </c>
      <c r="C1331" t="s">
        <v>4410</v>
      </c>
      <c r="D1331" t="s">
        <v>5006</v>
      </c>
      <c r="E1331" t="s">
        <v>4479</v>
      </c>
    </row>
    <row r="1333" spans="1:5" x14ac:dyDescent="0.25">
      <c r="A1333" t="s">
        <v>5726</v>
      </c>
    </row>
    <row r="1334" spans="1:5" x14ac:dyDescent="0.25">
      <c r="A1334" t="s">
        <v>917</v>
      </c>
      <c r="B1334" t="s">
        <v>4394</v>
      </c>
      <c r="C1334" t="s">
        <v>109</v>
      </c>
      <c r="D1334" t="s">
        <v>4962</v>
      </c>
      <c r="E1334" t="s">
        <v>4963</v>
      </c>
    </row>
    <row r="1335" spans="1:5" x14ac:dyDescent="0.25">
      <c r="A1335" t="s">
        <v>109</v>
      </c>
      <c r="B1335">
        <v>49</v>
      </c>
      <c r="C1335" t="s">
        <v>4406</v>
      </c>
      <c r="D1335" t="s">
        <v>5019</v>
      </c>
      <c r="E1335" t="s">
        <v>4527</v>
      </c>
    </row>
    <row r="1336" spans="1:5" x14ac:dyDescent="0.25">
      <c r="A1336" t="s">
        <v>192</v>
      </c>
      <c r="B1336">
        <v>248</v>
      </c>
      <c r="C1336" t="s">
        <v>4417</v>
      </c>
      <c r="D1336" t="s">
        <v>4982</v>
      </c>
      <c r="E1336" t="s">
        <v>4869</v>
      </c>
    </row>
    <row r="1337" spans="1:5" x14ac:dyDescent="0.25">
      <c r="A1337" t="s">
        <v>1296</v>
      </c>
      <c r="B1337">
        <v>297</v>
      </c>
      <c r="C1337" t="s">
        <v>4410</v>
      </c>
      <c r="D1337" t="s">
        <v>5006</v>
      </c>
      <c r="E1337" t="s">
        <v>4479</v>
      </c>
    </row>
    <row r="1339" spans="1:5" x14ac:dyDescent="0.25">
      <c r="A1339" t="s">
        <v>5727</v>
      </c>
    </row>
    <row r="1340" spans="1:5" x14ac:dyDescent="0.25">
      <c r="A1340" t="s">
        <v>5481</v>
      </c>
      <c r="B1340" t="s">
        <v>4394</v>
      </c>
      <c r="C1340" t="s">
        <v>109</v>
      </c>
      <c r="D1340" t="s">
        <v>4962</v>
      </c>
      <c r="E1340" t="s">
        <v>4963</v>
      </c>
    </row>
    <row r="1341" spans="1:5" x14ac:dyDescent="0.25">
      <c r="A1341" t="s">
        <v>4438</v>
      </c>
      <c r="B1341">
        <v>129</v>
      </c>
      <c r="C1341" t="s">
        <v>4406</v>
      </c>
      <c r="D1341" t="s">
        <v>4996</v>
      </c>
      <c r="E1341" t="s">
        <v>4921</v>
      </c>
    </row>
    <row r="1342" spans="1:5" x14ac:dyDescent="0.25">
      <c r="A1342" t="s">
        <v>4439</v>
      </c>
      <c r="B1342">
        <v>93</v>
      </c>
      <c r="C1342" t="s">
        <v>4825</v>
      </c>
      <c r="D1342" t="s">
        <v>5001</v>
      </c>
      <c r="E1342" t="s">
        <v>4617</v>
      </c>
    </row>
    <row r="1343" spans="1:5" x14ac:dyDescent="0.25">
      <c r="A1343" t="s">
        <v>1400</v>
      </c>
      <c r="B1343">
        <v>5</v>
      </c>
      <c r="C1343" t="s">
        <v>4406</v>
      </c>
      <c r="D1343" t="s">
        <v>4834</v>
      </c>
      <c r="E1343" t="s">
        <v>4472</v>
      </c>
    </row>
    <row r="1344" spans="1:5" x14ac:dyDescent="0.25">
      <c r="A1344" t="s">
        <v>5566</v>
      </c>
      <c r="B1344">
        <v>36</v>
      </c>
      <c r="C1344" t="s">
        <v>4649</v>
      </c>
      <c r="D1344" t="s">
        <v>4857</v>
      </c>
      <c r="E1344" t="s">
        <v>4858</v>
      </c>
    </row>
    <row r="1345" spans="1:5" x14ac:dyDescent="0.25">
      <c r="A1345" t="s">
        <v>1372</v>
      </c>
      <c r="B1345">
        <v>34</v>
      </c>
      <c r="C1345" t="s">
        <v>4406</v>
      </c>
      <c r="D1345" t="s">
        <v>4454</v>
      </c>
      <c r="E1345" t="s">
        <v>4406</v>
      </c>
    </row>
    <row r="1346" spans="1:5" x14ac:dyDescent="0.25">
      <c r="A1346" t="s">
        <v>1296</v>
      </c>
      <c r="B1346">
        <v>297</v>
      </c>
      <c r="C1346" t="s">
        <v>4410</v>
      </c>
      <c r="D1346" t="s">
        <v>5006</v>
      </c>
      <c r="E1346" t="s">
        <v>4479</v>
      </c>
    </row>
    <row r="1348" spans="1:5" x14ac:dyDescent="0.25">
      <c r="A1348" t="s">
        <v>5728</v>
      </c>
    </row>
    <row r="1349" spans="1:5" x14ac:dyDescent="0.25">
      <c r="A1349" t="s">
        <v>911</v>
      </c>
      <c r="B1349" t="s">
        <v>4394</v>
      </c>
      <c r="C1349" t="s">
        <v>109</v>
      </c>
      <c r="D1349" t="s">
        <v>4962</v>
      </c>
      <c r="E1349" t="s">
        <v>4963</v>
      </c>
    </row>
    <row r="1350" spans="1:5" x14ac:dyDescent="0.25">
      <c r="A1350" t="s">
        <v>4438</v>
      </c>
      <c r="B1350">
        <v>122</v>
      </c>
      <c r="C1350" t="s">
        <v>4406</v>
      </c>
      <c r="D1350" t="s">
        <v>5023</v>
      </c>
      <c r="E1350" t="s">
        <v>4987</v>
      </c>
    </row>
    <row r="1351" spans="1:5" x14ac:dyDescent="0.25">
      <c r="A1351" t="s">
        <v>4439</v>
      </c>
      <c r="B1351">
        <v>79</v>
      </c>
      <c r="C1351" t="s">
        <v>4406</v>
      </c>
      <c r="D1351" t="s">
        <v>5024</v>
      </c>
      <c r="E1351" t="s">
        <v>4863</v>
      </c>
    </row>
    <row r="1352" spans="1:5" x14ac:dyDescent="0.25">
      <c r="A1352" t="s">
        <v>1400</v>
      </c>
      <c r="B1352">
        <v>19</v>
      </c>
      <c r="C1352" t="s">
        <v>4406</v>
      </c>
      <c r="D1352" t="s">
        <v>4407</v>
      </c>
      <c r="E1352" t="s">
        <v>4504</v>
      </c>
    </row>
    <row r="1353" spans="1:5" x14ac:dyDescent="0.25">
      <c r="A1353" t="s">
        <v>1340</v>
      </c>
      <c r="B1353">
        <v>31</v>
      </c>
      <c r="C1353" t="s">
        <v>4713</v>
      </c>
      <c r="D1353" t="s">
        <v>4969</v>
      </c>
      <c r="E1353" t="s">
        <v>4578</v>
      </c>
    </row>
    <row r="1354" spans="1:5" x14ac:dyDescent="0.25">
      <c r="A1354" t="s">
        <v>1426</v>
      </c>
      <c r="B1354">
        <v>8</v>
      </c>
      <c r="C1354" t="s">
        <v>4479</v>
      </c>
      <c r="D1354" t="s">
        <v>4945</v>
      </c>
      <c r="E1354" t="s">
        <v>4406</v>
      </c>
    </row>
    <row r="1355" spans="1:5" x14ac:dyDescent="0.25">
      <c r="A1355" t="s">
        <v>1372</v>
      </c>
      <c r="B1355">
        <v>38</v>
      </c>
      <c r="C1355" t="s">
        <v>4406</v>
      </c>
      <c r="D1355" t="s">
        <v>4454</v>
      </c>
      <c r="E1355" t="s">
        <v>4406</v>
      </c>
    </row>
    <row r="1356" spans="1:5" x14ac:dyDescent="0.25">
      <c r="A1356" t="s">
        <v>1296</v>
      </c>
      <c r="B1356">
        <v>297</v>
      </c>
      <c r="C1356" t="s">
        <v>4410</v>
      </c>
      <c r="D1356" t="s">
        <v>5006</v>
      </c>
      <c r="E1356" t="s">
        <v>4479</v>
      </c>
    </row>
    <row r="1358" spans="1:5" x14ac:dyDescent="0.25">
      <c r="A1358" t="s">
        <v>5729</v>
      </c>
    </row>
    <row r="1359" spans="1:5" x14ac:dyDescent="0.25">
      <c r="A1359" t="s">
        <v>920</v>
      </c>
      <c r="B1359" t="s">
        <v>4394</v>
      </c>
      <c r="C1359" t="s">
        <v>109</v>
      </c>
      <c r="D1359" t="s">
        <v>4962</v>
      </c>
      <c r="E1359" t="s">
        <v>4963</v>
      </c>
    </row>
    <row r="1360" spans="1:5" x14ac:dyDescent="0.25">
      <c r="A1360" t="s">
        <v>1343</v>
      </c>
      <c r="B1360">
        <v>170</v>
      </c>
      <c r="C1360" t="s">
        <v>4413</v>
      </c>
      <c r="D1360" t="s">
        <v>5027</v>
      </c>
      <c r="E1360" t="s">
        <v>4950</v>
      </c>
    </row>
    <row r="1361" spans="1:5" x14ac:dyDescent="0.25">
      <c r="A1361" t="s">
        <v>1345</v>
      </c>
      <c r="B1361">
        <v>75</v>
      </c>
      <c r="C1361" t="s">
        <v>4406</v>
      </c>
      <c r="D1361" t="s">
        <v>4974</v>
      </c>
      <c r="E1361" t="s">
        <v>4992</v>
      </c>
    </row>
    <row r="1362" spans="1:5" x14ac:dyDescent="0.25">
      <c r="A1362" t="s">
        <v>1466</v>
      </c>
      <c r="B1362">
        <v>50</v>
      </c>
      <c r="C1362" t="s">
        <v>4744</v>
      </c>
      <c r="D1362" t="s">
        <v>5028</v>
      </c>
      <c r="E1362" t="s">
        <v>4921</v>
      </c>
    </row>
    <row r="1363" spans="1:5" x14ac:dyDescent="0.25">
      <c r="A1363" t="s">
        <v>5554</v>
      </c>
      <c r="B1363">
        <v>2</v>
      </c>
      <c r="C1363" t="s">
        <v>4406</v>
      </c>
      <c r="D1363" t="s">
        <v>4454</v>
      </c>
      <c r="E1363" t="s">
        <v>4406</v>
      </c>
    </row>
    <row r="1364" spans="1:5" x14ac:dyDescent="0.25">
      <c r="A1364" t="s">
        <v>1296</v>
      </c>
      <c r="B1364">
        <v>297</v>
      </c>
      <c r="C1364" t="s">
        <v>4410</v>
      </c>
      <c r="D1364" t="s">
        <v>5006</v>
      </c>
      <c r="E1364" t="s">
        <v>4479</v>
      </c>
    </row>
    <row r="1366" spans="1:5" x14ac:dyDescent="0.25">
      <c r="A1366" t="s">
        <v>5730</v>
      </c>
    </row>
    <row r="1367" spans="1:5" x14ac:dyDescent="0.25">
      <c r="A1367" t="s">
        <v>903</v>
      </c>
      <c r="B1367" t="s">
        <v>4394</v>
      </c>
      <c r="C1367" t="s">
        <v>109</v>
      </c>
      <c r="D1367" t="s">
        <v>4962</v>
      </c>
      <c r="E1367" t="s">
        <v>4963</v>
      </c>
    </row>
    <row r="1368" spans="1:5" x14ac:dyDescent="0.25">
      <c r="A1368" t="s">
        <v>70</v>
      </c>
      <c r="B1368">
        <v>85</v>
      </c>
      <c r="C1368" t="s">
        <v>4406</v>
      </c>
      <c r="D1368" t="s">
        <v>5032</v>
      </c>
      <c r="E1368" t="s">
        <v>4950</v>
      </c>
    </row>
    <row r="1369" spans="1:5" x14ac:dyDescent="0.25">
      <c r="A1369" t="s">
        <v>71</v>
      </c>
      <c r="B1369">
        <v>212</v>
      </c>
      <c r="C1369" t="s">
        <v>4902</v>
      </c>
      <c r="D1369" t="s">
        <v>5033</v>
      </c>
      <c r="E1369" t="s">
        <v>4671</v>
      </c>
    </row>
    <row r="1370" spans="1:5" x14ac:dyDescent="0.25">
      <c r="A1370" t="s">
        <v>1296</v>
      </c>
      <c r="B1370">
        <v>297</v>
      </c>
      <c r="C1370" t="s">
        <v>4410</v>
      </c>
      <c r="D1370" t="s">
        <v>5006</v>
      </c>
      <c r="E1370" t="s">
        <v>4479</v>
      </c>
    </row>
    <row r="1372" spans="1:5" x14ac:dyDescent="0.25">
      <c r="A1372" t="s">
        <v>5731</v>
      </c>
    </row>
    <row r="1373" spans="1:5" x14ac:dyDescent="0.25">
      <c r="A1373" t="s">
        <v>1297</v>
      </c>
      <c r="B1373" t="s">
        <v>4394</v>
      </c>
      <c r="C1373" t="s">
        <v>4732</v>
      </c>
      <c r="D1373" t="s">
        <v>109</v>
      </c>
      <c r="E1373" t="s">
        <v>192</v>
      </c>
    </row>
    <row r="1374" spans="1:5" x14ac:dyDescent="0.25">
      <c r="A1374" t="s">
        <v>5549</v>
      </c>
      <c r="B1374">
        <v>198</v>
      </c>
      <c r="C1374" t="s">
        <v>4402</v>
      </c>
      <c r="D1374" t="s">
        <v>4854</v>
      </c>
      <c r="E1374" t="s">
        <v>5024</v>
      </c>
    </row>
    <row r="1375" spans="1:5" x14ac:dyDescent="0.25">
      <c r="A1375" t="s">
        <v>1397</v>
      </c>
      <c r="B1375">
        <v>99</v>
      </c>
      <c r="C1375" t="s">
        <v>4406</v>
      </c>
      <c r="D1375" t="s">
        <v>4570</v>
      </c>
      <c r="E1375" t="s">
        <v>4727</v>
      </c>
    </row>
    <row r="1376" spans="1:5" x14ac:dyDescent="0.25">
      <c r="A1376" t="s">
        <v>1296</v>
      </c>
      <c r="B1376">
        <v>297</v>
      </c>
      <c r="C1376" t="s">
        <v>4410</v>
      </c>
      <c r="D1376" t="s">
        <v>4451</v>
      </c>
      <c r="E1376" t="s">
        <v>5034</v>
      </c>
    </row>
    <row r="1378" spans="1:5" x14ac:dyDescent="0.25">
      <c r="A1378" t="s">
        <v>5732</v>
      </c>
    </row>
    <row r="1379" spans="1:5" x14ac:dyDescent="0.25">
      <c r="A1379" t="s">
        <v>906</v>
      </c>
      <c r="B1379" t="s">
        <v>4394</v>
      </c>
      <c r="C1379" t="s">
        <v>4732</v>
      </c>
      <c r="D1379" t="s">
        <v>109</v>
      </c>
      <c r="E1379" t="s">
        <v>192</v>
      </c>
    </row>
    <row r="1380" spans="1:5" x14ac:dyDescent="0.25">
      <c r="A1380" t="s">
        <v>1338</v>
      </c>
      <c r="B1380">
        <v>46</v>
      </c>
      <c r="C1380" t="s">
        <v>4406</v>
      </c>
      <c r="D1380" t="s">
        <v>4687</v>
      </c>
      <c r="E1380" t="s">
        <v>4967</v>
      </c>
    </row>
    <row r="1381" spans="1:5" x14ac:dyDescent="0.25">
      <c r="A1381" t="s">
        <v>1370</v>
      </c>
      <c r="B1381">
        <v>33</v>
      </c>
      <c r="C1381" t="s">
        <v>4626</v>
      </c>
      <c r="D1381" t="s">
        <v>4453</v>
      </c>
      <c r="E1381" t="s">
        <v>4469</v>
      </c>
    </row>
    <row r="1382" spans="1:5" x14ac:dyDescent="0.25">
      <c r="A1382" t="s">
        <v>1439</v>
      </c>
      <c r="B1382">
        <v>21</v>
      </c>
      <c r="C1382" t="s">
        <v>4406</v>
      </c>
      <c r="D1382" t="s">
        <v>4465</v>
      </c>
      <c r="E1382" t="s">
        <v>4469</v>
      </c>
    </row>
    <row r="1383" spans="1:5" x14ac:dyDescent="0.25">
      <c r="A1383" t="s">
        <v>1476</v>
      </c>
      <c r="B1383">
        <v>71</v>
      </c>
      <c r="C1383" t="s">
        <v>4406</v>
      </c>
      <c r="D1383" t="s">
        <v>4599</v>
      </c>
      <c r="E1383" t="s">
        <v>5037</v>
      </c>
    </row>
    <row r="1384" spans="1:5" x14ac:dyDescent="0.25">
      <c r="A1384" t="s">
        <v>5476</v>
      </c>
      <c r="B1384">
        <v>6</v>
      </c>
      <c r="C1384" t="s">
        <v>4406</v>
      </c>
      <c r="D1384" t="s">
        <v>4468</v>
      </c>
      <c r="E1384" t="s">
        <v>4468</v>
      </c>
    </row>
    <row r="1385" spans="1:5" x14ac:dyDescent="0.25">
      <c r="A1385" t="s">
        <v>1399</v>
      </c>
      <c r="B1385">
        <v>44</v>
      </c>
      <c r="C1385" t="s">
        <v>4406</v>
      </c>
      <c r="D1385" t="s">
        <v>4492</v>
      </c>
      <c r="E1385" t="s">
        <v>4767</v>
      </c>
    </row>
    <row r="1386" spans="1:5" x14ac:dyDescent="0.25">
      <c r="A1386" t="s">
        <v>1415</v>
      </c>
      <c r="B1386">
        <v>76</v>
      </c>
      <c r="C1386" t="s">
        <v>4659</v>
      </c>
      <c r="D1386" t="s">
        <v>4524</v>
      </c>
      <c r="E1386" t="s">
        <v>5038</v>
      </c>
    </row>
    <row r="1387" spans="1:5" x14ac:dyDescent="0.25">
      <c r="A1387" t="s">
        <v>1296</v>
      </c>
      <c r="B1387">
        <v>297</v>
      </c>
      <c r="C1387" t="s">
        <v>4410</v>
      </c>
      <c r="D1387" t="s">
        <v>4451</v>
      </c>
      <c r="E1387" t="s">
        <v>5034</v>
      </c>
    </row>
    <row r="1389" spans="1:5" x14ac:dyDescent="0.25">
      <c r="A1389" t="s">
        <v>5733</v>
      </c>
    </row>
    <row r="1390" spans="1:5" x14ac:dyDescent="0.25">
      <c r="A1390" t="s">
        <v>907</v>
      </c>
      <c r="B1390" t="s">
        <v>4394</v>
      </c>
      <c r="C1390" t="s">
        <v>4732</v>
      </c>
      <c r="D1390" t="s">
        <v>109</v>
      </c>
      <c r="E1390" t="s">
        <v>192</v>
      </c>
    </row>
    <row r="1391" spans="1:5" x14ac:dyDescent="0.25">
      <c r="A1391" t="s">
        <v>109</v>
      </c>
      <c r="B1391">
        <v>257</v>
      </c>
      <c r="C1391" t="s">
        <v>4417</v>
      </c>
      <c r="D1391" t="s">
        <v>5039</v>
      </c>
      <c r="E1391" t="s">
        <v>4988</v>
      </c>
    </row>
    <row r="1392" spans="1:5" x14ac:dyDescent="0.25">
      <c r="A1392" t="s">
        <v>192</v>
      </c>
      <c r="B1392">
        <v>40</v>
      </c>
      <c r="C1392" t="s">
        <v>4406</v>
      </c>
      <c r="D1392" t="s">
        <v>4489</v>
      </c>
      <c r="E1392" t="s">
        <v>4782</v>
      </c>
    </row>
    <row r="1393" spans="1:5" x14ac:dyDescent="0.25">
      <c r="A1393" t="s">
        <v>1296</v>
      </c>
      <c r="B1393">
        <v>297</v>
      </c>
      <c r="C1393" t="s">
        <v>4410</v>
      </c>
      <c r="D1393" t="s">
        <v>4451</v>
      </c>
      <c r="E1393" t="s">
        <v>5034</v>
      </c>
    </row>
    <row r="1395" spans="1:5" x14ac:dyDescent="0.25">
      <c r="A1395" t="s">
        <v>5734</v>
      </c>
    </row>
    <row r="1396" spans="1:5" x14ac:dyDescent="0.25">
      <c r="A1396" t="s">
        <v>929</v>
      </c>
      <c r="B1396" t="s">
        <v>4394</v>
      </c>
      <c r="C1396" t="s">
        <v>4732</v>
      </c>
      <c r="D1396" t="s">
        <v>109</v>
      </c>
      <c r="E1396" t="s">
        <v>192</v>
      </c>
    </row>
    <row r="1397" spans="1:5" x14ac:dyDescent="0.25">
      <c r="A1397" t="s">
        <v>1664</v>
      </c>
      <c r="B1397">
        <v>2</v>
      </c>
      <c r="C1397" t="s">
        <v>4406</v>
      </c>
      <c r="D1397" t="s">
        <v>4454</v>
      </c>
      <c r="E1397" t="s">
        <v>4406</v>
      </c>
    </row>
    <row r="1398" spans="1:5" x14ac:dyDescent="0.25">
      <c r="A1398" t="s">
        <v>1315</v>
      </c>
      <c r="B1398">
        <v>197</v>
      </c>
      <c r="C1398" t="s">
        <v>4402</v>
      </c>
      <c r="D1398" t="s">
        <v>4507</v>
      </c>
      <c r="E1398" t="s">
        <v>5035</v>
      </c>
    </row>
    <row r="1399" spans="1:5" x14ac:dyDescent="0.25">
      <c r="A1399" t="s">
        <v>1353</v>
      </c>
      <c r="B1399">
        <v>98</v>
      </c>
      <c r="C1399" t="s">
        <v>4406</v>
      </c>
      <c r="D1399" t="s">
        <v>4765</v>
      </c>
      <c r="E1399" t="s">
        <v>5036</v>
      </c>
    </row>
    <row r="1400" spans="1:5" x14ac:dyDescent="0.25">
      <c r="A1400" t="s">
        <v>1296</v>
      </c>
      <c r="B1400">
        <v>297</v>
      </c>
      <c r="C1400" t="s">
        <v>4410</v>
      </c>
      <c r="D1400" t="s">
        <v>4451</v>
      </c>
      <c r="E1400" t="s">
        <v>5034</v>
      </c>
    </row>
    <row r="1402" spans="1:5" x14ac:dyDescent="0.25">
      <c r="A1402" t="s">
        <v>5735</v>
      </c>
    </row>
    <row r="1403" spans="1:5" x14ac:dyDescent="0.25">
      <c r="A1403" t="s">
        <v>931</v>
      </c>
      <c r="B1403" t="s">
        <v>4394</v>
      </c>
      <c r="C1403" t="s">
        <v>4732</v>
      </c>
      <c r="D1403" t="s">
        <v>109</v>
      </c>
      <c r="E1403" t="s">
        <v>192</v>
      </c>
    </row>
    <row r="1404" spans="1:5" x14ac:dyDescent="0.25">
      <c r="A1404" t="s">
        <v>4875</v>
      </c>
      <c r="B1404">
        <v>13</v>
      </c>
      <c r="C1404" t="s">
        <v>4406</v>
      </c>
      <c r="D1404" t="s">
        <v>4474</v>
      </c>
      <c r="E1404" t="s">
        <v>5021</v>
      </c>
    </row>
    <row r="1405" spans="1:5" x14ac:dyDescent="0.25">
      <c r="A1405" t="s">
        <v>4876</v>
      </c>
      <c r="B1405">
        <v>88</v>
      </c>
      <c r="C1405" t="s">
        <v>4406</v>
      </c>
      <c r="D1405" t="s">
        <v>4405</v>
      </c>
      <c r="E1405" t="s">
        <v>4401</v>
      </c>
    </row>
    <row r="1406" spans="1:5" x14ac:dyDescent="0.25">
      <c r="A1406" t="s">
        <v>4877</v>
      </c>
      <c r="B1406">
        <v>1</v>
      </c>
      <c r="C1406" t="s">
        <v>4406</v>
      </c>
      <c r="D1406" t="s">
        <v>4454</v>
      </c>
      <c r="E1406" t="s">
        <v>4406</v>
      </c>
    </row>
    <row r="1407" spans="1:5" x14ac:dyDescent="0.25">
      <c r="A1407" t="s">
        <v>4878</v>
      </c>
      <c r="B1407">
        <v>12</v>
      </c>
      <c r="C1407" t="s">
        <v>4406</v>
      </c>
      <c r="D1407" t="s">
        <v>4462</v>
      </c>
      <c r="E1407" t="s">
        <v>4793</v>
      </c>
    </row>
    <row r="1408" spans="1:5" x14ac:dyDescent="0.25">
      <c r="A1408" t="s">
        <v>4879</v>
      </c>
      <c r="B1408">
        <v>147</v>
      </c>
      <c r="C1408" t="s">
        <v>4750</v>
      </c>
      <c r="D1408" t="s">
        <v>4520</v>
      </c>
      <c r="E1408" t="s">
        <v>4819</v>
      </c>
    </row>
    <row r="1409" spans="1:15" x14ac:dyDescent="0.25">
      <c r="A1409" t="s">
        <v>4880</v>
      </c>
      <c r="B1409">
        <v>36</v>
      </c>
      <c r="C1409" t="s">
        <v>4406</v>
      </c>
      <c r="D1409" t="s">
        <v>4676</v>
      </c>
      <c r="E1409" t="s">
        <v>5005</v>
      </c>
    </row>
    <row r="1410" spans="1:15" x14ac:dyDescent="0.25">
      <c r="A1410" t="s">
        <v>1296</v>
      </c>
      <c r="B1410">
        <v>297</v>
      </c>
      <c r="C1410" t="s">
        <v>4410</v>
      </c>
      <c r="D1410" t="s">
        <v>4451</v>
      </c>
      <c r="E1410" t="s">
        <v>5034</v>
      </c>
    </row>
    <row r="1412" spans="1:15" x14ac:dyDescent="0.25">
      <c r="A1412" t="s">
        <v>5736</v>
      </c>
    </row>
    <row r="1413" spans="1:15" x14ac:dyDescent="0.25">
      <c r="A1413" t="s">
        <v>903</v>
      </c>
      <c r="B1413" t="s">
        <v>4394</v>
      </c>
      <c r="C1413" t="s">
        <v>4732</v>
      </c>
      <c r="D1413" t="s">
        <v>109</v>
      </c>
      <c r="E1413" t="s">
        <v>192</v>
      </c>
    </row>
    <row r="1414" spans="1:15" x14ac:dyDescent="0.25">
      <c r="A1414" t="s">
        <v>70</v>
      </c>
      <c r="B1414">
        <v>85</v>
      </c>
      <c r="C1414" t="s">
        <v>4422</v>
      </c>
      <c r="D1414" t="s">
        <v>4568</v>
      </c>
      <c r="E1414" t="s">
        <v>4822</v>
      </c>
    </row>
    <row r="1415" spans="1:15" x14ac:dyDescent="0.25">
      <c r="A1415" t="s">
        <v>71</v>
      </c>
      <c r="B1415">
        <v>212</v>
      </c>
      <c r="C1415" t="s">
        <v>4404</v>
      </c>
      <c r="D1415" t="s">
        <v>4933</v>
      </c>
      <c r="E1415" t="s">
        <v>5041</v>
      </c>
    </row>
    <row r="1416" spans="1:15" x14ac:dyDescent="0.25">
      <c r="A1416" t="s">
        <v>1296</v>
      </c>
      <c r="B1416">
        <v>297</v>
      </c>
      <c r="C1416" t="s">
        <v>4410</v>
      </c>
      <c r="D1416" t="s">
        <v>4451</v>
      </c>
      <c r="E1416" t="s">
        <v>5034</v>
      </c>
    </row>
    <row r="1418" spans="1:15" x14ac:dyDescent="0.25">
      <c r="A1418" t="s">
        <v>5737</v>
      </c>
    </row>
    <row r="1419" spans="1:15" x14ac:dyDescent="0.25">
      <c r="A1419" t="s">
        <v>1297</v>
      </c>
      <c r="B1419" t="s">
        <v>4394</v>
      </c>
      <c r="C1419" t="s">
        <v>5042</v>
      </c>
      <c r="D1419" t="s">
        <v>5043</v>
      </c>
      <c r="E1419" t="s">
        <v>4732</v>
      </c>
      <c r="F1419" t="s">
        <v>5044</v>
      </c>
      <c r="G1419" t="s">
        <v>5045</v>
      </c>
      <c r="H1419" t="s">
        <v>5046</v>
      </c>
      <c r="I1419" t="s">
        <v>5047</v>
      </c>
      <c r="J1419" t="s">
        <v>5048</v>
      </c>
      <c r="K1419" t="s">
        <v>4736</v>
      </c>
      <c r="L1419" t="s">
        <v>4737</v>
      </c>
      <c r="M1419" t="s">
        <v>5049</v>
      </c>
      <c r="N1419" t="s">
        <v>5050</v>
      </c>
      <c r="O1419" t="s">
        <v>5051</v>
      </c>
    </row>
    <row r="1420" spans="1:15" x14ac:dyDescent="0.25">
      <c r="A1420" t="s">
        <v>5549</v>
      </c>
      <c r="B1420">
        <v>198</v>
      </c>
      <c r="C1420" t="s">
        <v>4645</v>
      </c>
      <c r="D1420" t="s">
        <v>4660</v>
      </c>
      <c r="E1420" t="s">
        <v>4883</v>
      </c>
      <c r="F1420" t="s">
        <v>4676</v>
      </c>
      <c r="G1420" t="s">
        <v>5052</v>
      </c>
      <c r="H1420" t="s">
        <v>4676</v>
      </c>
      <c r="I1420" t="s">
        <v>4404</v>
      </c>
      <c r="J1420" t="s">
        <v>4999</v>
      </c>
      <c r="K1420" t="s">
        <v>4402</v>
      </c>
      <c r="L1420" t="s">
        <v>4406</v>
      </c>
      <c r="M1420" t="s">
        <v>4754</v>
      </c>
      <c r="N1420" t="s">
        <v>5053</v>
      </c>
      <c r="O1420" t="s">
        <v>4883</v>
      </c>
    </row>
    <row r="1421" spans="1:15" x14ac:dyDescent="0.25">
      <c r="A1421" t="s">
        <v>1397</v>
      </c>
      <c r="B1421">
        <v>99</v>
      </c>
      <c r="C1421" t="s">
        <v>4744</v>
      </c>
      <c r="D1421" t="s">
        <v>4402</v>
      </c>
      <c r="E1421" t="s">
        <v>5054</v>
      </c>
      <c r="F1421" t="s">
        <v>4628</v>
      </c>
      <c r="G1421" t="s">
        <v>5055</v>
      </c>
      <c r="H1421" t="s">
        <v>4627</v>
      </c>
      <c r="I1421" t="s">
        <v>4744</v>
      </c>
      <c r="J1421" t="s">
        <v>4940</v>
      </c>
      <c r="K1421" t="s">
        <v>4626</v>
      </c>
      <c r="L1421" t="s">
        <v>4406</v>
      </c>
      <c r="M1421" t="s">
        <v>4625</v>
      </c>
      <c r="N1421" t="s">
        <v>4852</v>
      </c>
      <c r="O1421" t="s">
        <v>4883</v>
      </c>
    </row>
    <row r="1422" spans="1:15" x14ac:dyDescent="0.25">
      <c r="A1422" t="s">
        <v>1296</v>
      </c>
      <c r="B1422">
        <v>297</v>
      </c>
      <c r="C1422" t="s">
        <v>4424</v>
      </c>
      <c r="D1422" t="s">
        <v>4626</v>
      </c>
      <c r="E1422" t="s">
        <v>4539</v>
      </c>
      <c r="F1422" t="s">
        <v>4617</v>
      </c>
      <c r="G1422" t="s">
        <v>4814</v>
      </c>
      <c r="H1422" t="s">
        <v>4852</v>
      </c>
      <c r="I1422" t="s">
        <v>4402</v>
      </c>
      <c r="J1422" t="s">
        <v>4617</v>
      </c>
      <c r="K1422" t="s">
        <v>4419</v>
      </c>
      <c r="L1422" t="s">
        <v>4406</v>
      </c>
      <c r="M1422" t="s">
        <v>4548</v>
      </c>
      <c r="N1422" t="s">
        <v>4731</v>
      </c>
      <c r="O1422" t="s">
        <v>4883</v>
      </c>
    </row>
    <row r="1424" spans="1:15" x14ac:dyDescent="0.25">
      <c r="A1424" t="s">
        <v>5738</v>
      </c>
    </row>
    <row r="1425" spans="1:15" x14ac:dyDescent="0.25">
      <c r="A1425" t="s">
        <v>937</v>
      </c>
      <c r="B1425" t="s">
        <v>4394</v>
      </c>
      <c r="C1425" t="s">
        <v>5042</v>
      </c>
      <c r="D1425" t="s">
        <v>5043</v>
      </c>
      <c r="E1425" t="s">
        <v>4732</v>
      </c>
      <c r="F1425" t="s">
        <v>5044</v>
      </c>
      <c r="G1425" t="s">
        <v>5045</v>
      </c>
      <c r="H1425" t="s">
        <v>5046</v>
      </c>
      <c r="I1425" t="s">
        <v>5047</v>
      </c>
      <c r="J1425" t="s">
        <v>5048</v>
      </c>
      <c r="K1425" t="s">
        <v>4736</v>
      </c>
      <c r="L1425" t="s">
        <v>4737</v>
      </c>
      <c r="M1425" t="s">
        <v>5049</v>
      </c>
      <c r="N1425" t="s">
        <v>5050</v>
      </c>
      <c r="O1425" t="s">
        <v>5051</v>
      </c>
    </row>
    <row r="1426" spans="1:15" x14ac:dyDescent="0.25">
      <c r="A1426" t="s">
        <v>1398</v>
      </c>
      <c r="B1426">
        <v>58</v>
      </c>
      <c r="C1426" t="s">
        <v>4419</v>
      </c>
      <c r="D1426" t="s">
        <v>4887</v>
      </c>
      <c r="E1426" t="s">
        <v>4470</v>
      </c>
      <c r="F1426" t="s">
        <v>4686</v>
      </c>
      <c r="G1426" t="s">
        <v>5073</v>
      </c>
      <c r="H1426" t="s">
        <v>4539</v>
      </c>
      <c r="I1426" t="s">
        <v>4419</v>
      </c>
      <c r="J1426" t="s">
        <v>4888</v>
      </c>
      <c r="K1426" t="s">
        <v>4888</v>
      </c>
      <c r="L1426" t="s">
        <v>4406</v>
      </c>
      <c r="M1426" t="s">
        <v>5074</v>
      </c>
      <c r="N1426" t="s">
        <v>4820</v>
      </c>
      <c r="O1426" t="s">
        <v>4860</v>
      </c>
    </row>
    <row r="1427" spans="1:15" x14ac:dyDescent="0.25">
      <c r="A1427" t="s">
        <v>1337</v>
      </c>
      <c r="B1427">
        <v>156</v>
      </c>
      <c r="C1427" t="s">
        <v>4952</v>
      </c>
      <c r="D1427" t="s">
        <v>4713</v>
      </c>
      <c r="E1427" t="s">
        <v>4681</v>
      </c>
      <c r="F1427" t="s">
        <v>4494</v>
      </c>
      <c r="G1427" t="s">
        <v>5075</v>
      </c>
      <c r="H1427" t="s">
        <v>4403</v>
      </c>
      <c r="I1427" t="s">
        <v>4413</v>
      </c>
      <c r="J1427" t="s">
        <v>4943</v>
      </c>
      <c r="K1427" t="s">
        <v>4952</v>
      </c>
      <c r="L1427" t="s">
        <v>4406</v>
      </c>
      <c r="M1427" t="s">
        <v>4960</v>
      </c>
      <c r="N1427" t="s">
        <v>4551</v>
      </c>
      <c r="O1427" t="s">
        <v>4400</v>
      </c>
    </row>
    <row r="1428" spans="1:15" x14ac:dyDescent="0.25">
      <c r="A1428" t="s">
        <v>1369</v>
      </c>
      <c r="B1428">
        <v>83</v>
      </c>
      <c r="C1428" t="s">
        <v>5076</v>
      </c>
      <c r="D1428" t="s">
        <v>4406</v>
      </c>
      <c r="E1428" t="s">
        <v>4607</v>
      </c>
      <c r="F1428" t="s">
        <v>4403</v>
      </c>
      <c r="G1428" t="s">
        <v>5077</v>
      </c>
      <c r="H1428" t="s">
        <v>4559</v>
      </c>
      <c r="I1428" t="s">
        <v>4422</v>
      </c>
      <c r="J1428" t="s">
        <v>4843</v>
      </c>
      <c r="K1428" t="s">
        <v>4406</v>
      </c>
      <c r="L1428" t="s">
        <v>4406</v>
      </c>
      <c r="M1428" t="s">
        <v>4408</v>
      </c>
      <c r="N1428" t="s">
        <v>4591</v>
      </c>
      <c r="O1428" t="s">
        <v>4707</v>
      </c>
    </row>
    <row r="1429" spans="1:15" x14ac:dyDescent="0.25">
      <c r="A1429" t="s">
        <v>1296</v>
      </c>
      <c r="B1429">
        <v>297</v>
      </c>
      <c r="C1429" t="s">
        <v>4424</v>
      </c>
      <c r="D1429" t="s">
        <v>4626</v>
      </c>
      <c r="E1429" t="s">
        <v>4539</v>
      </c>
      <c r="F1429" t="s">
        <v>4617</v>
      </c>
      <c r="G1429" t="s">
        <v>4814</v>
      </c>
      <c r="H1429" t="s">
        <v>4852</v>
      </c>
      <c r="I1429" t="s">
        <v>4402</v>
      </c>
      <c r="J1429" t="s">
        <v>4617</v>
      </c>
      <c r="K1429" t="s">
        <v>4419</v>
      </c>
      <c r="L1429" t="s">
        <v>4406</v>
      </c>
      <c r="M1429" t="s">
        <v>4548</v>
      </c>
      <c r="N1429" t="s">
        <v>4731</v>
      </c>
      <c r="O1429" t="s">
        <v>4883</v>
      </c>
    </row>
    <row r="1431" spans="1:15" x14ac:dyDescent="0.25">
      <c r="A1431" t="s">
        <v>5739</v>
      </c>
    </row>
    <row r="1432" spans="1:15" x14ac:dyDescent="0.25">
      <c r="A1432" t="s">
        <v>906</v>
      </c>
      <c r="B1432" t="s">
        <v>4394</v>
      </c>
      <c r="C1432" t="s">
        <v>5042</v>
      </c>
      <c r="D1432" t="s">
        <v>5043</v>
      </c>
      <c r="E1432" t="s">
        <v>4732</v>
      </c>
      <c r="F1432" t="s">
        <v>5044</v>
      </c>
      <c r="G1432" t="s">
        <v>5045</v>
      </c>
      <c r="H1432" t="s">
        <v>5046</v>
      </c>
      <c r="I1432" t="s">
        <v>5047</v>
      </c>
      <c r="J1432" t="s">
        <v>5048</v>
      </c>
      <c r="K1432" t="s">
        <v>4736</v>
      </c>
      <c r="L1432" t="s">
        <v>4737</v>
      </c>
      <c r="M1432" t="s">
        <v>5049</v>
      </c>
      <c r="N1432" t="s">
        <v>5050</v>
      </c>
      <c r="O1432" t="s">
        <v>5051</v>
      </c>
    </row>
    <row r="1433" spans="1:15" x14ac:dyDescent="0.25">
      <c r="A1433" t="s">
        <v>1338</v>
      </c>
      <c r="B1433">
        <v>46</v>
      </c>
      <c r="C1433" t="s">
        <v>4581</v>
      </c>
      <c r="D1433" t="s">
        <v>4681</v>
      </c>
      <c r="E1433" t="s">
        <v>4670</v>
      </c>
      <c r="F1433" t="s">
        <v>4663</v>
      </c>
      <c r="G1433" t="s">
        <v>4579</v>
      </c>
      <c r="H1433" t="s">
        <v>4606</v>
      </c>
      <c r="I1433" t="s">
        <v>4406</v>
      </c>
      <c r="J1433" t="s">
        <v>4667</v>
      </c>
      <c r="K1433" t="s">
        <v>4581</v>
      </c>
      <c r="L1433" t="s">
        <v>4406</v>
      </c>
      <c r="M1433" t="s">
        <v>4687</v>
      </c>
      <c r="N1433" t="s">
        <v>4664</v>
      </c>
      <c r="O1433" t="s">
        <v>4667</v>
      </c>
    </row>
    <row r="1434" spans="1:15" x14ac:dyDescent="0.25">
      <c r="A1434" t="s">
        <v>1370</v>
      </c>
      <c r="B1434">
        <v>33</v>
      </c>
      <c r="C1434" t="s">
        <v>4406</v>
      </c>
      <c r="D1434" t="s">
        <v>4406</v>
      </c>
      <c r="E1434" t="s">
        <v>4852</v>
      </c>
      <c r="F1434" t="s">
        <v>4863</v>
      </c>
      <c r="G1434" t="s">
        <v>4781</v>
      </c>
      <c r="H1434" t="s">
        <v>4741</v>
      </c>
      <c r="I1434" t="s">
        <v>4406</v>
      </c>
      <c r="J1434" t="s">
        <v>4852</v>
      </c>
      <c r="K1434" t="s">
        <v>4741</v>
      </c>
      <c r="L1434" t="s">
        <v>4406</v>
      </c>
      <c r="M1434" t="s">
        <v>4451</v>
      </c>
      <c r="N1434" t="s">
        <v>4863</v>
      </c>
      <c r="O1434" t="s">
        <v>4852</v>
      </c>
    </row>
    <row r="1435" spans="1:15" x14ac:dyDescent="0.25">
      <c r="A1435" t="s">
        <v>1439</v>
      </c>
      <c r="B1435">
        <v>21</v>
      </c>
      <c r="C1435" t="s">
        <v>4749</v>
      </c>
      <c r="D1435" t="s">
        <v>4749</v>
      </c>
      <c r="E1435" t="s">
        <v>4675</v>
      </c>
      <c r="F1435" t="s">
        <v>4406</v>
      </c>
      <c r="G1435" t="s">
        <v>4836</v>
      </c>
      <c r="H1435" t="s">
        <v>4522</v>
      </c>
      <c r="I1435" t="s">
        <v>4406</v>
      </c>
      <c r="J1435" t="s">
        <v>4749</v>
      </c>
      <c r="K1435" t="s">
        <v>4406</v>
      </c>
      <c r="L1435" t="s">
        <v>4406</v>
      </c>
      <c r="M1435" t="s">
        <v>4675</v>
      </c>
      <c r="N1435" t="s">
        <v>4675</v>
      </c>
      <c r="O1435" t="s">
        <v>4675</v>
      </c>
    </row>
    <row r="1436" spans="1:15" x14ac:dyDescent="0.25">
      <c r="A1436" t="s">
        <v>1476</v>
      </c>
      <c r="B1436">
        <v>71</v>
      </c>
      <c r="C1436" t="s">
        <v>4751</v>
      </c>
      <c r="D1436" t="s">
        <v>4406</v>
      </c>
      <c r="E1436" t="s">
        <v>4854</v>
      </c>
      <c r="F1436" t="s">
        <v>4414</v>
      </c>
      <c r="G1436" t="s">
        <v>5078</v>
      </c>
      <c r="H1436" t="s">
        <v>4571</v>
      </c>
      <c r="I1436" t="s">
        <v>4750</v>
      </c>
      <c r="J1436" t="s">
        <v>4687</v>
      </c>
      <c r="K1436" t="s">
        <v>4406</v>
      </c>
      <c r="L1436" t="s">
        <v>4406</v>
      </c>
      <c r="M1436" t="s">
        <v>4869</v>
      </c>
      <c r="N1436" t="s">
        <v>4701</v>
      </c>
      <c r="O1436" t="s">
        <v>4869</v>
      </c>
    </row>
    <row r="1437" spans="1:15" x14ac:dyDescent="0.25">
      <c r="A1437" t="s">
        <v>5476</v>
      </c>
      <c r="B1437">
        <v>6</v>
      </c>
      <c r="C1437" t="s">
        <v>4406</v>
      </c>
      <c r="D1437" t="s">
        <v>4406</v>
      </c>
      <c r="E1437" t="s">
        <v>4596</v>
      </c>
      <c r="F1437" t="s">
        <v>4406</v>
      </c>
      <c r="G1437" t="s">
        <v>4783</v>
      </c>
      <c r="H1437" t="s">
        <v>4596</v>
      </c>
      <c r="I1437" t="s">
        <v>4406</v>
      </c>
      <c r="J1437" t="s">
        <v>4465</v>
      </c>
      <c r="K1437" t="s">
        <v>4406</v>
      </c>
      <c r="L1437" t="s">
        <v>4406</v>
      </c>
      <c r="M1437" t="s">
        <v>4406</v>
      </c>
      <c r="N1437" t="s">
        <v>4596</v>
      </c>
      <c r="O1437" t="s">
        <v>4596</v>
      </c>
    </row>
    <row r="1438" spans="1:15" x14ac:dyDescent="0.25">
      <c r="A1438" t="s">
        <v>1399</v>
      </c>
      <c r="B1438">
        <v>44</v>
      </c>
      <c r="C1438" t="s">
        <v>4753</v>
      </c>
      <c r="D1438" t="s">
        <v>4753</v>
      </c>
      <c r="E1438" t="s">
        <v>4462</v>
      </c>
      <c r="F1438" t="s">
        <v>4405</v>
      </c>
      <c r="G1438" t="s">
        <v>4613</v>
      </c>
      <c r="H1438" t="s">
        <v>4753</v>
      </c>
      <c r="I1438" t="s">
        <v>4406</v>
      </c>
      <c r="J1438" t="s">
        <v>4589</v>
      </c>
      <c r="K1438" t="s">
        <v>4406</v>
      </c>
      <c r="L1438" t="s">
        <v>4406</v>
      </c>
      <c r="M1438" t="s">
        <v>4589</v>
      </c>
      <c r="N1438" t="s">
        <v>4637</v>
      </c>
      <c r="O1438" t="s">
        <v>4637</v>
      </c>
    </row>
    <row r="1439" spans="1:15" x14ac:dyDescent="0.25">
      <c r="A1439" t="s">
        <v>1415</v>
      </c>
      <c r="B1439">
        <v>76</v>
      </c>
      <c r="C1439" t="s">
        <v>4659</v>
      </c>
      <c r="D1439" t="s">
        <v>4864</v>
      </c>
      <c r="E1439" t="s">
        <v>4714</v>
      </c>
      <c r="F1439" t="s">
        <v>4715</v>
      </c>
      <c r="G1439" t="s">
        <v>4973</v>
      </c>
      <c r="H1439" t="s">
        <v>4714</v>
      </c>
      <c r="I1439" t="s">
        <v>4864</v>
      </c>
      <c r="J1439" t="s">
        <v>4640</v>
      </c>
      <c r="K1439" t="s">
        <v>4864</v>
      </c>
      <c r="L1439" t="s">
        <v>4406</v>
      </c>
      <c r="M1439" t="s">
        <v>4504</v>
      </c>
      <c r="N1439" t="s">
        <v>4488</v>
      </c>
      <c r="O1439" t="s">
        <v>4692</v>
      </c>
    </row>
    <row r="1440" spans="1:15" x14ac:dyDescent="0.25">
      <c r="A1440" t="s">
        <v>1296</v>
      </c>
      <c r="B1440">
        <v>297</v>
      </c>
      <c r="C1440" t="s">
        <v>4424</v>
      </c>
      <c r="D1440" t="s">
        <v>4626</v>
      </c>
      <c r="E1440" t="s">
        <v>4539</v>
      </c>
      <c r="F1440" t="s">
        <v>4617</v>
      </c>
      <c r="G1440" t="s">
        <v>4814</v>
      </c>
      <c r="H1440" t="s">
        <v>4852</v>
      </c>
      <c r="I1440" t="s">
        <v>4402</v>
      </c>
      <c r="J1440" t="s">
        <v>4617</v>
      </c>
      <c r="K1440" t="s">
        <v>4419</v>
      </c>
      <c r="L1440" t="s">
        <v>4406</v>
      </c>
      <c r="M1440" t="s">
        <v>4548</v>
      </c>
      <c r="N1440" t="s">
        <v>4731</v>
      </c>
      <c r="O1440" t="s">
        <v>4883</v>
      </c>
    </row>
    <row r="1442" spans="1:15" x14ac:dyDescent="0.25">
      <c r="A1442" t="s">
        <v>5740</v>
      </c>
    </row>
    <row r="1443" spans="1:15" x14ac:dyDescent="0.25">
      <c r="A1443" t="s">
        <v>907</v>
      </c>
      <c r="B1443" t="s">
        <v>4394</v>
      </c>
      <c r="C1443" t="s">
        <v>5042</v>
      </c>
      <c r="D1443" t="s">
        <v>5043</v>
      </c>
      <c r="E1443" t="s">
        <v>4732</v>
      </c>
      <c r="F1443" t="s">
        <v>5044</v>
      </c>
      <c r="G1443" t="s">
        <v>5045</v>
      </c>
      <c r="H1443" t="s">
        <v>5046</v>
      </c>
      <c r="I1443" t="s">
        <v>5047</v>
      </c>
      <c r="J1443" t="s">
        <v>5048</v>
      </c>
      <c r="K1443" t="s">
        <v>4736</v>
      </c>
      <c r="L1443" t="s">
        <v>4737</v>
      </c>
      <c r="M1443" t="s">
        <v>5049</v>
      </c>
      <c r="N1443" t="s">
        <v>5050</v>
      </c>
      <c r="O1443" t="s">
        <v>5051</v>
      </c>
    </row>
    <row r="1444" spans="1:15" x14ac:dyDescent="0.25">
      <c r="A1444" t="s">
        <v>109</v>
      </c>
      <c r="B1444">
        <v>257</v>
      </c>
      <c r="C1444" t="s">
        <v>4635</v>
      </c>
      <c r="D1444" t="s">
        <v>4757</v>
      </c>
      <c r="E1444" t="s">
        <v>4539</v>
      </c>
      <c r="F1444" t="s">
        <v>4715</v>
      </c>
      <c r="G1444" t="s">
        <v>5079</v>
      </c>
      <c r="H1444" t="s">
        <v>4940</v>
      </c>
      <c r="I1444" t="s">
        <v>4422</v>
      </c>
      <c r="J1444" t="s">
        <v>4600</v>
      </c>
      <c r="K1444" t="s">
        <v>4635</v>
      </c>
      <c r="L1444" t="s">
        <v>4406</v>
      </c>
      <c r="M1444" t="s">
        <v>4992</v>
      </c>
      <c r="N1444" t="s">
        <v>4511</v>
      </c>
      <c r="O1444" t="s">
        <v>4696</v>
      </c>
    </row>
    <row r="1445" spans="1:15" x14ac:dyDescent="0.25">
      <c r="A1445" t="s">
        <v>192</v>
      </c>
      <c r="B1445">
        <v>40</v>
      </c>
      <c r="C1445" t="s">
        <v>4650</v>
      </c>
      <c r="D1445" t="s">
        <v>4406</v>
      </c>
      <c r="E1445" t="s">
        <v>4479</v>
      </c>
      <c r="F1445" t="s">
        <v>4645</v>
      </c>
      <c r="G1445" t="s">
        <v>5080</v>
      </c>
      <c r="H1445" t="s">
        <v>4645</v>
      </c>
      <c r="I1445" t="s">
        <v>4406</v>
      </c>
      <c r="J1445" t="s">
        <v>4472</v>
      </c>
      <c r="K1445" t="s">
        <v>4645</v>
      </c>
      <c r="L1445" t="s">
        <v>4406</v>
      </c>
      <c r="M1445" t="s">
        <v>4759</v>
      </c>
      <c r="N1445" t="s">
        <v>4479</v>
      </c>
      <c r="O1445" t="s">
        <v>4650</v>
      </c>
    </row>
    <row r="1446" spans="1:15" x14ac:dyDescent="0.25">
      <c r="A1446" t="s">
        <v>1296</v>
      </c>
      <c r="B1446">
        <v>297</v>
      </c>
      <c r="C1446" t="s">
        <v>4424</v>
      </c>
      <c r="D1446" t="s">
        <v>4626</v>
      </c>
      <c r="E1446" t="s">
        <v>4539</v>
      </c>
      <c r="F1446" t="s">
        <v>4617</v>
      </c>
      <c r="G1446" t="s">
        <v>4814</v>
      </c>
      <c r="H1446" t="s">
        <v>4852</v>
      </c>
      <c r="I1446" t="s">
        <v>4402</v>
      </c>
      <c r="J1446" t="s">
        <v>4617</v>
      </c>
      <c r="K1446" t="s">
        <v>4419</v>
      </c>
      <c r="L1446" t="s">
        <v>4406</v>
      </c>
      <c r="M1446" t="s">
        <v>4548</v>
      </c>
      <c r="N1446" t="s">
        <v>4731</v>
      </c>
      <c r="O1446" t="s">
        <v>4883</v>
      </c>
    </row>
    <row r="1448" spans="1:15" x14ac:dyDescent="0.25">
      <c r="A1448" t="s">
        <v>5741</v>
      </c>
    </row>
    <row r="1449" spans="1:15" x14ac:dyDescent="0.25">
      <c r="A1449" t="s">
        <v>1295</v>
      </c>
      <c r="B1449" t="s">
        <v>4394</v>
      </c>
      <c r="C1449" t="s">
        <v>5042</v>
      </c>
      <c r="D1449" t="s">
        <v>5043</v>
      </c>
      <c r="E1449" t="s">
        <v>4732</v>
      </c>
      <c r="F1449" t="s">
        <v>5044</v>
      </c>
      <c r="G1449" t="s">
        <v>5045</v>
      </c>
      <c r="H1449" t="s">
        <v>5046</v>
      </c>
      <c r="I1449" t="s">
        <v>5047</v>
      </c>
      <c r="J1449" t="s">
        <v>5048</v>
      </c>
      <c r="K1449" t="s">
        <v>4736</v>
      </c>
      <c r="L1449" t="s">
        <v>4737</v>
      </c>
      <c r="M1449" t="s">
        <v>5049</v>
      </c>
      <c r="N1449" t="s">
        <v>5050</v>
      </c>
      <c r="O1449" t="s">
        <v>5051</v>
      </c>
    </row>
    <row r="1450" spans="1:15" x14ac:dyDescent="0.25">
      <c r="A1450" t="s">
        <v>4395</v>
      </c>
      <c r="B1450">
        <v>32</v>
      </c>
      <c r="C1450" t="s">
        <v>4695</v>
      </c>
      <c r="D1450" t="s">
        <v>4695</v>
      </c>
      <c r="E1450" t="s">
        <v>4479</v>
      </c>
      <c r="F1450" t="s">
        <v>4950</v>
      </c>
      <c r="G1450" t="s">
        <v>5082</v>
      </c>
      <c r="H1450" t="s">
        <v>4479</v>
      </c>
      <c r="I1450" t="s">
        <v>4406</v>
      </c>
      <c r="J1450" t="s">
        <v>4944</v>
      </c>
      <c r="K1450" t="s">
        <v>4695</v>
      </c>
      <c r="L1450" t="s">
        <v>4406</v>
      </c>
      <c r="M1450" t="s">
        <v>4950</v>
      </c>
      <c r="N1450" t="s">
        <v>4917</v>
      </c>
      <c r="O1450" t="s">
        <v>4695</v>
      </c>
    </row>
    <row r="1451" spans="1:15" x14ac:dyDescent="0.25">
      <c r="A1451" t="s">
        <v>4396</v>
      </c>
      <c r="B1451">
        <v>169</v>
      </c>
      <c r="C1451" t="s">
        <v>4626</v>
      </c>
      <c r="D1451" t="s">
        <v>4422</v>
      </c>
      <c r="E1451" t="s">
        <v>4716</v>
      </c>
      <c r="F1451" t="s">
        <v>5064</v>
      </c>
      <c r="G1451" t="s">
        <v>5083</v>
      </c>
      <c r="H1451" t="s">
        <v>4716</v>
      </c>
      <c r="I1451" t="s">
        <v>4413</v>
      </c>
      <c r="J1451" t="s">
        <v>5084</v>
      </c>
      <c r="K1451" t="s">
        <v>4413</v>
      </c>
      <c r="L1451" t="s">
        <v>4406</v>
      </c>
      <c r="M1451" t="s">
        <v>4569</v>
      </c>
      <c r="N1451" t="s">
        <v>4563</v>
      </c>
      <c r="O1451" t="s">
        <v>4716</v>
      </c>
    </row>
    <row r="1452" spans="1:15" x14ac:dyDescent="0.25">
      <c r="A1452" t="s">
        <v>4397</v>
      </c>
      <c r="B1452">
        <v>2</v>
      </c>
      <c r="C1452" t="s">
        <v>4406</v>
      </c>
      <c r="D1452" t="s">
        <v>4406</v>
      </c>
      <c r="E1452" t="s">
        <v>4406</v>
      </c>
      <c r="F1452" t="s">
        <v>4406</v>
      </c>
      <c r="G1452" t="s">
        <v>4454</v>
      </c>
      <c r="H1452" t="s">
        <v>4406</v>
      </c>
      <c r="I1452" t="s">
        <v>4406</v>
      </c>
      <c r="J1452" t="s">
        <v>4406</v>
      </c>
      <c r="K1452" t="s">
        <v>4406</v>
      </c>
      <c r="L1452" t="s">
        <v>4406</v>
      </c>
      <c r="M1452" t="s">
        <v>4468</v>
      </c>
      <c r="N1452" t="s">
        <v>4468</v>
      </c>
      <c r="O1452" t="s">
        <v>4406</v>
      </c>
    </row>
    <row r="1453" spans="1:15" x14ac:dyDescent="0.25">
      <c r="A1453" t="s">
        <v>4398</v>
      </c>
      <c r="B1453">
        <v>92</v>
      </c>
      <c r="C1453" t="s">
        <v>4825</v>
      </c>
      <c r="D1453" t="s">
        <v>4670</v>
      </c>
      <c r="E1453" t="s">
        <v>4548</v>
      </c>
      <c r="F1453" t="s">
        <v>4663</v>
      </c>
      <c r="G1453" t="s">
        <v>5085</v>
      </c>
      <c r="H1453" t="s">
        <v>4552</v>
      </c>
      <c r="I1453" t="s">
        <v>4581</v>
      </c>
      <c r="J1453" t="s">
        <v>4684</v>
      </c>
      <c r="K1453" t="s">
        <v>4651</v>
      </c>
      <c r="L1453" t="s">
        <v>4406</v>
      </c>
      <c r="M1453" t="s">
        <v>5086</v>
      </c>
      <c r="N1453" t="s">
        <v>4863</v>
      </c>
      <c r="O1453" t="s">
        <v>4684</v>
      </c>
    </row>
    <row r="1454" spans="1:15" x14ac:dyDescent="0.25">
      <c r="A1454" t="s">
        <v>4399</v>
      </c>
      <c r="B1454">
        <v>2</v>
      </c>
      <c r="C1454" t="s">
        <v>4406</v>
      </c>
      <c r="D1454" t="s">
        <v>4406</v>
      </c>
      <c r="E1454" t="s">
        <v>4406</v>
      </c>
      <c r="F1454" t="s">
        <v>4468</v>
      </c>
      <c r="G1454" t="s">
        <v>4454</v>
      </c>
      <c r="H1454" t="s">
        <v>4468</v>
      </c>
      <c r="I1454" t="s">
        <v>4406</v>
      </c>
      <c r="J1454" t="s">
        <v>4406</v>
      </c>
      <c r="K1454" t="s">
        <v>4406</v>
      </c>
      <c r="L1454" t="s">
        <v>4406</v>
      </c>
      <c r="M1454" t="s">
        <v>4406</v>
      </c>
      <c r="N1454" t="s">
        <v>4406</v>
      </c>
      <c r="O1454" t="s">
        <v>4406</v>
      </c>
    </row>
    <row r="1455" spans="1:15" x14ac:dyDescent="0.25">
      <c r="A1455" t="s">
        <v>1296</v>
      </c>
      <c r="B1455">
        <v>297</v>
      </c>
      <c r="C1455" t="s">
        <v>4424</v>
      </c>
      <c r="D1455" t="s">
        <v>4626</v>
      </c>
      <c r="E1455" t="s">
        <v>4539</v>
      </c>
      <c r="F1455" t="s">
        <v>4617</v>
      </c>
      <c r="G1455" t="s">
        <v>4814</v>
      </c>
      <c r="H1455" t="s">
        <v>4852</v>
      </c>
      <c r="I1455" t="s">
        <v>4402</v>
      </c>
      <c r="J1455" t="s">
        <v>4617</v>
      </c>
      <c r="K1455" t="s">
        <v>4419</v>
      </c>
      <c r="L1455" t="s">
        <v>4406</v>
      </c>
      <c r="M1455" t="s">
        <v>4548</v>
      </c>
      <c r="N1455" t="s">
        <v>4731</v>
      </c>
      <c r="O1455" t="s">
        <v>4883</v>
      </c>
    </row>
    <row r="1457" spans="1:15" x14ac:dyDescent="0.25">
      <c r="A1457" t="s">
        <v>5742</v>
      </c>
    </row>
    <row r="1458" spans="1:15" x14ac:dyDescent="0.25">
      <c r="A1458" t="s">
        <v>910</v>
      </c>
      <c r="B1458" t="s">
        <v>4394</v>
      </c>
      <c r="C1458" t="s">
        <v>5042</v>
      </c>
      <c r="D1458" t="s">
        <v>5043</v>
      </c>
      <c r="E1458" t="s">
        <v>4732</v>
      </c>
      <c r="F1458" t="s">
        <v>5044</v>
      </c>
      <c r="G1458" t="s">
        <v>5045</v>
      </c>
      <c r="H1458" t="s">
        <v>5046</v>
      </c>
      <c r="I1458" t="s">
        <v>5047</v>
      </c>
      <c r="J1458" t="s">
        <v>5048</v>
      </c>
      <c r="K1458" t="s">
        <v>4736</v>
      </c>
      <c r="L1458" t="s">
        <v>4737</v>
      </c>
      <c r="M1458" t="s">
        <v>5049</v>
      </c>
      <c r="N1458" t="s">
        <v>5050</v>
      </c>
      <c r="O1458" t="s">
        <v>5051</v>
      </c>
    </row>
    <row r="1459" spans="1:15" x14ac:dyDescent="0.25">
      <c r="A1459" t="s">
        <v>1371</v>
      </c>
      <c r="B1459">
        <v>42</v>
      </c>
      <c r="C1459" t="s">
        <v>4424</v>
      </c>
      <c r="D1459" t="s">
        <v>4406</v>
      </c>
      <c r="E1459" t="s">
        <v>4675</v>
      </c>
      <c r="F1459" t="s">
        <v>4400</v>
      </c>
      <c r="G1459" t="s">
        <v>4836</v>
      </c>
      <c r="H1459" t="s">
        <v>4703</v>
      </c>
      <c r="I1459" t="s">
        <v>4406</v>
      </c>
      <c r="J1459" t="s">
        <v>4675</v>
      </c>
      <c r="K1459" t="s">
        <v>4749</v>
      </c>
      <c r="L1459" t="s">
        <v>4406</v>
      </c>
      <c r="M1459" t="s">
        <v>4703</v>
      </c>
      <c r="N1459" t="s">
        <v>4675</v>
      </c>
      <c r="O1459" t="s">
        <v>4675</v>
      </c>
    </row>
    <row r="1460" spans="1:15" x14ac:dyDescent="0.25">
      <c r="A1460" t="s">
        <v>1452</v>
      </c>
      <c r="B1460">
        <v>18</v>
      </c>
      <c r="C1460" t="s">
        <v>4406</v>
      </c>
      <c r="D1460" t="s">
        <v>4406</v>
      </c>
      <c r="E1460" t="s">
        <v>4571</v>
      </c>
      <c r="F1460" t="s">
        <v>4596</v>
      </c>
      <c r="G1460" t="s">
        <v>4783</v>
      </c>
      <c r="H1460" t="s">
        <v>4571</v>
      </c>
      <c r="I1460" t="s">
        <v>4406</v>
      </c>
      <c r="J1460" t="s">
        <v>4676</v>
      </c>
      <c r="K1460" t="s">
        <v>4406</v>
      </c>
      <c r="L1460" t="s">
        <v>4406</v>
      </c>
      <c r="M1460" t="s">
        <v>4468</v>
      </c>
      <c r="N1460" t="s">
        <v>4469</v>
      </c>
      <c r="O1460" t="s">
        <v>4571</v>
      </c>
    </row>
    <row r="1461" spans="1:15" x14ac:dyDescent="0.25">
      <c r="A1461" t="s">
        <v>5560</v>
      </c>
      <c r="B1461">
        <v>59</v>
      </c>
      <c r="C1461" t="s">
        <v>4888</v>
      </c>
      <c r="D1461" t="s">
        <v>4406</v>
      </c>
      <c r="E1461" t="s">
        <v>4511</v>
      </c>
      <c r="F1461" t="s">
        <v>4689</v>
      </c>
      <c r="G1461" t="s">
        <v>5743</v>
      </c>
      <c r="H1461" t="s">
        <v>4419</v>
      </c>
      <c r="I1461" t="s">
        <v>4419</v>
      </c>
      <c r="J1461" t="s">
        <v>4541</v>
      </c>
      <c r="K1461" t="s">
        <v>4419</v>
      </c>
      <c r="L1461" t="s">
        <v>4406</v>
      </c>
      <c r="M1461" t="s">
        <v>5125</v>
      </c>
      <c r="N1461" t="s">
        <v>4925</v>
      </c>
      <c r="O1461" t="s">
        <v>4627</v>
      </c>
    </row>
    <row r="1462" spans="1:15" x14ac:dyDescent="0.25">
      <c r="A1462" t="s">
        <v>1424</v>
      </c>
      <c r="B1462">
        <v>120</v>
      </c>
      <c r="C1462" t="s">
        <v>4645</v>
      </c>
      <c r="D1462" t="s">
        <v>4417</v>
      </c>
      <c r="E1462" t="s">
        <v>4693</v>
      </c>
      <c r="F1462" t="s">
        <v>5014</v>
      </c>
      <c r="G1462" t="s">
        <v>5069</v>
      </c>
      <c r="H1462" t="s">
        <v>5014</v>
      </c>
      <c r="I1462" t="s">
        <v>4417</v>
      </c>
      <c r="J1462" t="s">
        <v>4479</v>
      </c>
      <c r="K1462" t="s">
        <v>4417</v>
      </c>
      <c r="L1462" t="s">
        <v>4406</v>
      </c>
      <c r="M1462" t="s">
        <v>4647</v>
      </c>
      <c r="N1462" t="s">
        <v>4647</v>
      </c>
      <c r="O1462" t="s">
        <v>4693</v>
      </c>
    </row>
    <row r="1463" spans="1:15" x14ac:dyDescent="0.25">
      <c r="A1463" t="s">
        <v>1340</v>
      </c>
      <c r="B1463">
        <v>31</v>
      </c>
      <c r="C1463" t="s">
        <v>4713</v>
      </c>
      <c r="D1463" t="s">
        <v>4564</v>
      </c>
      <c r="E1463" t="s">
        <v>4670</v>
      </c>
      <c r="F1463" t="s">
        <v>4578</v>
      </c>
      <c r="G1463" t="s">
        <v>5070</v>
      </c>
      <c r="H1463" t="s">
        <v>4641</v>
      </c>
      <c r="I1463" t="s">
        <v>4713</v>
      </c>
      <c r="J1463" t="s">
        <v>4713</v>
      </c>
      <c r="K1463" t="s">
        <v>4406</v>
      </c>
      <c r="L1463" t="s">
        <v>4406</v>
      </c>
      <c r="M1463" t="s">
        <v>4563</v>
      </c>
      <c r="N1463" t="s">
        <v>5071</v>
      </c>
      <c r="O1463" t="s">
        <v>4713</v>
      </c>
    </row>
    <row r="1464" spans="1:15" x14ac:dyDescent="0.25">
      <c r="A1464" t="s">
        <v>5561</v>
      </c>
      <c r="B1464">
        <v>8</v>
      </c>
      <c r="C1464" t="s">
        <v>4406</v>
      </c>
      <c r="D1464" t="s">
        <v>4406</v>
      </c>
      <c r="E1464" t="s">
        <v>4406</v>
      </c>
      <c r="F1464" t="s">
        <v>4479</v>
      </c>
      <c r="G1464" t="s">
        <v>4945</v>
      </c>
      <c r="H1464" t="s">
        <v>4406</v>
      </c>
      <c r="I1464" t="s">
        <v>4406</v>
      </c>
      <c r="J1464" t="s">
        <v>4481</v>
      </c>
      <c r="K1464" t="s">
        <v>4406</v>
      </c>
      <c r="L1464" t="s">
        <v>4406</v>
      </c>
      <c r="M1464" t="s">
        <v>4479</v>
      </c>
      <c r="N1464" t="s">
        <v>4462</v>
      </c>
      <c r="O1464" t="s">
        <v>4479</v>
      </c>
    </row>
    <row r="1465" spans="1:15" x14ac:dyDescent="0.25">
      <c r="A1465" t="s">
        <v>1416</v>
      </c>
      <c r="B1465">
        <v>19</v>
      </c>
      <c r="C1465" t="s">
        <v>4406</v>
      </c>
      <c r="D1465" t="s">
        <v>4504</v>
      </c>
      <c r="E1465" t="s">
        <v>4640</v>
      </c>
      <c r="F1465" t="s">
        <v>4490</v>
      </c>
      <c r="G1465" t="s">
        <v>5072</v>
      </c>
      <c r="H1465" t="s">
        <v>4524</v>
      </c>
      <c r="I1465" t="s">
        <v>4406</v>
      </c>
      <c r="J1465" t="s">
        <v>4406</v>
      </c>
      <c r="K1465" t="s">
        <v>4640</v>
      </c>
      <c r="L1465" t="s">
        <v>4406</v>
      </c>
      <c r="M1465" t="s">
        <v>4504</v>
      </c>
      <c r="N1465" t="s">
        <v>4528</v>
      </c>
      <c r="O1465" t="s">
        <v>4406</v>
      </c>
    </row>
    <row r="1466" spans="1:15" x14ac:dyDescent="0.25">
      <c r="A1466" t="s">
        <v>1296</v>
      </c>
      <c r="B1466">
        <v>297</v>
      </c>
      <c r="C1466" t="s">
        <v>4424</v>
      </c>
      <c r="D1466" t="s">
        <v>4626</v>
      </c>
      <c r="E1466" t="s">
        <v>4539</v>
      </c>
      <c r="F1466" t="s">
        <v>4617</v>
      </c>
      <c r="G1466" t="s">
        <v>4814</v>
      </c>
      <c r="H1466" t="s">
        <v>4852</v>
      </c>
      <c r="I1466" t="s">
        <v>4402</v>
      </c>
      <c r="J1466" t="s">
        <v>4617</v>
      </c>
      <c r="K1466" t="s">
        <v>4419</v>
      </c>
      <c r="L1466" t="s">
        <v>4406</v>
      </c>
      <c r="M1466" t="s">
        <v>4548</v>
      </c>
      <c r="N1466" t="s">
        <v>4731</v>
      </c>
      <c r="O1466" t="s">
        <v>4883</v>
      </c>
    </row>
    <row r="1468" spans="1:15" x14ac:dyDescent="0.25">
      <c r="A1468" t="s">
        <v>5744</v>
      </c>
    </row>
    <row r="1469" spans="1:15" x14ac:dyDescent="0.25">
      <c r="A1469" t="s">
        <v>928</v>
      </c>
      <c r="B1469" t="s">
        <v>4394</v>
      </c>
      <c r="C1469" t="s">
        <v>5042</v>
      </c>
      <c r="D1469" t="s">
        <v>5043</v>
      </c>
      <c r="E1469" t="s">
        <v>4732</v>
      </c>
      <c r="F1469" t="s">
        <v>5044</v>
      </c>
      <c r="G1469" t="s">
        <v>5045</v>
      </c>
      <c r="H1469" t="s">
        <v>5046</v>
      </c>
      <c r="I1469" t="s">
        <v>5047</v>
      </c>
      <c r="J1469" t="s">
        <v>5048</v>
      </c>
      <c r="K1469" t="s">
        <v>4736</v>
      </c>
      <c r="L1469" t="s">
        <v>4737</v>
      </c>
      <c r="M1469" t="s">
        <v>5049</v>
      </c>
      <c r="N1469" t="s">
        <v>5050</v>
      </c>
      <c r="O1469" t="s">
        <v>5051</v>
      </c>
    </row>
    <row r="1470" spans="1:15" x14ac:dyDescent="0.25">
      <c r="A1470" t="s">
        <v>4433</v>
      </c>
      <c r="B1470">
        <v>5</v>
      </c>
      <c r="C1470" t="s">
        <v>4406</v>
      </c>
      <c r="D1470" t="s">
        <v>4406</v>
      </c>
      <c r="E1470" t="s">
        <v>4406</v>
      </c>
      <c r="F1470" t="s">
        <v>4472</v>
      </c>
      <c r="G1470" t="s">
        <v>4834</v>
      </c>
      <c r="H1470" t="s">
        <v>4406</v>
      </c>
      <c r="I1470" t="s">
        <v>4406</v>
      </c>
      <c r="J1470" t="s">
        <v>4406</v>
      </c>
      <c r="K1470" t="s">
        <v>4472</v>
      </c>
      <c r="L1470" t="s">
        <v>4406</v>
      </c>
      <c r="M1470" t="s">
        <v>4406</v>
      </c>
      <c r="N1470" t="s">
        <v>4472</v>
      </c>
      <c r="O1470" t="s">
        <v>4406</v>
      </c>
    </row>
    <row r="1471" spans="1:15" x14ac:dyDescent="0.25">
      <c r="A1471" t="s">
        <v>4434</v>
      </c>
      <c r="B1471">
        <v>119</v>
      </c>
      <c r="C1471" t="s">
        <v>4417</v>
      </c>
      <c r="D1471" t="s">
        <v>4417</v>
      </c>
      <c r="E1471" t="s">
        <v>4979</v>
      </c>
      <c r="F1471" t="s">
        <v>4979</v>
      </c>
      <c r="G1471" t="s">
        <v>4550</v>
      </c>
      <c r="H1471" t="s">
        <v>4681</v>
      </c>
      <c r="I1471" t="s">
        <v>4645</v>
      </c>
      <c r="J1471" t="s">
        <v>4552</v>
      </c>
      <c r="K1471" t="s">
        <v>4888</v>
      </c>
      <c r="L1471" t="s">
        <v>4406</v>
      </c>
      <c r="M1471" t="s">
        <v>4619</v>
      </c>
      <c r="N1471" t="s">
        <v>4525</v>
      </c>
      <c r="O1471" t="s">
        <v>4552</v>
      </c>
    </row>
    <row r="1472" spans="1:15" x14ac:dyDescent="0.25">
      <c r="A1472" t="s">
        <v>4435</v>
      </c>
      <c r="B1472">
        <v>90</v>
      </c>
      <c r="C1472" t="s">
        <v>4581</v>
      </c>
      <c r="D1472" t="s">
        <v>5066</v>
      </c>
      <c r="E1472" t="s">
        <v>4676</v>
      </c>
      <c r="F1472" t="s">
        <v>4546</v>
      </c>
      <c r="G1472" t="s">
        <v>4857</v>
      </c>
      <c r="H1472" t="s">
        <v>4716</v>
      </c>
      <c r="I1472" t="s">
        <v>4406</v>
      </c>
      <c r="J1472" t="s">
        <v>4646</v>
      </c>
      <c r="K1472" t="s">
        <v>4406</v>
      </c>
      <c r="L1472" t="s">
        <v>4406</v>
      </c>
      <c r="M1472" t="s">
        <v>4472</v>
      </c>
      <c r="N1472" t="s">
        <v>5039</v>
      </c>
      <c r="O1472" t="s">
        <v>5066</v>
      </c>
    </row>
    <row r="1473" spans="1:15" x14ac:dyDescent="0.25">
      <c r="A1473" t="s">
        <v>4436</v>
      </c>
      <c r="B1473">
        <v>81</v>
      </c>
      <c r="C1473" t="s">
        <v>5067</v>
      </c>
      <c r="D1473" t="s">
        <v>4422</v>
      </c>
      <c r="E1473" t="s">
        <v>4772</v>
      </c>
      <c r="F1473" t="s">
        <v>4917</v>
      </c>
      <c r="G1473" t="s">
        <v>5068</v>
      </c>
      <c r="H1473" t="s">
        <v>4917</v>
      </c>
      <c r="I1473" t="s">
        <v>4406</v>
      </c>
      <c r="J1473" t="s">
        <v>4953</v>
      </c>
      <c r="K1473" t="s">
        <v>4406</v>
      </c>
      <c r="L1473" t="s">
        <v>4406</v>
      </c>
      <c r="M1473" t="s">
        <v>4425</v>
      </c>
      <c r="N1473" t="s">
        <v>4772</v>
      </c>
      <c r="O1473" t="s">
        <v>4425</v>
      </c>
    </row>
    <row r="1474" spans="1:15" x14ac:dyDescent="0.25">
      <c r="A1474" t="s">
        <v>4437</v>
      </c>
      <c r="B1474">
        <v>2</v>
      </c>
      <c r="C1474" t="s">
        <v>4406</v>
      </c>
      <c r="D1474" t="s">
        <v>4406</v>
      </c>
      <c r="E1474" t="s">
        <v>4406</v>
      </c>
      <c r="F1474" t="s">
        <v>4406</v>
      </c>
      <c r="G1474" t="s">
        <v>4454</v>
      </c>
      <c r="H1474" t="s">
        <v>4468</v>
      </c>
      <c r="I1474" t="s">
        <v>4406</v>
      </c>
      <c r="J1474" t="s">
        <v>4406</v>
      </c>
      <c r="K1474" t="s">
        <v>4406</v>
      </c>
      <c r="L1474" t="s">
        <v>4406</v>
      </c>
      <c r="M1474" t="s">
        <v>4468</v>
      </c>
      <c r="N1474" t="s">
        <v>4468</v>
      </c>
      <c r="O1474" t="s">
        <v>4406</v>
      </c>
    </row>
    <row r="1475" spans="1:15" x14ac:dyDescent="0.25">
      <c r="A1475" t="s">
        <v>1296</v>
      </c>
      <c r="B1475">
        <v>297</v>
      </c>
      <c r="C1475" t="s">
        <v>4424</v>
      </c>
      <c r="D1475" t="s">
        <v>4626</v>
      </c>
      <c r="E1475" t="s">
        <v>4539</v>
      </c>
      <c r="F1475" t="s">
        <v>4617</v>
      </c>
      <c r="G1475" t="s">
        <v>4814</v>
      </c>
      <c r="H1475" t="s">
        <v>4852</v>
      </c>
      <c r="I1475" t="s">
        <v>4402</v>
      </c>
      <c r="J1475" t="s">
        <v>4617</v>
      </c>
      <c r="K1475" t="s">
        <v>4419</v>
      </c>
      <c r="L1475" t="s">
        <v>4406</v>
      </c>
      <c r="M1475" t="s">
        <v>4548</v>
      </c>
      <c r="N1475" t="s">
        <v>4731</v>
      </c>
      <c r="O1475" t="s">
        <v>4883</v>
      </c>
    </row>
    <row r="1477" spans="1:15" x14ac:dyDescent="0.25">
      <c r="A1477" t="s">
        <v>5745</v>
      </c>
    </row>
    <row r="1478" spans="1:15" x14ac:dyDescent="0.25">
      <c r="A1478" t="s">
        <v>930</v>
      </c>
      <c r="B1478" t="s">
        <v>4394</v>
      </c>
      <c r="C1478" t="s">
        <v>5042</v>
      </c>
      <c r="D1478" t="s">
        <v>5043</v>
      </c>
      <c r="E1478" t="s">
        <v>4732</v>
      </c>
      <c r="F1478" t="s">
        <v>5044</v>
      </c>
      <c r="G1478" t="s">
        <v>5045</v>
      </c>
      <c r="H1478" t="s">
        <v>5046</v>
      </c>
      <c r="I1478" t="s">
        <v>5047</v>
      </c>
      <c r="J1478" t="s">
        <v>5048</v>
      </c>
      <c r="K1478" t="s">
        <v>4736</v>
      </c>
      <c r="L1478" t="s">
        <v>4737</v>
      </c>
      <c r="M1478" t="s">
        <v>5049</v>
      </c>
      <c r="N1478" t="s">
        <v>5050</v>
      </c>
      <c r="O1478" t="s">
        <v>5051</v>
      </c>
    </row>
    <row r="1479" spans="1:15" x14ac:dyDescent="0.25">
      <c r="A1479" t="s">
        <v>5056</v>
      </c>
      <c r="B1479">
        <v>2</v>
      </c>
      <c r="C1479" t="s">
        <v>4406</v>
      </c>
      <c r="D1479" t="s">
        <v>4468</v>
      </c>
      <c r="E1479" t="s">
        <v>4406</v>
      </c>
      <c r="F1479" t="s">
        <v>4406</v>
      </c>
      <c r="G1479" t="s">
        <v>4468</v>
      </c>
      <c r="H1479" t="s">
        <v>4454</v>
      </c>
      <c r="I1479" t="s">
        <v>4406</v>
      </c>
      <c r="J1479" t="s">
        <v>4406</v>
      </c>
      <c r="K1479" t="s">
        <v>4406</v>
      </c>
      <c r="L1479" t="s">
        <v>4406</v>
      </c>
      <c r="M1479" t="s">
        <v>4406</v>
      </c>
      <c r="N1479" t="s">
        <v>4406</v>
      </c>
      <c r="O1479" t="s">
        <v>4406</v>
      </c>
    </row>
    <row r="1480" spans="1:15" x14ac:dyDescent="0.25">
      <c r="A1480" t="s">
        <v>5057</v>
      </c>
      <c r="B1480">
        <v>183</v>
      </c>
      <c r="C1480" t="s">
        <v>4931</v>
      </c>
      <c r="D1480" t="s">
        <v>4720</v>
      </c>
      <c r="E1480" t="s">
        <v>4696</v>
      </c>
      <c r="F1480" t="s">
        <v>4632</v>
      </c>
      <c r="G1480" t="s">
        <v>5038</v>
      </c>
      <c r="H1480" t="s">
        <v>4681</v>
      </c>
      <c r="I1480" t="s">
        <v>4404</v>
      </c>
      <c r="J1480" t="s">
        <v>4999</v>
      </c>
      <c r="K1480" t="s">
        <v>4404</v>
      </c>
      <c r="L1480" t="s">
        <v>4406</v>
      </c>
      <c r="M1480" t="s">
        <v>5054</v>
      </c>
      <c r="N1480" t="s">
        <v>4609</v>
      </c>
      <c r="O1480" t="s">
        <v>4684</v>
      </c>
    </row>
    <row r="1481" spans="1:15" x14ac:dyDescent="0.25">
      <c r="A1481" t="s">
        <v>5058</v>
      </c>
      <c r="B1481">
        <v>1</v>
      </c>
      <c r="C1481" t="s">
        <v>4406</v>
      </c>
      <c r="D1481" t="s">
        <v>4406</v>
      </c>
      <c r="E1481" t="s">
        <v>4406</v>
      </c>
      <c r="F1481" t="s">
        <v>4406</v>
      </c>
      <c r="G1481" t="s">
        <v>4454</v>
      </c>
      <c r="H1481" t="s">
        <v>4406</v>
      </c>
      <c r="I1481" t="s">
        <v>4406</v>
      </c>
      <c r="J1481" t="s">
        <v>4406</v>
      </c>
      <c r="K1481" t="s">
        <v>4406</v>
      </c>
      <c r="L1481" t="s">
        <v>4406</v>
      </c>
      <c r="M1481" t="s">
        <v>4406</v>
      </c>
      <c r="N1481" t="s">
        <v>4406</v>
      </c>
      <c r="O1481" t="s">
        <v>4406</v>
      </c>
    </row>
    <row r="1482" spans="1:15" x14ac:dyDescent="0.25">
      <c r="A1482" t="s">
        <v>5059</v>
      </c>
      <c r="B1482">
        <v>1</v>
      </c>
      <c r="C1482" t="s">
        <v>4406</v>
      </c>
      <c r="D1482" t="s">
        <v>4406</v>
      </c>
      <c r="E1482" t="s">
        <v>4406</v>
      </c>
      <c r="F1482" t="s">
        <v>4406</v>
      </c>
      <c r="G1482" t="s">
        <v>4454</v>
      </c>
      <c r="H1482" t="s">
        <v>4406</v>
      </c>
      <c r="I1482" t="s">
        <v>4406</v>
      </c>
      <c r="J1482" t="s">
        <v>4406</v>
      </c>
      <c r="K1482" t="s">
        <v>4406</v>
      </c>
      <c r="L1482" t="s">
        <v>4406</v>
      </c>
      <c r="M1482" t="s">
        <v>4406</v>
      </c>
      <c r="N1482" t="s">
        <v>4406</v>
      </c>
      <c r="O1482" t="s">
        <v>4406</v>
      </c>
    </row>
    <row r="1483" spans="1:15" x14ac:dyDescent="0.25">
      <c r="A1483" t="s">
        <v>5060</v>
      </c>
      <c r="B1483">
        <v>108</v>
      </c>
      <c r="C1483" t="s">
        <v>4952</v>
      </c>
      <c r="D1483" t="s">
        <v>4902</v>
      </c>
      <c r="E1483" t="s">
        <v>4858</v>
      </c>
      <c r="F1483" t="s">
        <v>4663</v>
      </c>
      <c r="G1483" t="s">
        <v>4463</v>
      </c>
      <c r="H1483" t="s">
        <v>4910</v>
      </c>
      <c r="I1483" t="s">
        <v>4952</v>
      </c>
      <c r="J1483" t="s">
        <v>4676</v>
      </c>
      <c r="K1483" t="s">
        <v>4954</v>
      </c>
      <c r="L1483" t="s">
        <v>4406</v>
      </c>
      <c r="M1483" t="s">
        <v>4965</v>
      </c>
      <c r="N1483" t="s">
        <v>4698</v>
      </c>
      <c r="O1483" t="s">
        <v>4958</v>
      </c>
    </row>
    <row r="1484" spans="1:15" x14ac:dyDescent="0.25">
      <c r="A1484" t="s">
        <v>5061</v>
      </c>
      <c r="B1484">
        <v>2</v>
      </c>
      <c r="C1484" t="s">
        <v>4406</v>
      </c>
      <c r="D1484" t="s">
        <v>4406</v>
      </c>
      <c r="E1484" t="s">
        <v>4406</v>
      </c>
      <c r="F1484" t="s">
        <v>4406</v>
      </c>
      <c r="G1484" t="s">
        <v>4454</v>
      </c>
      <c r="H1484" t="s">
        <v>4406</v>
      </c>
      <c r="I1484" t="s">
        <v>4406</v>
      </c>
      <c r="J1484" t="s">
        <v>4406</v>
      </c>
      <c r="K1484" t="s">
        <v>4406</v>
      </c>
      <c r="L1484" t="s">
        <v>4406</v>
      </c>
      <c r="M1484" t="s">
        <v>4468</v>
      </c>
      <c r="N1484" t="s">
        <v>4406</v>
      </c>
      <c r="O1484" t="s">
        <v>4406</v>
      </c>
    </row>
    <row r="1485" spans="1:15" x14ac:dyDescent="0.25">
      <c r="A1485" t="s">
        <v>1296</v>
      </c>
      <c r="B1485">
        <v>297</v>
      </c>
      <c r="C1485" t="s">
        <v>4424</v>
      </c>
      <c r="D1485" t="s">
        <v>4626</v>
      </c>
      <c r="E1485" t="s">
        <v>4539</v>
      </c>
      <c r="F1485" t="s">
        <v>4617</v>
      </c>
      <c r="G1485" t="s">
        <v>4814</v>
      </c>
      <c r="H1485" t="s">
        <v>4852</v>
      </c>
      <c r="I1485" t="s">
        <v>4402</v>
      </c>
      <c r="J1485" t="s">
        <v>4617</v>
      </c>
      <c r="K1485" t="s">
        <v>4419</v>
      </c>
      <c r="L1485" t="s">
        <v>4406</v>
      </c>
      <c r="M1485" t="s">
        <v>4548</v>
      </c>
      <c r="N1485" t="s">
        <v>4731</v>
      </c>
      <c r="O1485" t="s">
        <v>4883</v>
      </c>
    </row>
    <row r="1487" spans="1:15" x14ac:dyDescent="0.25">
      <c r="A1487" t="s">
        <v>5746</v>
      </c>
    </row>
    <row r="1488" spans="1:15" x14ac:dyDescent="0.25">
      <c r="A1488" t="s">
        <v>929</v>
      </c>
      <c r="B1488" t="s">
        <v>4394</v>
      </c>
      <c r="C1488" t="s">
        <v>5042</v>
      </c>
      <c r="D1488" t="s">
        <v>5043</v>
      </c>
      <c r="E1488" t="s">
        <v>4732</v>
      </c>
      <c r="F1488" t="s">
        <v>5044</v>
      </c>
      <c r="G1488" t="s">
        <v>5045</v>
      </c>
      <c r="H1488" t="s">
        <v>5046</v>
      </c>
      <c r="I1488" t="s">
        <v>5047</v>
      </c>
      <c r="J1488" t="s">
        <v>5048</v>
      </c>
      <c r="K1488" t="s">
        <v>4736</v>
      </c>
      <c r="L1488" t="s">
        <v>4737</v>
      </c>
      <c r="M1488" t="s">
        <v>5049</v>
      </c>
      <c r="N1488" t="s">
        <v>5050</v>
      </c>
      <c r="O1488" t="s">
        <v>5051</v>
      </c>
    </row>
    <row r="1489" spans="1:15" x14ac:dyDescent="0.25">
      <c r="A1489" t="s">
        <v>1664</v>
      </c>
      <c r="B1489">
        <v>2</v>
      </c>
      <c r="C1489" t="s">
        <v>4406</v>
      </c>
      <c r="D1489" t="s">
        <v>4406</v>
      </c>
      <c r="E1489" t="s">
        <v>4406</v>
      </c>
      <c r="F1489" t="s">
        <v>4406</v>
      </c>
      <c r="G1489" t="s">
        <v>4468</v>
      </c>
      <c r="H1489" t="s">
        <v>4468</v>
      </c>
      <c r="I1489" t="s">
        <v>4406</v>
      </c>
      <c r="J1489" t="s">
        <v>4468</v>
      </c>
      <c r="K1489" t="s">
        <v>4406</v>
      </c>
      <c r="L1489" t="s">
        <v>4406</v>
      </c>
      <c r="M1489" t="s">
        <v>4406</v>
      </c>
      <c r="N1489" t="s">
        <v>4406</v>
      </c>
      <c r="O1489" t="s">
        <v>4468</v>
      </c>
    </row>
    <row r="1490" spans="1:15" x14ac:dyDescent="0.25">
      <c r="A1490" t="s">
        <v>1315</v>
      </c>
      <c r="B1490">
        <v>197</v>
      </c>
      <c r="C1490" t="s">
        <v>4404</v>
      </c>
      <c r="D1490" t="s">
        <v>4934</v>
      </c>
      <c r="E1490" t="s">
        <v>4668</v>
      </c>
      <c r="F1490" t="s">
        <v>4599</v>
      </c>
      <c r="G1490" t="s">
        <v>4615</v>
      </c>
      <c r="H1490" t="s">
        <v>4850</v>
      </c>
      <c r="I1490" t="s">
        <v>4406</v>
      </c>
      <c r="J1490" t="s">
        <v>4400</v>
      </c>
      <c r="K1490" t="s">
        <v>4744</v>
      </c>
      <c r="L1490" t="s">
        <v>4406</v>
      </c>
      <c r="M1490" t="s">
        <v>5062</v>
      </c>
      <c r="N1490" t="s">
        <v>4507</v>
      </c>
      <c r="O1490" t="s">
        <v>4910</v>
      </c>
    </row>
    <row r="1491" spans="1:15" x14ac:dyDescent="0.25">
      <c r="A1491" t="s">
        <v>1353</v>
      </c>
      <c r="B1491">
        <v>98</v>
      </c>
      <c r="C1491" t="s">
        <v>4741</v>
      </c>
      <c r="D1491" t="s">
        <v>4402</v>
      </c>
      <c r="E1491" t="s">
        <v>4668</v>
      </c>
      <c r="F1491" t="s">
        <v>4925</v>
      </c>
      <c r="G1491" t="s">
        <v>5063</v>
      </c>
      <c r="H1491" t="s">
        <v>5014</v>
      </c>
      <c r="I1491" t="s">
        <v>4695</v>
      </c>
      <c r="J1491" t="s">
        <v>4765</v>
      </c>
      <c r="K1491" t="s">
        <v>4402</v>
      </c>
      <c r="L1491" t="s">
        <v>4406</v>
      </c>
      <c r="M1491" t="s">
        <v>5064</v>
      </c>
      <c r="N1491" t="s">
        <v>5065</v>
      </c>
      <c r="O1491" t="s">
        <v>4522</v>
      </c>
    </row>
    <row r="1492" spans="1:15" x14ac:dyDescent="0.25">
      <c r="A1492" t="s">
        <v>1296</v>
      </c>
      <c r="B1492">
        <v>297</v>
      </c>
      <c r="C1492" t="s">
        <v>4424</v>
      </c>
      <c r="D1492" t="s">
        <v>4626</v>
      </c>
      <c r="E1492" t="s">
        <v>4539</v>
      </c>
      <c r="F1492" t="s">
        <v>4617</v>
      </c>
      <c r="G1492" t="s">
        <v>4814</v>
      </c>
      <c r="H1492" t="s">
        <v>4852</v>
      </c>
      <c r="I1492" t="s">
        <v>4402</v>
      </c>
      <c r="J1492" t="s">
        <v>4617</v>
      </c>
      <c r="K1492" t="s">
        <v>4419</v>
      </c>
      <c r="L1492" t="s">
        <v>4406</v>
      </c>
      <c r="M1492" t="s">
        <v>4548</v>
      </c>
      <c r="N1492" t="s">
        <v>4731</v>
      </c>
      <c r="O1492" t="s">
        <v>4883</v>
      </c>
    </row>
    <row r="1494" spans="1:15" x14ac:dyDescent="0.25">
      <c r="A1494" t="s">
        <v>5747</v>
      </c>
    </row>
    <row r="1495" spans="1:15" x14ac:dyDescent="0.25">
      <c r="A1495" t="s">
        <v>903</v>
      </c>
      <c r="B1495" t="s">
        <v>4394</v>
      </c>
      <c r="C1495" t="s">
        <v>5042</v>
      </c>
      <c r="D1495" t="s">
        <v>5043</v>
      </c>
      <c r="E1495" t="s">
        <v>4732</v>
      </c>
      <c r="F1495" t="s">
        <v>5044</v>
      </c>
      <c r="G1495" t="s">
        <v>5045</v>
      </c>
      <c r="H1495" t="s">
        <v>5046</v>
      </c>
      <c r="I1495" t="s">
        <v>5047</v>
      </c>
      <c r="J1495" t="s">
        <v>5048</v>
      </c>
      <c r="K1495" t="s">
        <v>4736</v>
      </c>
      <c r="L1495" t="s">
        <v>4737</v>
      </c>
      <c r="M1495" t="s">
        <v>5049</v>
      </c>
      <c r="N1495" t="s">
        <v>5050</v>
      </c>
      <c r="O1495" t="s">
        <v>5051</v>
      </c>
    </row>
    <row r="1496" spans="1:15" x14ac:dyDescent="0.25">
      <c r="A1496" t="s">
        <v>70</v>
      </c>
      <c r="B1496">
        <v>85</v>
      </c>
      <c r="C1496" t="s">
        <v>4656</v>
      </c>
      <c r="D1496" t="s">
        <v>4422</v>
      </c>
      <c r="E1496" t="s">
        <v>4950</v>
      </c>
      <c r="F1496" t="s">
        <v>4696</v>
      </c>
      <c r="G1496" t="s">
        <v>4615</v>
      </c>
      <c r="H1496" t="s">
        <v>4696</v>
      </c>
      <c r="I1496" t="s">
        <v>4406</v>
      </c>
      <c r="J1496" t="s">
        <v>4558</v>
      </c>
      <c r="K1496" t="s">
        <v>4422</v>
      </c>
      <c r="L1496" t="s">
        <v>4406</v>
      </c>
      <c r="M1496" t="s">
        <v>4420</v>
      </c>
      <c r="N1496" t="s">
        <v>4616</v>
      </c>
      <c r="O1496" t="s">
        <v>4696</v>
      </c>
    </row>
    <row r="1497" spans="1:15" x14ac:dyDescent="0.25">
      <c r="A1497" t="s">
        <v>71</v>
      </c>
      <c r="B1497">
        <v>212</v>
      </c>
      <c r="C1497" t="s">
        <v>4750</v>
      </c>
      <c r="D1497" t="s">
        <v>4720</v>
      </c>
      <c r="E1497" t="s">
        <v>4715</v>
      </c>
      <c r="F1497" t="s">
        <v>4715</v>
      </c>
      <c r="G1497" t="s">
        <v>5087</v>
      </c>
      <c r="H1497" t="s">
        <v>4950</v>
      </c>
      <c r="I1497" t="s">
        <v>4750</v>
      </c>
      <c r="J1497" t="s">
        <v>4650</v>
      </c>
      <c r="K1497" t="s">
        <v>4952</v>
      </c>
      <c r="L1497" t="s">
        <v>4406</v>
      </c>
      <c r="M1497" t="s">
        <v>4909</v>
      </c>
      <c r="N1497" t="s">
        <v>4843</v>
      </c>
      <c r="O1497" t="s">
        <v>4709</v>
      </c>
    </row>
    <row r="1498" spans="1:15" x14ac:dyDescent="0.25">
      <c r="A1498" t="s">
        <v>1296</v>
      </c>
      <c r="B1498">
        <v>297</v>
      </c>
      <c r="C1498" t="s">
        <v>4424</v>
      </c>
      <c r="D1498" t="s">
        <v>4626</v>
      </c>
      <c r="E1498" t="s">
        <v>4539</v>
      </c>
      <c r="F1498" t="s">
        <v>4617</v>
      </c>
      <c r="G1498" t="s">
        <v>4814</v>
      </c>
      <c r="H1498" t="s">
        <v>4852</v>
      </c>
      <c r="I1498" t="s">
        <v>4402</v>
      </c>
      <c r="J1498" t="s">
        <v>4617</v>
      </c>
      <c r="K1498" t="s">
        <v>4419</v>
      </c>
      <c r="L1498" t="s">
        <v>4406</v>
      </c>
      <c r="M1498" t="s">
        <v>4548</v>
      </c>
      <c r="N1498" t="s">
        <v>4731</v>
      </c>
      <c r="O1498" t="s">
        <v>4883</v>
      </c>
    </row>
    <row r="1500" spans="1:15" x14ac:dyDescent="0.25">
      <c r="A1500" t="s">
        <v>5748</v>
      </c>
    </row>
    <row r="1501" spans="1:15" x14ac:dyDescent="0.25">
      <c r="A1501" t="s">
        <v>1297</v>
      </c>
      <c r="B1501" t="s">
        <v>4394</v>
      </c>
      <c r="C1501" t="s">
        <v>109</v>
      </c>
      <c r="D1501" t="s">
        <v>192</v>
      </c>
    </row>
    <row r="1502" spans="1:15" x14ac:dyDescent="0.25">
      <c r="A1502" t="s">
        <v>5549</v>
      </c>
      <c r="B1502">
        <v>171</v>
      </c>
      <c r="C1502" t="s">
        <v>4752</v>
      </c>
      <c r="D1502" t="s">
        <v>5427</v>
      </c>
    </row>
    <row r="1503" spans="1:15" x14ac:dyDescent="0.25">
      <c r="A1503" t="s">
        <v>1397</v>
      </c>
      <c r="B1503">
        <v>90</v>
      </c>
      <c r="C1503" t="s">
        <v>4570</v>
      </c>
      <c r="D1503" t="s">
        <v>4727</v>
      </c>
    </row>
    <row r="1504" spans="1:15" x14ac:dyDescent="0.25">
      <c r="A1504" t="s">
        <v>1296</v>
      </c>
      <c r="B1504">
        <v>261</v>
      </c>
      <c r="C1504" t="s">
        <v>4601</v>
      </c>
      <c r="D1504" t="s">
        <v>4461</v>
      </c>
    </row>
    <row r="1506" spans="1:4" x14ac:dyDescent="0.25">
      <c r="A1506" t="s">
        <v>5749</v>
      </c>
    </row>
    <row r="1507" spans="1:4" x14ac:dyDescent="0.25">
      <c r="A1507" t="s">
        <v>905</v>
      </c>
      <c r="B1507" t="s">
        <v>4394</v>
      </c>
      <c r="C1507" t="s">
        <v>109</v>
      </c>
      <c r="D1507" t="s">
        <v>192</v>
      </c>
    </row>
    <row r="1508" spans="1:4" x14ac:dyDescent="0.25">
      <c r="A1508" t="s">
        <v>4844</v>
      </c>
      <c r="B1508">
        <v>35</v>
      </c>
      <c r="C1508" t="s">
        <v>4612</v>
      </c>
      <c r="D1508" t="s">
        <v>5130</v>
      </c>
    </row>
    <row r="1509" spans="1:4" x14ac:dyDescent="0.25">
      <c r="A1509" t="s">
        <v>4845</v>
      </c>
      <c r="B1509">
        <v>201</v>
      </c>
      <c r="C1509" t="s">
        <v>4728</v>
      </c>
      <c r="D1509" t="s">
        <v>5572</v>
      </c>
    </row>
    <row r="1510" spans="1:4" x14ac:dyDescent="0.25">
      <c r="A1510" t="s">
        <v>4846</v>
      </c>
      <c r="B1510">
        <v>25</v>
      </c>
      <c r="C1510" t="s">
        <v>4457</v>
      </c>
      <c r="D1510" t="s">
        <v>4458</v>
      </c>
    </row>
    <row r="1511" spans="1:4" x14ac:dyDescent="0.25">
      <c r="A1511" t="s">
        <v>1296</v>
      </c>
      <c r="B1511">
        <v>261</v>
      </c>
      <c r="C1511" t="s">
        <v>4601</v>
      </c>
      <c r="D1511" t="s">
        <v>4461</v>
      </c>
    </row>
    <row r="1513" spans="1:4" x14ac:dyDescent="0.25">
      <c r="A1513" t="s">
        <v>5750</v>
      </c>
    </row>
    <row r="1514" spans="1:4" x14ac:dyDescent="0.25">
      <c r="A1514" t="s">
        <v>906</v>
      </c>
      <c r="B1514" t="s">
        <v>4394</v>
      </c>
      <c r="C1514" t="s">
        <v>109</v>
      </c>
      <c r="D1514" t="s">
        <v>192</v>
      </c>
    </row>
    <row r="1515" spans="1:4" x14ac:dyDescent="0.25">
      <c r="A1515" t="s">
        <v>1338</v>
      </c>
      <c r="B1515">
        <v>39</v>
      </c>
      <c r="C1515" t="s">
        <v>4487</v>
      </c>
      <c r="D1515" t="s">
        <v>5224</v>
      </c>
    </row>
    <row r="1516" spans="1:4" x14ac:dyDescent="0.25">
      <c r="A1516" t="s">
        <v>1370</v>
      </c>
      <c r="B1516">
        <v>31</v>
      </c>
      <c r="C1516" t="s">
        <v>5000</v>
      </c>
      <c r="D1516" t="s">
        <v>5111</v>
      </c>
    </row>
    <row r="1517" spans="1:4" x14ac:dyDescent="0.25">
      <c r="A1517" t="s">
        <v>1439</v>
      </c>
      <c r="B1517">
        <v>16</v>
      </c>
      <c r="C1517" t="s">
        <v>4916</v>
      </c>
      <c r="D1517" t="s">
        <v>4521</v>
      </c>
    </row>
    <row r="1518" spans="1:4" x14ac:dyDescent="0.25">
      <c r="A1518" t="s">
        <v>1476</v>
      </c>
      <c r="B1518">
        <v>70</v>
      </c>
      <c r="C1518" t="s">
        <v>4506</v>
      </c>
      <c r="D1518" t="s">
        <v>4817</v>
      </c>
    </row>
    <row r="1519" spans="1:4" x14ac:dyDescent="0.25">
      <c r="A1519" t="s">
        <v>5476</v>
      </c>
      <c r="B1519">
        <v>5</v>
      </c>
      <c r="C1519" t="s">
        <v>4457</v>
      </c>
      <c r="D1519" t="s">
        <v>4458</v>
      </c>
    </row>
    <row r="1520" spans="1:4" x14ac:dyDescent="0.25">
      <c r="A1520" t="s">
        <v>1399</v>
      </c>
      <c r="B1520">
        <v>39</v>
      </c>
      <c r="C1520" t="s">
        <v>4487</v>
      </c>
      <c r="D1520" t="s">
        <v>5224</v>
      </c>
    </row>
    <row r="1521" spans="1:4" x14ac:dyDescent="0.25">
      <c r="A1521" t="s">
        <v>1415</v>
      </c>
      <c r="B1521">
        <v>61</v>
      </c>
      <c r="C1521" t="s">
        <v>4634</v>
      </c>
      <c r="D1521" t="s">
        <v>4957</v>
      </c>
    </row>
    <row r="1522" spans="1:4" x14ac:dyDescent="0.25">
      <c r="A1522" t="s">
        <v>1296</v>
      </c>
      <c r="B1522">
        <v>261</v>
      </c>
      <c r="C1522" t="s">
        <v>4601</v>
      </c>
      <c r="D1522" t="s">
        <v>4461</v>
      </c>
    </row>
    <row r="1524" spans="1:4" x14ac:dyDescent="0.25">
      <c r="A1524" t="s">
        <v>5751</v>
      </c>
    </row>
    <row r="1525" spans="1:4" x14ac:dyDescent="0.25">
      <c r="A1525" t="s">
        <v>907</v>
      </c>
      <c r="B1525" t="s">
        <v>4394</v>
      </c>
      <c r="C1525" t="s">
        <v>109</v>
      </c>
      <c r="D1525" t="s">
        <v>192</v>
      </c>
    </row>
    <row r="1526" spans="1:4" x14ac:dyDescent="0.25">
      <c r="A1526" t="s">
        <v>109</v>
      </c>
      <c r="B1526">
        <v>224</v>
      </c>
      <c r="C1526" t="s">
        <v>4827</v>
      </c>
      <c r="D1526" t="s">
        <v>5085</v>
      </c>
    </row>
    <row r="1527" spans="1:4" x14ac:dyDescent="0.25">
      <c r="A1527" t="s">
        <v>192</v>
      </c>
      <c r="B1527">
        <v>37</v>
      </c>
      <c r="C1527" t="s">
        <v>4537</v>
      </c>
      <c r="D1527" t="s">
        <v>5171</v>
      </c>
    </row>
    <row r="1528" spans="1:4" x14ac:dyDescent="0.25">
      <c r="A1528" t="s">
        <v>1296</v>
      </c>
      <c r="B1528">
        <v>261</v>
      </c>
      <c r="C1528" t="s">
        <v>4601</v>
      </c>
      <c r="D1528" t="s">
        <v>4461</v>
      </c>
    </row>
    <row r="1530" spans="1:4" x14ac:dyDescent="0.25">
      <c r="A1530" t="s">
        <v>5752</v>
      </c>
    </row>
    <row r="1531" spans="1:4" x14ac:dyDescent="0.25">
      <c r="A1531" t="s">
        <v>1295</v>
      </c>
      <c r="B1531" t="s">
        <v>4394</v>
      </c>
      <c r="C1531" t="s">
        <v>109</v>
      </c>
      <c r="D1531" t="s">
        <v>192</v>
      </c>
    </row>
    <row r="1532" spans="1:4" x14ac:dyDescent="0.25">
      <c r="A1532" t="s">
        <v>4395</v>
      </c>
      <c r="B1532">
        <v>27</v>
      </c>
      <c r="C1532" t="s">
        <v>4570</v>
      </c>
      <c r="D1532" t="s">
        <v>4727</v>
      </c>
    </row>
    <row r="1533" spans="1:4" x14ac:dyDescent="0.25">
      <c r="A1533" t="s">
        <v>4396</v>
      </c>
      <c r="B1533">
        <v>148</v>
      </c>
      <c r="C1533" t="s">
        <v>4711</v>
      </c>
      <c r="D1533" t="s">
        <v>4582</v>
      </c>
    </row>
    <row r="1534" spans="1:4" x14ac:dyDescent="0.25">
      <c r="A1534" t="s">
        <v>4397</v>
      </c>
      <c r="B1534">
        <v>2</v>
      </c>
      <c r="C1534" t="s">
        <v>4454</v>
      </c>
      <c r="D1534" t="s">
        <v>4406</v>
      </c>
    </row>
    <row r="1535" spans="1:4" x14ac:dyDescent="0.25">
      <c r="A1535" t="s">
        <v>4398</v>
      </c>
      <c r="B1535">
        <v>82</v>
      </c>
      <c r="C1535" t="s">
        <v>4694</v>
      </c>
      <c r="D1535" t="s">
        <v>5169</v>
      </c>
    </row>
    <row r="1536" spans="1:4" x14ac:dyDescent="0.25">
      <c r="A1536" t="s">
        <v>4399</v>
      </c>
      <c r="B1536">
        <v>2</v>
      </c>
      <c r="C1536" t="s">
        <v>4454</v>
      </c>
      <c r="D1536" t="s">
        <v>4406</v>
      </c>
    </row>
    <row r="1537" spans="1:4" x14ac:dyDescent="0.25">
      <c r="A1537" t="s">
        <v>1296</v>
      </c>
      <c r="B1537">
        <v>261</v>
      </c>
      <c r="C1537" t="s">
        <v>4601</v>
      </c>
      <c r="D1537" t="s">
        <v>4461</v>
      </c>
    </row>
    <row r="1539" spans="1:4" x14ac:dyDescent="0.25">
      <c r="A1539" t="s">
        <v>5753</v>
      </c>
    </row>
    <row r="1540" spans="1:4" x14ac:dyDescent="0.25">
      <c r="A1540" t="s">
        <v>910</v>
      </c>
      <c r="B1540" t="s">
        <v>4394</v>
      </c>
      <c r="C1540" t="s">
        <v>109</v>
      </c>
      <c r="D1540" t="s">
        <v>192</v>
      </c>
    </row>
    <row r="1541" spans="1:4" x14ac:dyDescent="0.25">
      <c r="A1541" t="s">
        <v>1371</v>
      </c>
      <c r="B1541">
        <v>41</v>
      </c>
      <c r="C1541" t="s">
        <v>5329</v>
      </c>
      <c r="D1541" t="s">
        <v>5172</v>
      </c>
    </row>
    <row r="1542" spans="1:4" x14ac:dyDescent="0.25">
      <c r="A1542" t="s">
        <v>1452</v>
      </c>
      <c r="B1542">
        <v>17</v>
      </c>
      <c r="C1542" t="s">
        <v>4655</v>
      </c>
      <c r="D1542" t="s">
        <v>5164</v>
      </c>
    </row>
    <row r="1543" spans="1:4" x14ac:dyDescent="0.25">
      <c r="A1543" t="s">
        <v>5560</v>
      </c>
      <c r="B1543">
        <v>58</v>
      </c>
      <c r="C1543" t="s">
        <v>4820</v>
      </c>
      <c r="D1543" t="s">
        <v>5389</v>
      </c>
    </row>
    <row r="1544" spans="1:4" x14ac:dyDescent="0.25">
      <c r="A1544" t="s">
        <v>1424</v>
      </c>
      <c r="B1544">
        <v>119</v>
      </c>
      <c r="C1544" t="s">
        <v>5176</v>
      </c>
      <c r="D1544" t="s">
        <v>5425</v>
      </c>
    </row>
    <row r="1545" spans="1:4" x14ac:dyDescent="0.25">
      <c r="A1545" t="s">
        <v>5561</v>
      </c>
      <c r="B1545">
        <v>7</v>
      </c>
      <c r="C1545" t="s">
        <v>4447</v>
      </c>
      <c r="D1545" t="s">
        <v>4778</v>
      </c>
    </row>
    <row r="1546" spans="1:4" x14ac:dyDescent="0.25">
      <c r="A1546" t="s">
        <v>1416</v>
      </c>
      <c r="B1546">
        <v>19</v>
      </c>
      <c r="C1546" t="s">
        <v>4830</v>
      </c>
      <c r="D1546" t="s">
        <v>4600</v>
      </c>
    </row>
    <row r="1547" spans="1:4" x14ac:dyDescent="0.25">
      <c r="A1547" t="s">
        <v>1296</v>
      </c>
      <c r="B1547">
        <v>261</v>
      </c>
      <c r="C1547" t="s">
        <v>4601</v>
      </c>
      <c r="D1547" t="s">
        <v>4461</v>
      </c>
    </row>
    <row r="1549" spans="1:4" x14ac:dyDescent="0.25">
      <c r="A1549" t="s">
        <v>5754</v>
      </c>
    </row>
    <row r="1550" spans="1:4" x14ac:dyDescent="0.25">
      <c r="A1550" t="s">
        <v>903</v>
      </c>
      <c r="B1550" t="s">
        <v>4394</v>
      </c>
      <c r="C1550" t="s">
        <v>109</v>
      </c>
      <c r="D1550" t="s">
        <v>192</v>
      </c>
    </row>
    <row r="1551" spans="1:4" x14ac:dyDescent="0.25">
      <c r="A1551" t="s">
        <v>70</v>
      </c>
      <c r="B1551">
        <v>76</v>
      </c>
      <c r="C1551" t="s">
        <v>4544</v>
      </c>
      <c r="D1551" t="s">
        <v>5180</v>
      </c>
    </row>
    <row r="1552" spans="1:4" x14ac:dyDescent="0.25">
      <c r="A1552" t="s">
        <v>71</v>
      </c>
      <c r="B1552">
        <v>185</v>
      </c>
      <c r="C1552" t="s">
        <v>5153</v>
      </c>
      <c r="D1552" t="s">
        <v>4829</v>
      </c>
    </row>
    <row r="1553" spans="1:4" x14ac:dyDescent="0.25">
      <c r="A1553" t="s">
        <v>1296</v>
      </c>
      <c r="B1553">
        <v>261</v>
      </c>
      <c r="C1553" t="s">
        <v>4601</v>
      </c>
      <c r="D1553" t="s">
        <v>4461</v>
      </c>
    </row>
    <row r="1555" spans="1:4" x14ac:dyDescent="0.25">
      <c r="A1555" t="s">
        <v>5755</v>
      </c>
    </row>
    <row r="1556" spans="1:4" x14ac:dyDescent="0.25">
      <c r="A1556" t="s">
        <v>1297</v>
      </c>
      <c r="B1556" t="s">
        <v>4394</v>
      </c>
      <c r="C1556" t="s">
        <v>109</v>
      </c>
      <c r="D1556" t="s">
        <v>192</v>
      </c>
    </row>
    <row r="1557" spans="1:4" x14ac:dyDescent="0.25">
      <c r="A1557" t="s">
        <v>5549</v>
      </c>
      <c r="B1557">
        <v>171</v>
      </c>
      <c r="C1557" t="s">
        <v>4466</v>
      </c>
      <c r="D1557" t="s">
        <v>4528</v>
      </c>
    </row>
    <row r="1558" spans="1:4" x14ac:dyDescent="0.25">
      <c r="A1558" t="s">
        <v>1397</v>
      </c>
      <c r="B1558">
        <v>90</v>
      </c>
      <c r="C1558" t="s">
        <v>4468</v>
      </c>
      <c r="D1558" t="s">
        <v>4468</v>
      </c>
    </row>
    <row r="1559" spans="1:4" x14ac:dyDescent="0.25">
      <c r="A1559" t="s">
        <v>1296</v>
      </c>
      <c r="B1559">
        <v>261</v>
      </c>
      <c r="C1559" t="s">
        <v>5254</v>
      </c>
      <c r="D1559" t="s">
        <v>5162</v>
      </c>
    </row>
    <row r="1561" spans="1:4" x14ac:dyDescent="0.25">
      <c r="A1561" t="s">
        <v>5756</v>
      </c>
    </row>
    <row r="1562" spans="1:4" x14ac:dyDescent="0.25">
      <c r="A1562" t="s">
        <v>905</v>
      </c>
      <c r="B1562" t="s">
        <v>4394</v>
      </c>
      <c r="C1562" t="s">
        <v>109</v>
      </c>
      <c r="D1562" t="s">
        <v>192</v>
      </c>
    </row>
    <row r="1563" spans="1:4" x14ac:dyDescent="0.25">
      <c r="A1563" t="s">
        <v>4844</v>
      </c>
      <c r="B1563">
        <v>35</v>
      </c>
      <c r="C1563" t="s">
        <v>4710</v>
      </c>
      <c r="D1563" t="s">
        <v>4841</v>
      </c>
    </row>
    <row r="1564" spans="1:4" x14ac:dyDescent="0.25">
      <c r="A1564" t="s">
        <v>4845</v>
      </c>
      <c r="B1564">
        <v>201</v>
      </c>
      <c r="C1564" t="s">
        <v>4679</v>
      </c>
      <c r="D1564" t="s">
        <v>4763</v>
      </c>
    </row>
    <row r="1565" spans="1:4" x14ac:dyDescent="0.25">
      <c r="A1565" t="s">
        <v>4846</v>
      </c>
      <c r="B1565">
        <v>25</v>
      </c>
      <c r="C1565" t="s">
        <v>4457</v>
      </c>
      <c r="D1565" t="s">
        <v>4458</v>
      </c>
    </row>
    <row r="1566" spans="1:4" x14ac:dyDescent="0.25">
      <c r="A1566" t="s">
        <v>1296</v>
      </c>
      <c r="B1566">
        <v>261</v>
      </c>
      <c r="C1566" t="s">
        <v>5254</v>
      </c>
      <c r="D1566" t="s">
        <v>5162</v>
      </c>
    </row>
    <row r="1568" spans="1:4" x14ac:dyDescent="0.25">
      <c r="A1568" t="s">
        <v>5757</v>
      </c>
    </row>
    <row r="1569" spans="1:4" x14ac:dyDescent="0.25">
      <c r="A1569" t="s">
        <v>906</v>
      </c>
      <c r="B1569" t="s">
        <v>4394</v>
      </c>
      <c r="C1569" t="s">
        <v>109</v>
      </c>
      <c r="D1569" t="s">
        <v>192</v>
      </c>
    </row>
    <row r="1570" spans="1:4" x14ac:dyDescent="0.25">
      <c r="A1570" t="s">
        <v>1338</v>
      </c>
      <c r="B1570">
        <v>39</v>
      </c>
      <c r="C1570" t="s">
        <v>5114</v>
      </c>
      <c r="D1570" t="s">
        <v>5168</v>
      </c>
    </row>
    <row r="1571" spans="1:4" x14ac:dyDescent="0.25">
      <c r="A1571" t="s">
        <v>1370</v>
      </c>
      <c r="B1571">
        <v>31</v>
      </c>
      <c r="C1571" t="s">
        <v>4608</v>
      </c>
      <c r="D1571" t="s">
        <v>5071</v>
      </c>
    </row>
    <row r="1572" spans="1:4" x14ac:dyDescent="0.25">
      <c r="A1572" t="s">
        <v>1439</v>
      </c>
      <c r="B1572">
        <v>16</v>
      </c>
      <c r="C1572" t="s">
        <v>4481</v>
      </c>
      <c r="D1572" t="s">
        <v>4602</v>
      </c>
    </row>
    <row r="1573" spans="1:4" x14ac:dyDescent="0.25">
      <c r="A1573" t="s">
        <v>1476</v>
      </c>
      <c r="B1573">
        <v>70</v>
      </c>
      <c r="C1573" t="s">
        <v>4634</v>
      </c>
      <c r="D1573" t="s">
        <v>4957</v>
      </c>
    </row>
    <row r="1574" spans="1:4" x14ac:dyDescent="0.25">
      <c r="A1574" t="s">
        <v>5476</v>
      </c>
      <c r="B1574">
        <v>5</v>
      </c>
      <c r="C1574" t="s">
        <v>4458</v>
      </c>
      <c r="D1574" t="s">
        <v>4457</v>
      </c>
    </row>
    <row r="1575" spans="1:4" x14ac:dyDescent="0.25">
      <c r="A1575" t="s">
        <v>1399</v>
      </c>
      <c r="B1575">
        <v>39</v>
      </c>
      <c r="C1575" t="s">
        <v>4915</v>
      </c>
      <c r="D1575" t="s">
        <v>4565</v>
      </c>
    </row>
    <row r="1576" spans="1:4" x14ac:dyDescent="0.25">
      <c r="A1576" t="s">
        <v>1415</v>
      </c>
      <c r="B1576">
        <v>61</v>
      </c>
      <c r="C1576" t="s">
        <v>4484</v>
      </c>
      <c r="D1576" t="s">
        <v>5499</v>
      </c>
    </row>
    <row r="1577" spans="1:4" x14ac:dyDescent="0.25">
      <c r="A1577" t="s">
        <v>1296</v>
      </c>
      <c r="B1577">
        <v>261</v>
      </c>
      <c r="C1577" t="s">
        <v>5254</v>
      </c>
      <c r="D1577" t="s">
        <v>5162</v>
      </c>
    </row>
    <row r="1579" spans="1:4" x14ac:dyDescent="0.25">
      <c r="A1579" t="s">
        <v>5758</v>
      </c>
    </row>
    <row r="1580" spans="1:4" x14ac:dyDescent="0.25">
      <c r="A1580" t="s">
        <v>907</v>
      </c>
      <c r="B1580" t="s">
        <v>4394</v>
      </c>
      <c r="C1580" t="s">
        <v>109</v>
      </c>
      <c r="D1580" t="s">
        <v>192</v>
      </c>
    </row>
    <row r="1581" spans="1:4" x14ac:dyDescent="0.25">
      <c r="A1581" t="s">
        <v>109</v>
      </c>
      <c r="B1581">
        <v>224</v>
      </c>
      <c r="C1581" t="s">
        <v>5493</v>
      </c>
      <c r="D1581" t="s">
        <v>4478</v>
      </c>
    </row>
    <row r="1582" spans="1:4" x14ac:dyDescent="0.25">
      <c r="A1582" t="s">
        <v>192</v>
      </c>
      <c r="B1582">
        <v>37</v>
      </c>
      <c r="C1582" t="s">
        <v>4613</v>
      </c>
      <c r="D1582" t="s">
        <v>4816</v>
      </c>
    </row>
    <row r="1583" spans="1:4" x14ac:dyDescent="0.25">
      <c r="A1583" t="s">
        <v>1296</v>
      </c>
      <c r="B1583">
        <v>261</v>
      </c>
      <c r="C1583" t="s">
        <v>5254</v>
      </c>
      <c r="D1583" t="s">
        <v>5162</v>
      </c>
    </row>
    <row r="1585" spans="1:4" x14ac:dyDescent="0.25">
      <c r="A1585" t="s">
        <v>5759</v>
      </c>
    </row>
    <row r="1586" spans="1:4" x14ac:dyDescent="0.25">
      <c r="A1586" t="s">
        <v>1295</v>
      </c>
      <c r="B1586" t="s">
        <v>4394</v>
      </c>
      <c r="C1586" t="s">
        <v>109</v>
      </c>
      <c r="D1586" t="s">
        <v>192</v>
      </c>
    </row>
    <row r="1587" spans="1:4" x14ac:dyDescent="0.25">
      <c r="A1587" t="s">
        <v>4395</v>
      </c>
      <c r="B1587">
        <v>27</v>
      </c>
      <c r="C1587" t="s">
        <v>5394</v>
      </c>
      <c r="D1587" t="s">
        <v>5102</v>
      </c>
    </row>
    <row r="1588" spans="1:4" x14ac:dyDescent="0.25">
      <c r="A1588" t="s">
        <v>4396</v>
      </c>
      <c r="B1588">
        <v>148</v>
      </c>
      <c r="C1588" t="s">
        <v>4672</v>
      </c>
      <c r="D1588" t="s">
        <v>4891</v>
      </c>
    </row>
    <row r="1589" spans="1:4" x14ac:dyDescent="0.25">
      <c r="A1589" t="s">
        <v>4397</v>
      </c>
      <c r="B1589">
        <v>2</v>
      </c>
      <c r="C1589" t="s">
        <v>4468</v>
      </c>
      <c r="D1589" t="s">
        <v>4468</v>
      </c>
    </row>
    <row r="1590" spans="1:4" x14ac:dyDescent="0.25">
      <c r="A1590" t="s">
        <v>4398</v>
      </c>
      <c r="B1590">
        <v>82</v>
      </c>
      <c r="C1590" t="s">
        <v>5210</v>
      </c>
      <c r="D1590" t="s">
        <v>4502</v>
      </c>
    </row>
    <row r="1591" spans="1:4" x14ac:dyDescent="0.25">
      <c r="A1591" t="s">
        <v>4399</v>
      </c>
      <c r="B1591">
        <v>2</v>
      </c>
      <c r="C1591" t="s">
        <v>4454</v>
      </c>
      <c r="D1591" t="s">
        <v>4406</v>
      </c>
    </row>
    <row r="1592" spans="1:4" x14ac:dyDescent="0.25">
      <c r="A1592" t="s">
        <v>1296</v>
      </c>
      <c r="B1592">
        <v>261</v>
      </c>
      <c r="C1592" t="s">
        <v>5254</v>
      </c>
      <c r="D1592" t="s">
        <v>5162</v>
      </c>
    </row>
    <row r="1594" spans="1:4" x14ac:dyDescent="0.25">
      <c r="A1594" t="s">
        <v>5760</v>
      </c>
    </row>
    <row r="1595" spans="1:4" x14ac:dyDescent="0.25">
      <c r="A1595" t="s">
        <v>910</v>
      </c>
      <c r="B1595" t="s">
        <v>4394</v>
      </c>
      <c r="C1595" t="s">
        <v>109</v>
      </c>
      <c r="D1595" t="s">
        <v>192</v>
      </c>
    </row>
    <row r="1596" spans="1:4" x14ac:dyDescent="0.25">
      <c r="A1596" t="s">
        <v>1371</v>
      </c>
      <c r="B1596">
        <v>41</v>
      </c>
      <c r="C1596" t="s">
        <v>5210</v>
      </c>
      <c r="D1596" t="s">
        <v>4502</v>
      </c>
    </row>
    <row r="1597" spans="1:4" x14ac:dyDescent="0.25">
      <c r="A1597" t="s">
        <v>1452</v>
      </c>
      <c r="B1597">
        <v>17</v>
      </c>
      <c r="C1597" t="s">
        <v>4822</v>
      </c>
      <c r="D1597" t="s">
        <v>4515</v>
      </c>
    </row>
    <row r="1598" spans="1:4" x14ac:dyDescent="0.25">
      <c r="A1598" t="s">
        <v>5560</v>
      </c>
      <c r="B1598">
        <v>58</v>
      </c>
      <c r="C1598" t="s">
        <v>5761</v>
      </c>
      <c r="D1598" t="s">
        <v>4922</v>
      </c>
    </row>
    <row r="1599" spans="1:4" x14ac:dyDescent="0.25">
      <c r="A1599" t="s">
        <v>1424</v>
      </c>
      <c r="B1599">
        <v>119</v>
      </c>
      <c r="C1599" t="s">
        <v>4447</v>
      </c>
      <c r="D1599" t="s">
        <v>4778</v>
      </c>
    </row>
    <row r="1600" spans="1:4" x14ac:dyDescent="0.25">
      <c r="A1600" t="s">
        <v>5561</v>
      </c>
      <c r="B1600">
        <v>7</v>
      </c>
      <c r="C1600" t="s">
        <v>4447</v>
      </c>
      <c r="D1600" t="s">
        <v>4778</v>
      </c>
    </row>
    <row r="1601" spans="1:4" x14ac:dyDescent="0.25">
      <c r="A1601" t="s">
        <v>1416</v>
      </c>
      <c r="B1601">
        <v>19</v>
      </c>
      <c r="C1601" t="s">
        <v>4830</v>
      </c>
      <c r="D1601" t="s">
        <v>4600</v>
      </c>
    </row>
    <row r="1602" spans="1:4" x14ac:dyDescent="0.25">
      <c r="A1602" t="s">
        <v>1296</v>
      </c>
      <c r="B1602">
        <v>261</v>
      </c>
      <c r="C1602" t="s">
        <v>5254</v>
      </c>
      <c r="D1602" t="s">
        <v>5162</v>
      </c>
    </row>
    <row r="1604" spans="1:4" x14ac:dyDescent="0.25">
      <c r="A1604" t="s">
        <v>5762</v>
      </c>
    </row>
    <row r="1605" spans="1:4" x14ac:dyDescent="0.25">
      <c r="A1605" t="s">
        <v>903</v>
      </c>
      <c r="B1605" t="s">
        <v>4394</v>
      </c>
      <c r="C1605" t="s">
        <v>109</v>
      </c>
      <c r="D1605" t="s">
        <v>192</v>
      </c>
    </row>
    <row r="1606" spans="1:4" x14ac:dyDescent="0.25">
      <c r="A1606" t="s">
        <v>70</v>
      </c>
      <c r="B1606">
        <v>76</v>
      </c>
      <c r="C1606" t="s">
        <v>4590</v>
      </c>
      <c r="D1606" t="s">
        <v>4719</v>
      </c>
    </row>
    <row r="1607" spans="1:4" x14ac:dyDescent="0.25">
      <c r="A1607" t="s">
        <v>71</v>
      </c>
      <c r="B1607">
        <v>185</v>
      </c>
      <c r="C1607" t="s">
        <v>4476</v>
      </c>
      <c r="D1607" t="s">
        <v>4586</v>
      </c>
    </row>
    <row r="1608" spans="1:4" x14ac:dyDescent="0.25">
      <c r="A1608" t="s">
        <v>1296</v>
      </c>
      <c r="B1608">
        <v>261</v>
      </c>
      <c r="C1608" t="s">
        <v>5254</v>
      </c>
      <c r="D1608" t="s">
        <v>5162</v>
      </c>
    </row>
    <row r="1610" spans="1:4" x14ac:dyDescent="0.25">
      <c r="A1610" t="s">
        <v>5763</v>
      </c>
    </row>
    <row r="1611" spans="1:4" x14ac:dyDescent="0.25">
      <c r="A1611" t="s">
        <v>1297</v>
      </c>
      <c r="B1611" t="s">
        <v>4394</v>
      </c>
      <c r="C1611" t="s">
        <v>109</v>
      </c>
      <c r="D1611" t="s">
        <v>192</v>
      </c>
    </row>
    <row r="1612" spans="1:4" x14ac:dyDescent="0.25">
      <c r="A1612" t="s">
        <v>5549</v>
      </c>
      <c r="B1612">
        <v>198</v>
      </c>
      <c r="C1612" t="s">
        <v>4965</v>
      </c>
      <c r="D1612" t="s">
        <v>4998</v>
      </c>
    </row>
    <row r="1613" spans="1:4" x14ac:dyDescent="0.25">
      <c r="A1613" t="s">
        <v>1397</v>
      </c>
      <c r="B1613">
        <v>99</v>
      </c>
      <c r="C1613" t="s">
        <v>4405</v>
      </c>
      <c r="D1613" t="s">
        <v>4401</v>
      </c>
    </row>
    <row r="1614" spans="1:4" x14ac:dyDescent="0.25">
      <c r="A1614" t="s">
        <v>1296</v>
      </c>
      <c r="B1614">
        <v>297</v>
      </c>
      <c r="C1614" t="s">
        <v>4959</v>
      </c>
      <c r="D1614" t="s">
        <v>5088</v>
      </c>
    </row>
    <row r="1616" spans="1:4" x14ac:dyDescent="0.25">
      <c r="A1616" t="s">
        <v>5764</v>
      </c>
    </row>
    <row r="1617" spans="1:4" x14ac:dyDescent="0.25">
      <c r="A1617" t="s">
        <v>910</v>
      </c>
      <c r="B1617" t="s">
        <v>4394</v>
      </c>
      <c r="C1617" t="s">
        <v>109</v>
      </c>
      <c r="D1617" t="s">
        <v>192</v>
      </c>
    </row>
    <row r="1618" spans="1:4" x14ac:dyDescent="0.25">
      <c r="A1618" t="s">
        <v>1371</v>
      </c>
      <c r="B1618">
        <v>42</v>
      </c>
      <c r="C1618" t="s">
        <v>4596</v>
      </c>
      <c r="D1618" t="s">
        <v>4783</v>
      </c>
    </row>
    <row r="1619" spans="1:4" x14ac:dyDescent="0.25">
      <c r="A1619" t="s">
        <v>1452</v>
      </c>
      <c r="B1619">
        <v>18</v>
      </c>
      <c r="C1619" t="s">
        <v>4596</v>
      </c>
      <c r="D1619" t="s">
        <v>4783</v>
      </c>
    </row>
    <row r="1620" spans="1:4" x14ac:dyDescent="0.25">
      <c r="A1620" t="s">
        <v>5560</v>
      </c>
      <c r="B1620">
        <v>59</v>
      </c>
      <c r="C1620" t="s">
        <v>4503</v>
      </c>
      <c r="D1620" t="s">
        <v>5398</v>
      </c>
    </row>
    <row r="1621" spans="1:4" x14ac:dyDescent="0.25">
      <c r="A1621" t="s">
        <v>1424</v>
      </c>
      <c r="B1621">
        <v>120</v>
      </c>
      <c r="C1621" t="s">
        <v>4479</v>
      </c>
      <c r="D1621" t="s">
        <v>4945</v>
      </c>
    </row>
    <row r="1622" spans="1:4" x14ac:dyDescent="0.25">
      <c r="A1622" t="s">
        <v>1340</v>
      </c>
      <c r="B1622">
        <v>31</v>
      </c>
      <c r="C1622" t="s">
        <v>4564</v>
      </c>
      <c r="D1622" t="s">
        <v>5089</v>
      </c>
    </row>
    <row r="1623" spans="1:4" x14ac:dyDescent="0.25">
      <c r="A1623" t="s">
        <v>5561</v>
      </c>
      <c r="B1623">
        <v>8</v>
      </c>
      <c r="C1623" t="s">
        <v>4481</v>
      </c>
      <c r="D1623" t="s">
        <v>4602</v>
      </c>
    </row>
    <row r="1624" spans="1:4" x14ac:dyDescent="0.25">
      <c r="A1624" t="s">
        <v>1416</v>
      </c>
      <c r="B1624">
        <v>19</v>
      </c>
      <c r="C1624" t="s">
        <v>4504</v>
      </c>
      <c r="D1624" t="s">
        <v>4407</v>
      </c>
    </row>
    <row r="1625" spans="1:4" x14ac:dyDescent="0.25">
      <c r="A1625" t="s">
        <v>1296</v>
      </c>
      <c r="B1625">
        <v>297</v>
      </c>
      <c r="C1625" t="s">
        <v>4959</v>
      </c>
      <c r="D1625" t="s">
        <v>5088</v>
      </c>
    </row>
    <row r="1627" spans="1:4" x14ac:dyDescent="0.25">
      <c r="A1627" t="s">
        <v>5765</v>
      </c>
    </row>
    <row r="1628" spans="1:4" x14ac:dyDescent="0.25">
      <c r="A1628" t="s">
        <v>5481</v>
      </c>
      <c r="B1628" t="s">
        <v>4394</v>
      </c>
      <c r="C1628" t="s">
        <v>109</v>
      </c>
      <c r="D1628" t="s">
        <v>192</v>
      </c>
    </row>
    <row r="1629" spans="1:4" x14ac:dyDescent="0.25">
      <c r="A1629" t="s">
        <v>4438</v>
      </c>
      <c r="B1629">
        <v>129</v>
      </c>
      <c r="C1629" t="s">
        <v>5054</v>
      </c>
      <c r="D1629" t="s">
        <v>5484</v>
      </c>
    </row>
    <row r="1630" spans="1:4" x14ac:dyDescent="0.25">
      <c r="A1630" t="s">
        <v>4439</v>
      </c>
      <c r="B1630">
        <v>93</v>
      </c>
      <c r="C1630" t="s">
        <v>4824</v>
      </c>
      <c r="D1630" t="s">
        <v>4968</v>
      </c>
    </row>
    <row r="1631" spans="1:4" x14ac:dyDescent="0.25">
      <c r="A1631" t="s">
        <v>1400</v>
      </c>
      <c r="B1631">
        <v>5</v>
      </c>
      <c r="C1631" t="s">
        <v>4472</v>
      </c>
      <c r="D1631" t="s">
        <v>4834</v>
      </c>
    </row>
    <row r="1632" spans="1:4" x14ac:dyDescent="0.25">
      <c r="A1632" t="s">
        <v>5566</v>
      </c>
      <c r="B1632">
        <v>36</v>
      </c>
      <c r="C1632" t="s">
        <v>4943</v>
      </c>
      <c r="D1632" t="s">
        <v>5030</v>
      </c>
    </row>
    <row r="1633" spans="1:4" x14ac:dyDescent="0.25">
      <c r="A1633" t="s">
        <v>1372</v>
      </c>
      <c r="B1633">
        <v>34</v>
      </c>
      <c r="C1633" t="s">
        <v>4699</v>
      </c>
      <c r="D1633" t="s">
        <v>4729</v>
      </c>
    </row>
    <row r="1634" spans="1:4" x14ac:dyDescent="0.25">
      <c r="A1634" t="s">
        <v>1296</v>
      </c>
      <c r="B1634">
        <v>297</v>
      </c>
      <c r="C1634" t="s">
        <v>4959</v>
      </c>
      <c r="D1634" t="s">
        <v>5088</v>
      </c>
    </row>
    <row r="1636" spans="1:4" x14ac:dyDescent="0.25">
      <c r="A1636" t="s">
        <v>5766</v>
      </c>
    </row>
    <row r="1637" spans="1:4" x14ac:dyDescent="0.25">
      <c r="A1637" t="s">
        <v>5477</v>
      </c>
      <c r="B1637" t="s">
        <v>4394</v>
      </c>
      <c r="C1637" t="s">
        <v>109</v>
      </c>
      <c r="D1637" t="s">
        <v>192</v>
      </c>
    </row>
    <row r="1638" spans="1:4" x14ac:dyDescent="0.25">
      <c r="A1638" t="s">
        <v>4438</v>
      </c>
      <c r="B1638">
        <v>95</v>
      </c>
      <c r="C1638" t="s">
        <v>5081</v>
      </c>
      <c r="D1638" t="s">
        <v>5397</v>
      </c>
    </row>
    <row r="1639" spans="1:4" x14ac:dyDescent="0.25">
      <c r="A1639" t="s">
        <v>4439</v>
      </c>
      <c r="B1639">
        <v>128</v>
      </c>
      <c r="C1639" t="s">
        <v>4882</v>
      </c>
      <c r="D1639" t="s">
        <v>4964</v>
      </c>
    </row>
    <row r="1640" spans="1:4" x14ac:dyDescent="0.25">
      <c r="A1640" t="s">
        <v>1400</v>
      </c>
      <c r="B1640">
        <v>7</v>
      </c>
      <c r="C1640" t="s">
        <v>4450</v>
      </c>
      <c r="D1640" t="s">
        <v>4814</v>
      </c>
    </row>
    <row r="1641" spans="1:4" x14ac:dyDescent="0.25">
      <c r="A1641" t="s">
        <v>5566</v>
      </c>
      <c r="B1641">
        <v>36</v>
      </c>
      <c r="C1641" t="s">
        <v>4943</v>
      </c>
      <c r="D1641" t="s">
        <v>5030</v>
      </c>
    </row>
    <row r="1642" spans="1:4" x14ac:dyDescent="0.25">
      <c r="A1642" t="s">
        <v>1426</v>
      </c>
      <c r="B1642">
        <v>1</v>
      </c>
      <c r="C1642" t="s">
        <v>4406</v>
      </c>
      <c r="D1642" t="s">
        <v>4454</v>
      </c>
    </row>
    <row r="1643" spans="1:4" x14ac:dyDescent="0.25">
      <c r="A1643" t="s">
        <v>1372</v>
      </c>
      <c r="B1643">
        <v>30</v>
      </c>
      <c r="C1643" t="s">
        <v>4651</v>
      </c>
      <c r="D1643" t="s">
        <v>5345</v>
      </c>
    </row>
    <row r="1644" spans="1:4" x14ac:dyDescent="0.25">
      <c r="A1644" t="s">
        <v>1296</v>
      </c>
      <c r="B1644">
        <v>297</v>
      </c>
      <c r="C1644" t="s">
        <v>4959</v>
      </c>
      <c r="D1644" t="s">
        <v>5088</v>
      </c>
    </row>
    <row r="1646" spans="1:4" x14ac:dyDescent="0.25">
      <c r="A1646" t="s">
        <v>5767</v>
      </c>
    </row>
    <row r="1647" spans="1:4" x14ac:dyDescent="0.25">
      <c r="A1647" t="s">
        <v>911</v>
      </c>
      <c r="B1647" t="s">
        <v>4394</v>
      </c>
      <c r="C1647" t="s">
        <v>109</v>
      </c>
      <c r="D1647" t="s">
        <v>192</v>
      </c>
    </row>
    <row r="1648" spans="1:4" x14ac:dyDescent="0.25">
      <c r="A1648" t="s">
        <v>4438</v>
      </c>
      <c r="B1648">
        <v>122</v>
      </c>
      <c r="C1648" t="s">
        <v>4583</v>
      </c>
      <c r="D1648" t="s">
        <v>4972</v>
      </c>
    </row>
    <row r="1649" spans="1:4" x14ac:dyDescent="0.25">
      <c r="A1649" t="s">
        <v>4439</v>
      </c>
      <c r="B1649">
        <v>79</v>
      </c>
      <c r="C1649" t="s">
        <v>4863</v>
      </c>
      <c r="D1649" t="s">
        <v>5024</v>
      </c>
    </row>
    <row r="1650" spans="1:4" x14ac:dyDescent="0.25">
      <c r="A1650" t="s">
        <v>1400</v>
      </c>
      <c r="B1650">
        <v>19</v>
      </c>
      <c r="C1650" t="s">
        <v>4867</v>
      </c>
      <c r="D1650" t="s">
        <v>5072</v>
      </c>
    </row>
    <row r="1651" spans="1:4" x14ac:dyDescent="0.25">
      <c r="A1651" t="s">
        <v>1340</v>
      </c>
      <c r="B1651">
        <v>31</v>
      </c>
      <c r="C1651" t="s">
        <v>4564</v>
      </c>
      <c r="D1651" t="s">
        <v>5089</v>
      </c>
    </row>
    <row r="1652" spans="1:4" x14ac:dyDescent="0.25">
      <c r="A1652" t="s">
        <v>1426</v>
      </c>
      <c r="B1652">
        <v>8</v>
      </c>
      <c r="C1652" t="s">
        <v>4479</v>
      </c>
      <c r="D1652" t="s">
        <v>4945</v>
      </c>
    </row>
    <row r="1653" spans="1:4" x14ac:dyDescent="0.25">
      <c r="A1653" t="s">
        <v>1372</v>
      </c>
      <c r="B1653">
        <v>38</v>
      </c>
      <c r="C1653" t="s">
        <v>4715</v>
      </c>
      <c r="D1653" t="s">
        <v>5090</v>
      </c>
    </row>
    <row r="1654" spans="1:4" x14ac:dyDescent="0.25">
      <c r="A1654" t="s">
        <v>1296</v>
      </c>
      <c r="B1654">
        <v>297</v>
      </c>
      <c r="C1654" t="s">
        <v>4959</v>
      </c>
      <c r="D1654" t="s">
        <v>5088</v>
      </c>
    </row>
    <row r="1656" spans="1:4" x14ac:dyDescent="0.25">
      <c r="A1656" t="s">
        <v>5768</v>
      </c>
    </row>
    <row r="1657" spans="1:4" x14ac:dyDescent="0.25">
      <c r="A1657" t="s">
        <v>912</v>
      </c>
      <c r="B1657" t="s">
        <v>4394</v>
      </c>
      <c r="C1657" t="s">
        <v>109</v>
      </c>
      <c r="D1657" t="s">
        <v>192</v>
      </c>
    </row>
    <row r="1658" spans="1:4" x14ac:dyDescent="0.25">
      <c r="A1658" t="s">
        <v>4438</v>
      </c>
      <c r="B1658">
        <v>80</v>
      </c>
      <c r="C1658" t="s">
        <v>4556</v>
      </c>
      <c r="D1658" t="s">
        <v>4836</v>
      </c>
    </row>
    <row r="1659" spans="1:4" x14ac:dyDescent="0.25">
      <c r="A1659" t="s">
        <v>4439</v>
      </c>
      <c r="B1659">
        <v>106</v>
      </c>
      <c r="C1659" t="s">
        <v>5003</v>
      </c>
      <c r="D1659" t="s">
        <v>5091</v>
      </c>
    </row>
    <row r="1660" spans="1:4" x14ac:dyDescent="0.25">
      <c r="A1660" t="s">
        <v>1400</v>
      </c>
      <c r="B1660">
        <v>30</v>
      </c>
      <c r="C1660" t="s">
        <v>4607</v>
      </c>
      <c r="D1660" t="s">
        <v>5092</v>
      </c>
    </row>
    <row r="1661" spans="1:4" x14ac:dyDescent="0.25">
      <c r="A1661" t="s">
        <v>1340</v>
      </c>
      <c r="B1661">
        <v>31</v>
      </c>
      <c r="C1661" t="s">
        <v>4564</v>
      </c>
      <c r="D1661" t="s">
        <v>5089</v>
      </c>
    </row>
    <row r="1662" spans="1:4" x14ac:dyDescent="0.25">
      <c r="A1662" t="s">
        <v>1426</v>
      </c>
      <c r="B1662">
        <v>15</v>
      </c>
      <c r="C1662" t="s">
        <v>4472</v>
      </c>
      <c r="D1662" t="s">
        <v>4834</v>
      </c>
    </row>
    <row r="1663" spans="1:4" x14ac:dyDescent="0.25">
      <c r="A1663" t="s">
        <v>1372</v>
      </c>
      <c r="B1663">
        <v>35</v>
      </c>
      <c r="C1663" t="s">
        <v>4654</v>
      </c>
      <c r="D1663" t="s">
        <v>5093</v>
      </c>
    </row>
    <row r="1664" spans="1:4" x14ac:dyDescent="0.25">
      <c r="A1664" t="s">
        <v>1296</v>
      </c>
      <c r="B1664">
        <v>297</v>
      </c>
      <c r="C1664" t="s">
        <v>4959</v>
      </c>
      <c r="D1664" t="s">
        <v>5088</v>
      </c>
    </row>
    <row r="1666" spans="1:4" x14ac:dyDescent="0.25">
      <c r="A1666" t="s">
        <v>5769</v>
      </c>
    </row>
    <row r="1667" spans="1:4" x14ac:dyDescent="0.25">
      <c r="A1667" t="s">
        <v>920</v>
      </c>
      <c r="B1667" t="s">
        <v>4394</v>
      </c>
      <c r="C1667" t="s">
        <v>109</v>
      </c>
      <c r="D1667" t="s">
        <v>192</v>
      </c>
    </row>
    <row r="1668" spans="1:4" x14ac:dyDescent="0.25">
      <c r="A1668" t="s">
        <v>1343</v>
      </c>
      <c r="B1668">
        <v>170</v>
      </c>
      <c r="C1668" t="s">
        <v>4959</v>
      </c>
      <c r="D1668" t="s">
        <v>5088</v>
      </c>
    </row>
    <row r="1669" spans="1:4" x14ac:dyDescent="0.25">
      <c r="A1669" t="s">
        <v>1345</v>
      </c>
      <c r="B1669">
        <v>75</v>
      </c>
      <c r="C1669" t="s">
        <v>4498</v>
      </c>
      <c r="D1669" t="s">
        <v>5094</v>
      </c>
    </row>
    <row r="1670" spans="1:4" x14ac:dyDescent="0.25">
      <c r="A1670" t="s">
        <v>1466</v>
      </c>
      <c r="B1670">
        <v>50</v>
      </c>
      <c r="C1670" t="s">
        <v>4472</v>
      </c>
      <c r="D1670" t="s">
        <v>4834</v>
      </c>
    </row>
    <row r="1671" spans="1:4" x14ac:dyDescent="0.25">
      <c r="A1671" t="s">
        <v>5554</v>
      </c>
      <c r="B1671">
        <v>2</v>
      </c>
      <c r="C1671" t="s">
        <v>4406</v>
      </c>
      <c r="D1671" t="s">
        <v>4454</v>
      </c>
    </row>
    <row r="1672" spans="1:4" x14ac:dyDescent="0.25">
      <c r="A1672" t="s">
        <v>1296</v>
      </c>
      <c r="B1672">
        <v>297</v>
      </c>
      <c r="C1672" t="s">
        <v>4959</v>
      </c>
      <c r="D1672" t="s">
        <v>5088</v>
      </c>
    </row>
    <row r="1674" spans="1:4" x14ac:dyDescent="0.25">
      <c r="A1674" t="s">
        <v>5770</v>
      </c>
    </row>
    <row r="1675" spans="1:4" x14ac:dyDescent="0.25">
      <c r="A1675" t="s">
        <v>924</v>
      </c>
      <c r="B1675" t="s">
        <v>4394</v>
      </c>
      <c r="C1675" t="s">
        <v>109</v>
      </c>
      <c r="D1675" t="s">
        <v>192</v>
      </c>
    </row>
    <row r="1676" spans="1:4" x14ac:dyDescent="0.25">
      <c r="A1676" t="s">
        <v>1345</v>
      </c>
      <c r="B1676">
        <v>69</v>
      </c>
      <c r="C1676" t="s">
        <v>4933</v>
      </c>
      <c r="D1676" t="s">
        <v>4991</v>
      </c>
    </row>
    <row r="1677" spans="1:4" x14ac:dyDescent="0.25">
      <c r="A1677" t="s">
        <v>1441</v>
      </c>
      <c r="B1677">
        <v>123</v>
      </c>
      <c r="C1677" t="s">
        <v>4524</v>
      </c>
      <c r="D1677" t="s">
        <v>4973</v>
      </c>
    </row>
    <row r="1678" spans="1:4" x14ac:dyDescent="0.25">
      <c r="A1678" t="s">
        <v>1461</v>
      </c>
      <c r="B1678">
        <v>95</v>
      </c>
      <c r="C1678" t="s">
        <v>4675</v>
      </c>
      <c r="D1678" t="s">
        <v>5095</v>
      </c>
    </row>
    <row r="1679" spans="1:4" x14ac:dyDescent="0.25">
      <c r="A1679" t="s">
        <v>5554</v>
      </c>
      <c r="B1679">
        <v>10</v>
      </c>
      <c r="C1679" t="s">
        <v>4406</v>
      </c>
      <c r="D1679" t="s">
        <v>4454</v>
      </c>
    </row>
    <row r="1680" spans="1:4" x14ac:dyDescent="0.25">
      <c r="A1680" t="s">
        <v>1296</v>
      </c>
      <c r="B1680">
        <v>297</v>
      </c>
      <c r="C1680" t="s">
        <v>4959</v>
      </c>
      <c r="D1680" t="s">
        <v>5088</v>
      </c>
    </row>
    <row r="1682" spans="1:7" x14ac:dyDescent="0.25">
      <c r="A1682" t="s">
        <v>5771</v>
      </c>
    </row>
    <row r="1683" spans="1:7" x14ac:dyDescent="0.25">
      <c r="A1683" t="s">
        <v>903</v>
      </c>
      <c r="B1683" t="s">
        <v>4394</v>
      </c>
      <c r="C1683" t="s">
        <v>109</v>
      </c>
      <c r="D1683" t="s">
        <v>192</v>
      </c>
    </row>
    <row r="1684" spans="1:7" x14ac:dyDescent="0.25">
      <c r="A1684" t="s">
        <v>70</v>
      </c>
      <c r="B1684">
        <v>85</v>
      </c>
      <c r="C1684" t="s">
        <v>4420</v>
      </c>
      <c r="D1684" t="s">
        <v>5001</v>
      </c>
    </row>
    <row r="1685" spans="1:7" x14ac:dyDescent="0.25">
      <c r="A1685" t="s">
        <v>71</v>
      </c>
      <c r="B1685">
        <v>212</v>
      </c>
      <c r="C1685" t="s">
        <v>4584</v>
      </c>
      <c r="D1685" t="s">
        <v>5100</v>
      </c>
    </row>
    <row r="1686" spans="1:7" x14ac:dyDescent="0.25">
      <c r="A1686" t="s">
        <v>1296</v>
      </c>
      <c r="B1686">
        <v>297</v>
      </c>
      <c r="C1686" t="s">
        <v>4959</v>
      </c>
      <c r="D1686" t="s">
        <v>5088</v>
      </c>
    </row>
    <row r="1688" spans="1:7" x14ac:dyDescent="0.25">
      <c r="A1688" t="s">
        <v>5772</v>
      </c>
    </row>
    <row r="1689" spans="1:7" x14ac:dyDescent="0.25">
      <c r="A1689" t="s">
        <v>1297</v>
      </c>
      <c r="B1689" t="s">
        <v>4394</v>
      </c>
      <c r="C1689" t="s">
        <v>4433</v>
      </c>
      <c r="D1689" t="s">
        <v>4434</v>
      </c>
      <c r="E1689" t="s">
        <v>4435</v>
      </c>
      <c r="F1689" t="s">
        <v>4436</v>
      </c>
      <c r="G1689" t="s">
        <v>4437</v>
      </c>
    </row>
    <row r="1690" spans="1:7" x14ac:dyDescent="0.25">
      <c r="A1690" t="s">
        <v>5549</v>
      </c>
      <c r="B1690">
        <v>198</v>
      </c>
      <c r="C1690" t="s">
        <v>4680</v>
      </c>
      <c r="D1690" t="s">
        <v>4881</v>
      </c>
      <c r="E1690" t="s">
        <v>4567</v>
      </c>
      <c r="F1690" t="s">
        <v>4520</v>
      </c>
      <c r="G1690" t="s">
        <v>4404</v>
      </c>
    </row>
    <row r="1691" spans="1:7" x14ac:dyDescent="0.25">
      <c r="A1691" t="s">
        <v>1397</v>
      </c>
      <c r="B1691">
        <v>99</v>
      </c>
      <c r="C1691" t="s">
        <v>4744</v>
      </c>
      <c r="D1691" t="s">
        <v>4560</v>
      </c>
      <c r="E1691" t="s">
        <v>4501</v>
      </c>
      <c r="F1691" t="s">
        <v>4467</v>
      </c>
      <c r="G1691" t="s">
        <v>4402</v>
      </c>
    </row>
    <row r="1692" spans="1:7" x14ac:dyDescent="0.25">
      <c r="A1692" t="s">
        <v>1296</v>
      </c>
      <c r="B1692">
        <v>297</v>
      </c>
      <c r="C1692" t="s">
        <v>4419</v>
      </c>
      <c r="D1692" t="s">
        <v>4868</v>
      </c>
      <c r="E1692" t="s">
        <v>4453</v>
      </c>
      <c r="F1692" t="s">
        <v>4726</v>
      </c>
      <c r="G1692" t="s">
        <v>4410</v>
      </c>
    </row>
    <row r="1694" spans="1:7" x14ac:dyDescent="0.25">
      <c r="A1694" t="s">
        <v>5773</v>
      </c>
    </row>
    <row r="1695" spans="1:7" x14ac:dyDescent="0.25">
      <c r="A1695" t="s">
        <v>905</v>
      </c>
      <c r="B1695" t="s">
        <v>4394</v>
      </c>
      <c r="C1695" t="s">
        <v>4433</v>
      </c>
      <c r="D1695" t="s">
        <v>4434</v>
      </c>
      <c r="E1695" t="s">
        <v>4435</v>
      </c>
      <c r="F1695" t="s">
        <v>4436</v>
      </c>
      <c r="G1695" t="s">
        <v>4437</v>
      </c>
    </row>
    <row r="1696" spans="1:7" x14ac:dyDescent="0.25">
      <c r="A1696" t="s">
        <v>4844</v>
      </c>
      <c r="B1696">
        <v>36</v>
      </c>
      <c r="C1696" t="s">
        <v>4649</v>
      </c>
      <c r="D1696" t="s">
        <v>4609</v>
      </c>
      <c r="E1696" t="s">
        <v>4465</v>
      </c>
      <c r="F1696" t="s">
        <v>4465</v>
      </c>
      <c r="G1696" t="s">
        <v>4406</v>
      </c>
    </row>
    <row r="1697" spans="1:7" x14ac:dyDescent="0.25">
      <c r="A1697" t="s">
        <v>4845</v>
      </c>
      <c r="B1697">
        <v>230</v>
      </c>
      <c r="C1697" t="s">
        <v>4659</v>
      </c>
      <c r="D1697" t="s">
        <v>4752</v>
      </c>
      <c r="E1697" t="s">
        <v>4545</v>
      </c>
      <c r="F1697" t="s">
        <v>4612</v>
      </c>
      <c r="G1697" t="s">
        <v>4818</v>
      </c>
    </row>
    <row r="1698" spans="1:7" x14ac:dyDescent="0.25">
      <c r="A1698" t="s">
        <v>4846</v>
      </c>
      <c r="B1698">
        <v>31</v>
      </c>
      <c r="C1698" t="s">
        <v>4713</v>
      </c>
      <c r="D1698" t="s">
        <v>5103</v>
      </c>
      <c r="E1698" t="s">
        <v>4641</v>
      </c>
      <c r="F1698" t="s">
        <v>4862</v>
      </c>
      <c r="G1698" t="s">
        <v>4713</v>
      </c>
    </row>
    <row r="1699" spans="1:7" x14ac:dyDescent="0.25">
      <c r="A1699" t="s">
        <v>1296</v>
      </c>
      <c r="B1699">
        <v>297</v>
      </c>
      <c r="C1699" t="s">
        <v>4419</v>
      </c>
      <c r="D1699" t="s">
        <v>4868</v>
      </c>
      <c r="E1699" t="s">
        <v>4453</v>
      </c>
      <c r="F1699" t="s">
        <v>4726</v>
      </c>
      <c r="G1699" t="s">
        <v>4410</v>
      </c>
    </row>
    <row r="1701" spans="1:7" x14ac:dyDescent="0.25">
      <c r="A1701" t="s">
        <v>5774</v>
      </c>
    </row>
    <row r="1702" spans="1:7" x14ac:dyDescent="0.25">
      <c r="A1702" t="s">
        <v>5481</v>
      </c>
      <c r="B1702" t="s">
        <v>4394</v>
      </c>
      <c r="C1702" t="s">
        <v>4433</v>
      </c>
      <c r="D1702" t="s">
        <v>4434</v>
      </c>
      <c r="E1702" t="s">
        <v>4435</v>
      </c>
      <c r="F1702" t="s">
        <v>4436</v>
      </c>
      <c r="G1702" t="s">
        <v>4437</v>
      </c>
    </row>
    <row r="1703" spans="1:7" x14ac:dyDescent="0.25">
      <c r="A1703" t="s">
        <v>4438</v>
      </c>
      <c r="B1703">
        <v>129</v>
      </c>
      <c r="C1703" t="s">
        <v>4635</v>
      </c>
      <c r="D1703" t="s">
        <v>4719</v>
      </c>
      <c r="E1703" t="s">
        <v>5261</v>
      </c>
      <c r="F1703" t="s">
        <v>4486</v>
      </c>
      <c r="G1703" t="s">
        <v>4417</v>
      </c>
    </row>
    <row r="1704" spans="1:7" x14ac:dyDescent="0.25">
      <c r="A1704" t="s">
        <v>4439</v>
      </c>
      <c r="B1704">
        <v>93</v>
      </c>
      <c r="C1704" t="s">
        <v>4581</v>
      </c>
      <c r="D1704" t="s">
        <v>5319</v>
      </c>
      <c r="E1704" t="s">
        <v>4862</v>
      </c>
      <c r="F1704" t="s">
        <v>4764</v>
      </c>
      <c r="G1704" t="s">
        <v>4825</v>
      </c>
    </row>
    <row r="1705" spans="1:7" x14ac:dyDescent="0.25">
      <c r="A1705" t="s">
        <v>1400</v>
      </c>
      <c r="B1705">
        <v>5</v>
      </c>
      <c r="C1705" t="s">
        <v>4406</v>
      </c>
      <c r="D1705" t="s">
        <v>4472</v>
      </c>
      <c r="E1705" t="s">
        <v>4458</v>
      </c>
      <c r="F1705" t="s">
        <v>4458</v>
      </c>
      <c r="G1705" t="s">
        <v>4406</v>
      </c>
    </row>
    <row r="1706" spans="1:7" x14ac:dyDescent="0.25">
      <c r="A1706" t="s">
        <v>5566</v>
      </c>
      <c r="B1706">
        <v>36</v>
      </c>
      <c r="C1706" t="s">
        <v>4406</v>
      </c>
      <c r="D1706" t="s">
        <v>4702</v>
      </c>
      <c r="E1706" t="s">
        <v>4444</v>
      </c>
      <c r="F1706" t="s">
        <v>4858</v>
      </c>
      <c r="G1706" t="s">
        <v>4406</v>
      </c>
    </row>
    <row r="1707" spans="1:7" x14ac:dyDescent="0.25">
      <c r="A1707" t="s">
        <v>1372</v>
      </c>
      <c r="B1707">
        <v>34</v>
      </c>
      <c r="C1707" t="s">
        <v>4697</v>
      </c>
      <c r="D1707" t="s">
        <v>4483</v>
      </c>
      <c r="E1707" t="s">
        <v>4616</v>
      </c>
      <c r="F1707" t="s">
        <v>5227</v>
      </c>
      <c r="G1707" t="s">
        <v>4406</v>
      </c>
    </row>
    <row r="1708" spans="1:7" x14ac:dyDescent="0.25">
      <c r="A1708" t="s">
        <v>1296</v>
      </c>
      <c r="B1708">
        <v>297</v>
      </c>
      <c r="C1708" t="s">
        <v>4419</v>
      </c>
      <c r="D1708" t="s">
        <v>4868</v>
      </c>
      <c r="E1708" t="s">
        <v>4453</v>
      </c>
      <c r="F1708" t="s">
        <v>4726</v>
      </c>
      <c r="G1708" t="s">
        <v>4410</v>
      </c>
    </row>
    <row r="1710" spans="1:7" x14ac:dyDescent="0.25">
      <c r="A1710" t="s">
        <v>5775</v>
      </c>
    </row>
    <row r="1711" spans="1:7" x14ac:dyDescent="0.25">
      <c r="A1711" t="s">
        <v>5477</v>
      </c>
      <c r="B1711" t="s">
        <v>4394</v>
      </c>
      <c r="C1711" t="s">
        <v>4433</v>
      </c>
      <c r="D1711" t="s">
        <v>4434</v>
      </c>
      <c r="E1711" t="s">
        <v>4435</v>
      </c>
      <c r="F1711" t="s">
        <v>4436</v>
      </c>
      <c r="G1711" t="s">
        <v>4437</v>
      </c>
    </row>
    <row r="1712" spans="1:7" x14ac:dyDescent="0.25">
      <c r="A1712" t="s">
        <v>4438</v>
      </c>
      <c r="B1712">
        <v>95</v>
      </c>
      <c r="C1712" t="s">
        <v>4825</v>
      </c>
      <c r="D1712" t="s">
        <v>4491</v>
      </c>
      <c r="E1712" t="s">
        <v>5248</v>
      </c>
      <c r="F1712" t="s">
        <v>5248</v>
      </c>
      <c r="G1712" t="s">
        <v>4825</v>
      </c>
    </row>
    <row r="1713" spans="1:7" x14ac:dyDescent="0.25">
      <c r="A1713" t="s">
        <v>4439</v>
      </c>
      <c r="B1713">
        <v>128</v>
      </c>
      <c r="C1713" t="s">
        <v>4753</v>
      </c>
      <c r="D1713" t="s">
        <v>5499</v>
      </c>
      <c r="E1713" t="s">
        <v>4629</v>
      </c>
      <c r="F1713" t="s">
        <v>4854</v>
      </c>
      <c r="G1713" t="s">
        <v>4417</v>
      </c>
    </row>
    <row r="1714" spans="1:7" x14ac:dyDescent="0.25">
      <c r="A1714" t="s">
        <v>1400</v>
      </c>
      <c r="B1714">
        <v>7</v>
      </c>
      <c r="C1714" t="s">
        <v>4406</v>
      </c>
      <c r="D1714" t="s">
        <v>4450</v>
      </c>
      <c r="E1714" t="s">
        <v>4778</v>
      </c>
      <c r="F1714" t="s">
        <v>4522</v>
      </c>
      <c r="G1714" t="s">
        <v>4406</v>
      </c>
    </row>
    <row r="1715" spans="1:7" x14ac:dyDescent="0.25">
      <c r="A1715" t="s">
        <v>5566</v>
      </c>
      <c r="B1715">
        <v>36</v>
      </c>
      <c r="C1715" t="s">
        <v>4406</v>
      </c>
      <c r="D1715" t="s">
        <v>4702</v>
      </c>
      <c r="E1715" t="s">
        <v>4444</v>
      </c>
      <c r="F1715" t="s">
        <v>4858</v>
      </c>
      <c r="G1715" t="s">
        <v>4406</v>
      </c>
    </row>
    <row r="1716" spans="1:7" x14ac:dyDescent="0.25">
      <c r="A1716" t="s">
        <v>1426</v>
      </c>
      <c r="B1716">
        <v>1</v>
      </c>
      <c r="C1716" t="s">
        <v>4406</v>
      </c>
      <c r="D1716" t="s">
        <v>4454</v>
      </c>
      <c r="E1716" t="s">
        <v>4406</v>
      </c>
      <c r="F1716" t="s">
        <v>4406</v>
      </c>
      <c r="G1716" t="s">
        <v>4406</v>
      </c>
    </row>
    <row r="1717" spans="1:7" x14ac:dyDescent="0.25">
      <c r="A1717" t="s">
        <v>1372</v>
      </c>
      <c r="B1717">
        <v>30</v>
      </c>
      <c r="C1717" t="s">
        <v>4651</v>
      </c>
      <c r="D1717" t="s">
        <v>4651</v>
      </c>
      <c r="E1717" t="s">
        <v>4416</v>
      </c>
      <c r="F1717" t="s">
        <v>5092</v>
      </c>
      <c r="G1717" t="s">
        <v>4406</v>
      </c>
    </row>
    <row r="1718" spans="1:7" x14ac:dyDescent="0.25">
      <c r="A1718" t="s">
        <v>1296</v>
      </c>
      <c r="B1718">
        <v>297</v>
      </c>
      <c r="C1718" t="s">
        <v>4419</v>
      </c>
      <c r="D1718" t="s">
        <v>4868</v>
      </c>
      <c r="E1718" t="s">
        <v>4453</v>
      </c>
      <c r="F1718" t="s">
        <v>4726</v>
      </c>
      <c r="G1718" t="s">
        <v>4410</v>
      </c>
    </row>
    <row r="1720" spans="1:7" x14ac:dyDescent="0.25">
      <c r="A1720" t="s">
        <v>5776</v>
      </c>
    </row>
    <row r="1721" spans="1:7" x14ac:dyDescent="0.25">
      <c r="A1721" t="s">
        <v>911</v>
      </c>
      <c r="B1721" t="s">
        <v>4394</v>
      </c>
      <c r="C1721" t="s">
        <v>4433</v>
      </c>
      <c r="D1721" t="s">
        <v>4434</v>
      </c>
      <c r="E1721" t="s">
        <v>4435</v>
      </c>
      <c r="F1721" t="s">
        <v>4436</v>
      </c>
      <c r="G1721" t="s">
        <v>4437</v>
      </c>
    </row>
    <row r="1722" spans="1:7" x14ac:dyDescent="0.25">
      <c r="A1722" t="s">
        <v>4438</v>
      </c>
      <c r="B1722">
        <v>122</v>
      </c>
      <c r="C1722" t="s">
        <v>4645</v>
      </c>
      <c r="D1722" t="s">
        <v>5101</v>
      </c>
      <c r="E1722" t="s">
        <v>4810</v>
      </c>
      <c r="F1722" t="s">
        <v>4674</v>
      </c>
      <c r="G1722" t="s">
        <v>4417</v>
      </c>
    </row>
    <row r="1723" spans="1:7" x14ac:dyDescent="0.25">
      <c r="A1723" t="s">
        <v>4439</v>
      </c>
      <c r="B1723">
        <v>79</v>
      </c>
      <c r="C1723" t="s">
        <v>4406</v>
      </c>
      <c r="D1723" t="s">
        <v>5102</v>
      </c>
      <c r="E1723" t="s">
        <v>4506</v>
      </c>
      <c r="F1723" t="s">
        <v>4610</v>
      </c>
      <c r="G1723" t="s">
        <v>4659</v>
      </c>
    </row>
    <row r="1724" spans="1:7" x14ac:dyDescent="0.25">
      <c r="A1724" t="s">
        <v>1400</v>
      </c>
      <c r="B1724">
        <v>19</v>
      </c>
      <c r="C1724" t="s">
        <v>4406</v>
      </c>
      <c r="D1724" t="s">
        <v>4490</v>
      </c>
      <c r="E1724" t="s">
        <v>4466</v>
      </c>
      <c r="F1724" t="s">
        <v>4524</v>
      </c>
      <c r="G1724" t="s">
        <v>4406</v>
      </c>
    </row>
    <row r="1725" spans="1:7" x14ac:dyDescent="0.25">
      <c r="A1725" t="s">
        <v>1340</v>
      </c>
      <c r="B1725">
        <v>31</v>
      </c>
      <c r="C1725" t="s">
        <v>4406</v>
      </c>
      <c r="D1725" t="s">
        <v>5103</v>
      </c>
      <c r="E1725" t="s">
        <v>4658</v>
      </c>
      <c r="F1725" t="s">
        <v>4641</v>
      </c>
      <c r="G1725" t="s">
        <v>4406</v>
      </c>
    </row>
    <row r="1726" spans="1:7" x14ac:dyDescent="0.25">
      <c r="A1726" t="s">
        <v>1426</v>
      </c>
      <c r="B1726">
        <v>8</v>
      </c>
      <c r="C1726" t="s">
        <v>4479</v>
      </c>
      <c r="D1726" t="s">
        <v>4462</v>
      </c>
      <c r="E1726" t="s">
        <v>4481</v>
      </c>
      <c r="F1726" t="s">
        <v>4462</v>
      </c>
      <c r="G1726" t="s">
        <v>4406</v>
      </c>
    </row>
    <row r="1727" spans="1:7" x14ac:dyDescent="0.25">
      <c r="A1727" t="s">
        <v>1372</v>
      </c>
      <c r="B1727">
        <v>38</v>
      </c>
      <c r="C1727" t="s">
        <v>4864</v>
      </c>
      <c r="D1727" t="s">
        <v>4527</v>
      </c>
      <c r="E1727" t="s">
        <v>4867</v>
      </c>
      <c r="F1727" t="s">
        <v>4796</v>
      </c>
      <c r="G1727" t="s">
        <v>4406</v>
      </c>
    </row>
    <row r="1728" spans="1:7" x14ac:dyDescent="0.25">
      <c r="A1728" t="s">
        <v>1296</v>
      </c>
      <c r="B1728">
        <v>297</v>
      </c>
      <c r="C1728" t="s">
        <v>4419</v>
      </c>
      <c r="D1728" t="s">
        <v>4868</v>
      </c>
      <c r="E1728" t="s">
        <v>4453</v>
      </c>
      <c r="F1728" t="s">
        <v>4726</v>
      </c>
      <c r="G1728" t="s">
        <v>4410</v>
      </c>
    </row>
    <row r="1730" spans="1:7" x14ac:dyDescent="0.25">
      <c r="A1730" t="s">
        <v>5777</v>
      </c>
    </row>
    <row r="1731" spans="1:7" x14ac:dyDescent="0.25">
      <c r="A1731" t="s">
        <v>912</v>
      </c>
      <c r="B1731" t="s">
        <v>4394</v>
      </c>
      <c r="C1731" t="s">
        <v>4433</v>
      </c>
      <c r="D1731" t="s">
        <v>4434</v>
      </c>
      <c r="E1731" t="s">
        <v>4435</v>
      </c>
      <c r="F1731" t="s">
        <v>4436</v>
      </c>
      <c r="G1731" t="s">
        <v>4437</v>
      </c>
    </row>
    <row r="1732" spans="1:7" x14ac:dyDescent="0.25">
      <c r="A1732" t="s">
        <v>4438</v>
      </c>
      <c r="B1732">
        <v>80</v>
      </c>
      <c r="C1732" t="s">
        <v>4645</v>
      </c>
      <c r="D1732" t="s">
        <v>5104</v>
      </c>
      <c r="E1732" t="s">
        <v>4760</v>
      </c>
      <c r="F1732" t="s">
        <v>4489</v>
      </c>
      <c r="G1732" t="s">
        <v>4659</v>
      </c>
    </row>
    <row r="1733" spans="1:7" x14ac:dyDescent="0.25">
      <c r="A1733" t="s">
        <v>4439</v>
      </c>
      <c r="B1733">
        <v>106</v>
      </c>
      <c r="C1733" t="s">
        <v>4902</v>
      </c>
      <c r="D1733" t="s">
        <v>5105</v>
      </c>
      <c r="E1733" t="s">
        <v>4485</v>
      </c>
      <c r="F1733" t="s">
        <v>5003</v>
      </c>
      <c r="G1733" t="s">
        <v>4902</v>
      </c>
    </row>
    <row r="1734" spans="1:7" x14ac:dyDescent="0.25">
      <c r="A1734" t="s">
        <v>1400</v>
      </c>
      <c r="B1734">
        <v>30</v>
      </c>
      <c r="C1734" t="s">
        <v>4406</v>
      </c>
      <c r="D1734" t="s">
        <v>5106</v>
      </c>
      <c r="E1734" t="s">
        <v>4468</v>
      </c>
      <c r="F1734" t="s">
        <v>4651</v>
      </c>
      <c r="G1734" t="s">
        <v>4406</v>
      </c>
    </row>
    <row r="1735" spans="1:7" x14ac:dyDescent="0.25">
      <c r="A1735" t="s">
        <v>1340</v>
      </c>
      <c r="B1735">
        <v>31</v>
      </c>
      <c r="C1735" t="s">
        <v>4406</v>
      </c>
      <c r="D1735" t="s">
        <v>5103</v>
      </c>
      <c r="E1735" t="s">
        <v>4658</v>
      </c>
      <c r="F1735" t="s">
        <v>4641</v>
      </c>
      <c r="G1735" t="s">
        <v>4406</v>
      </c>
    </row>
    <row r="1736" spans="1:7" x14ac:dyDescent="0.25">
      <c r="A1736" t="s">
        <v>1426</v>
      </c>
      <c r="B1736">
        <v>15</v>
      </c>
      <c r="C1736" t="s">
        <v>4416</v>
      </c>
      <c r="D1736" t="s">
        <v>4465</v>
      </c>
      <c r="E1736" t="s">
        <v>5107</v>
      </c>
      <c r="F1736" t="s">
        <v>4416</v>
      </c>
      <c r="G1736" t="s">
        <v>4406</v>
      </c>
    </row>
    <row r="1737" spans="1:7" x14ac:dyDescent="0.25">
      <c r="A1737" t="s">
        <v>1372</v>
      </c>
      <c r="B1737">
        <v>35</v>
      </c>
      <c r="C1737" t="s">
        <v>4697</v>
      </c>
      <c r="D1737" t="s">
        <v>4697</v>
      </c>
      <c r="E1737" t="s">
        <v>4697</v>
      </c>
      <c r="F1737" t="s">
        <v>5015</v>
      </c>
      <c r="G1737" t="s">
        <v>4406</v>
      </c>
    </row>
    <row r="1738" spans="1:7" x14ac:dyDescent="0.25">
      <c r="A1738" t="s">
        <v>1296</v>
      </c>
      <c r="B1738">
        <v>297</v>
      </c>
      <c r="C1738" t="s">
        <v>4419</v>
      </c>
      <c r="D1738" t="s">
        <v>4868</v>
      </c>
      <c r="E1738" t="s">
        <v>4453</v>
      </c>
      <c r="F1738" t="s">
        <v>4726</v>
      </c>
      <c r="G1738" t="s">
        <v>4410</v>
      </c>
    </row>
    <row r="1740" spans="1:7" x14ac:dyDescent="0.25">
      <c r="A1740" t="s">
        <v>5778</v>
      </c>
    </row>
    <row r="1741" spans="1:7" x14ac:dyDescent="0.25">
      <c r="A1741" t="s">
        <v>903</v>
      </c>
      <c r="B1741" t="s">
        <v>4394</v>
      </c>
      <c r="C1741" t="s">
        <v>4433</v>
      </c>
      <c r="D1741" t="s">
        <v>4434</v>
      </c>
      <c r="E1741" t="s">
        <v>4435</v>
      </c>
      <c r="F1741" t="s">
        <v>4436</v>
      </c>
      <c r="G1741" t="s">
        <v>4437</v>
      </c>
    </row>
    <row r="1742" spans="1:7" x14ac:dyDescent="0.25">
      <c r="A1742" t="s">
        <v>70</v>
      </c>
      <c r="B1742">
        <v>85</v>
      </c>
      <c r="C1742" t="s">
        <v>4422</v>
      </c>
      <c r="D1742" t="s">
        <v>4593</v>
      </c>
      <c r="E1742" t="s">
        <v>4406</v>
      </c>
      <c r="F1742" t="s">
        <v>4815</v>
      </c>
      <c r="G1742" t="s">
        <v>4422</v>
      </c>
    </row>
    <row r="1743" spans="1:7" x14ac:dyDescent="0.25">
      <c r="A1743" t="s">
        <v>71</v>
      </c>
      <c r="B1743">
        <v>212</v>
      </c>
      <c r="C1743" t="s">
        <v>4952</v>
      </c>
      <c r="D1743" t="s">
        <v>4517</v>
      </c>
      <c r="E1743" t="s">
        <v>4761</v>
      </c>
      <c r="F1743" t="s">
        <v>4950</v>
      </c>
      <c r="G1743" t="s">
        <v>4404</v>
      </c>
    </row>
    <row r="1744" spans="1:7" x14ac:dyDescent="0.25">
      <c r="A1744" t="s">
        <v>1296</v>
      </c>
      <c r="B1744">
        <v>297</v>
      </c>
      <c r="C1744" t="s">
        <v>4419</v>
      </c>
      <c r="D1744" t="s">
        <v>4868</v>
      </c>
      <c r="E1744" t="s">
        <v>4453</v>
      </c>
      <c r="F1744" t="s">
        <v>4726</v>
      </c>
      <c r="G1744" t="s">
        <v>4410</v>
      </c>
    </row>
    <row r="1746" spans="1:9" x14ac:dyDescent="0.25">
      <c r="A1746" t="s">
        <v>5779</v>
      </c>
    </row>
    <row r="1747" spans="1:9" x14ac:dyDescent="0.25">
      <c r="A1747" t="s">
        <v>1297</v>
      </c>
      <c r="B1747" t="s">
        <v>4394</v>
      </c>
      <c r="C1747" t="s">
        <v>4433</v>
      </c>
      <c r="D1747" t="s">
        <v>4434</v>
      </c>
      <c r="E1747" t="s">
        <v>109</v>
      </c>
      <c r="F1747" t="s">
        <v>4736</v>
      </c>
      <c r="G1747" t="s">
        <v>4737</v>
      </c>
      <c r="H1747" t="s">
        <v>4436</v>
      </c>
      <c r="I1747" t="s">
        <v>4437</v>
      </c>
    </row>
    <row r="1748" spans="1:9" x14ac:dyDescent="0.25">
      <c r="A1748" t="s">
        <v>5549</v>
      </c>
      <c r="B1748">
        <v>198</v>
      </c>
      <c r="C1748" t="s">
        <v>4406</v>
      </c>
      <c r="D1748" t="s">
        <v>4660</v>
      </c>
      <c r="E1748" t="s">
        <v>5112</v>
      </c>
      <c r="F1748" t="s">
        <v>4406</v>
      </c>
      <c r="G1748" t="s">
        <v>4406</v>
      </c>
      <c r="H1748" t="s">
        <v>4850</v>
      </c>
      <c r="I1748" t="s">
        <v>4598</v>
      </c>
    </row>
    <row r="1749" spans="1:9" x14ac:dyDescent="0.25">
      <c r="A1749" t="s">
        <v>1397</v>
      </c>
      <c r="B1749">
        <v>99</v>
      </c>
      <c r="C1749" t="s">
        <v>4406</v>
      </c>
      <c r="D1749" t="s">
        <v>4744</v>
      </c>
      <c r="E1749" t="s">
        <v>5087</v>
      </c>
      <c r="F1749" t="s">
        <v>4406</v>
      </c>
      <c r="G1749" t="s">
        <v>4406</v>
      </c>
      <c r="H1749" t="s">
        <v>4660</v>
      </c>
      <c r="I1749" t="s">
        <v>4731</v>
      </c>
    </row>
    <row r="1750" spans="1:9" x14ac:dyDescent="0.25">
      <c r="A1750" t="s">
        <v>1296</v>
      </c>
      <c r="B1750">
        <v>297</v>
      </c>
      <c r="C1750" t="s">
        <v>4406</v>
      </c>
      <c r="D1750" t="s">
        <v>4888</v>
      </c>
      <c r="E1750" t="s">
        <v>4725</v>
      </c>
      <c r="F1750" t="s">
        <v>4406</v>
      </c>
      <c r="G1750" t="s">
        <v>4406</v>
      </c>
      <c r="H1750" t="s">
        <v>4400</v>
      </c>
      <c r="I1750" t="s">
        <v>4451</v>
      </c>
    </row>
    <row r="1752" spans="1:9" x14ac:dyDescent="0.25">
      <c r="A1752" t="s">
        <v>5780</v>
      </c>
    </row>
    <row r="1753" spans="1:9" x14ac:dyDescent="0.25">
      <c r="A1753" t="s">
        <v>903</v>
      </c>
      <c r="B1753" t="s">
        <v>4394</v>
      </c>
      <c r="C1753" t="s">
        <v>4433</v>
      </c>
      <c r="D1753" t="s">
        <v>4434</v>
      </c>
      <c r="E1753" t="s">
        <v>109</v>
      </c>
      <c r="F1753" t="s">
        <v>4736</v>
      </c>
      <c r="G1753" t="s">
        <v>4737</v>
      </c>
      <c r="H1753" t="s">
        <v>4436</v>
      </c>
      <c r="I1753" t="s">
        <v>4437</v>
      </c>
    </row>
    <row r="1754" spans="1:9" x14ac:dyDescent="0.25">
      <c r="A1754" t="s">
        <v>70</v>
      </c>
      <c r="B1754">
        <v>85</v>
      </c>
      <c r="C1754" t="s">
        <v>4406</v>
      </c>
      <c r="D1754" t="s">
        <v>4656</v>
      </c>
      <c r="E1754" t="s">
        <v>4421</v>
      </c>
      <c r="F1754" t="s">
        <v>4406</v>
      </c>
      <c r="G1754" t="s">
        <v>4406</v>
      </c>
      <c r="H1754" t="s">
        <v>4423</v>
      </c>
      <c r="I1754" t="s">
        <v>4959</v>
      </c>
    </row>
    <row r="1755" spans="1:9" x14ac:dyDescent="0.25">
      <c r="A1755" t="s">
        <v>71</v>
      </c>
      <c r="B1755">
        <v>212</v>
      </c>
      <c r="C1755" t="s">
        <v>4406</v>
      </c>
      <c r="D1755" t="s">
        <v>4649</v>
      </c>
      <c r="E1755" t="s">
        <v>4809</v>
      </c>
      <c r="F1755" t="s">
        <v>4406</v>
      </c>
      <c r="G1755" t="s">
        <v>4406</v>
      </c>
      <c r="H1755" t="s">
        <v>4654</v>
      </c>
      <c r="I1755" t="s">
        <v>5108</v>
      </c>
    </row>
    <row r="1756" spans="1:9" x14ac:dyDescent="0.25">
      <c r="A1756" t="s">
        <v>1296</v>
      </c>
      <c r="B1756">
        <v>297</v>
      </c>
      <c r="C1756" t="s">
        <v>4406</v>
      </c>
      <c r="D1756" t="s">
        <v>4888</v>
      </c>
      <c r="E1756" t="s">
        <v>4725</v>
      </c>
      <c r="F1756" t="s">
        <v>4406</v>
      </c>
      <c r="G1756" t="s">
        <v>4406</v>
      </c>
      <c r="H1756" t="s">
        <v>4400</v>
      </c>
      <c r="I1756" t="s">
        <v>4451</v>
      </c>
    </row>
    <row r="1758" spans="1:9" x14ac:dyDescent="0.25">
      <c r="A1758" t="s">
        <v>5485</v>
      </c>
    </row>
    <row r="1759" spans="1:9" x14ac:dyDescent="0.25">
      <c r="A1759" t="s">
        <v>1297</v>
      </c>
      <c r="B1759" t="s">
        <v>4394</v>
      </c>
      <c r="C1759" t="s">
        <v>1338</v>
      </c>
      <c r="D1759" t="s">
        <v>1370</v>
      </c>
      <c r="E1759" t="s">
        <v>1439</v>
      </c>
      <c r="F1759" t="s">
        <v>1476</v>
      </c>
      <c r="G1759" t="s">
        <v>5476</v>
      </c>
      <c r="H1759" t="s">
        <v>1399</v>
      </c>
      <c r="I1759" t="s">
        <v>1415</v>
      </c>
    </row>
    <row r="1760" spans="1:9" x14ac:dyDescent="0.25">
      <c r="A1760" t="s">
        <v>5549</v>
      </c>
      <c r="B1760">
        <v>198</v>
      </c>
      <c r="C1760" t="s">
        <v>4467</v>
      </c>
      <c r="D1760" t="s">
        <v>4403</v>
      </c>
      <c r="E1760" t="s">
        <v>4552</v>
      </c>
      <c r="F1760" t="s">
        <v>4740</v>
      </c>
      <c r="G1760" t="s">
        <v>4744</v>
      </c>
      <c r="H1760" t="s">
        <v>4691</v>
      </c>
      <c r="I1760" t="s">
        <v>4726</v>
      </c>
    </row>
    <row r="1761" spans="1:9" x14ac:dyDescent="0.25">
      <c r="A1761" t="s">
        <v>1397</v>
      </c>
      <c r="B1761">
        <v>99</v>
      </c>
      <c r="C1761" t="s">
        <v>4883</v>
      </c>
      <c r="D1761" t="s">
        <v>4854</v>
      </c>
      <c r="E1761" t="s">
        <v>4741</v>
      </c>
      <c r="F1761" t="s">
        <v>4539</v>
      </c>
      <c r="G1761" t="s">
        <v>4744</v>
      </c>
      <c r="H1761" t="s">
        <v>4832</v>
      </c>
      <c r="I1761" t="s">
        <v>4731</v>
      </c>
    </row>
    <row r="1762" spans="1:9" x14ac:dyDescent="0.25">
      <c r="A1762" t="s">
        <v>1296</v>
      </c>
      <c r="B1762">
        <v>297</v>
      </c>
      <c r="C1762" t="s">
        <v>4701</v>
      </c>
      <c r="D1762" t="s">
        <v>4676</v>
      </c>
      <c r="E1762" t="s">
        <v>4400</v>
      </c>
      <c r="F1762" t="s">
        <v>4687</v>
      </c>
      <c r="G1762" t="s">
        <v>4744</v>
      </c>
      <c r="H1762" t="s">
        <v>4464</v>
      </c>
      <c r="I1762" t="s">
        <v>4685</v>
      </c>
    </row>
    <row r="1764" spans="1:9" x14ac:dyDescent="0.25">
      <c r="A1764" t="s">
        <v>5486</v>
      </c>
    </row>
    <row r="1765" spans="1:9" x14ac:dyDescent="0.25">
      <c r="A1765" t="s">
        <v>903</v>
      </c>
      <c r="B1765" t="s">
        <v>4394</v>
      </c>
      <c r="C1765" t="s">
        <v>1338</v>
      </c>
      <c r="D1765" t="s">
        <v>1370</v>
      </c>
      <c r="E1765" t="s">
        <v>1439</v>
      </c>
      <c r="F1765" t="s">
        <v>1476</v>
      </c>
      <c r="G1765" t="s">
        <v>5476</v>
      </c>
      <c r="H1765" t="s">
        <v>1399</v>
      </c>
      <c r="I1765" t="s">
        <v>1415</v>
      </c>
    </row>
    <row r="1766" spans="1:9" x14ac:dyDescent="0.25">
      <c r="A1766" t="s">
        <v>70</v>
      </c>
      <c r="B1766">
        <v>85</v>
      </c>
      <c r="C1766" t="s">
        <v>4420</v>
      </c>
      <c r="D1766" t="s">
        <v>4400</v>
      </c>
      <c r="E1766" t="s">
        <v>4423</v>
      </c>
      <c r="F1766" t="s">
        <v>4514</v>
      </c>
      <c r="G1766" t="s">
        <v>4757</v>
      </c>
      <c r="H1766" t="s">
        <v>4950</v>
      </c>
      <c r="I1766" t="s">
        <v>4769</v>
      </c>
    </row>
    <row r="1767" spans="1:9" x14ac:dyDescent="0.25">
      <c r="A1767" t="s">
        <v>71</v>
      </c>
      <c r="B1767">
        <v>212</v>
      </c>
      <c r="C1767" t="s">
        <v>4959</v>
      </c>
      <c r="D1767" t="s">
        <v>4599</v>
      </c>
      <c r="E1767" t="s">
        <v>4654</v>
      </c>
      <c r="F1767" t="s">
        <v>4606</v>
      </c>
      <c r="G1767" t="s">
        <v>4750</v>
      </c>
      <c r="H1767" t="s">
        <v>5003</v>
      </c>
      <c r="I1767" t="s">
        <v>4462</v>
      </c>
    </row>
    <row r="1768" spans="1:9" x14ac:dyDescent="0.25">
      <c r="A1768" t="s">
        <v>1296</v>
      </c>
      <c r="B1768">
        <v>297</v>
      </c>
      <c r="C1768" t="s">
        <v>4701</v>
      </c>
      <c r="D1768" t="s">
        <v>4676</v>
      </c>
      <c r="E1768" t="s">
        <v>4400</v>
      </c>
      <c r="F1768" t="s">
        <v>4687</v>
      </c>
      <c r="G1768" t="s">
        <v>4744</v>
      </c>
      <c r="H1768" t="s">
        <v>4464</v>
      </c>
      <c r="I1768" t="s">
        <v>4685</v>
      </c>
    </row>
    <row r="1770" spans="1:9" x14ac:dyDescent="0.25">
      <c r="A1770" t="s">
        <v>5781</v>
      </c>
    </row>
    <row r="1771" spans="1:9" x14ac:dyDescent="0.25">
      <c r="A1771" t="s">
        <v>1297</v>
      </c>
      <c r="B1771" t="s">
        <v>4394</v>
      </c>
      <c r="C1771" t="s">
        <v>1561</v>
      </c>
      <c r="D1771" t="s">
        <v>1460</v>
      </c>
      <c r="E1771" t="s">
        <v>1342</v>
      </c>
      <c r="F1771" t="s">
        <v>1375</v>
      </c>
      <c r="G1771" t="s">
        <v>1401</v>
      </c>
      <c r="H1771" t="s">
        <v>1682</v>
      </c>
    </row>
    <row r="1772" spans="1:9" x14ac:dyDescent="0.25">
      <c r="A1772" t="s">
        <v>5549</v>
      </c>
      <c r="B1772">
        <v>198</v>
      </c>
      <c r="C1772" t="s">
        <v>4404</v>
      </c>
      <c r="D1772" t="s">
        <v>4610</v>
      </c>
      <c r="E1772" t="s">
        <v>4443</v>
      </c>
      <c r="F1772" t="s">
        <v>5117</v>
      </c>
      <c r="G1772" t="s">
        <v>4561</v>
      </c>
      <c r="H1772" t="s">
        <v>4406</v>
      </c>
    </row>
    <row r="1773" spans="1:9" x14ac:dyDescent="0.25">
      <c r="A1773" t="s">
        <v>1397</v>
      </c>
      <c r="B1773">
        <v>99</v>
      </c>
      <c r="C1773" t="s">
        <v>4744</v>
      </c>
      <c r="D1773" t="s">
        <v>4862</v>
      </c>
      <c r="E1773" t="s">
        <v>5118</v>
      </c>
      <c r="F1773" t="s">
        <v>4580</v>
      </c>
      <c r="G1773" t="s">
        <v>4863</v>
      </c>
      <c r="H1773" t="s">
        <v>4402</v>
      </c>
    </row>
    <row r="1774" spans="1:9" x14ac:dyDescent="0.25">
      <c r="A1774" t="s">
        <v>1296</v>
      </c>
      <c r="B1774">
        <v>297</v>
      </c>
      <c r="C1774" t="s">
        <v>4402</v>
      </c>
      <c r="D1774" t="s">
        <v>4578</v>
      </c>
      <c r="E1774" t="s">
        <v>4578</v>
      </c>
      <c r="F1774" t="s">
        <v>4520</v>
      </c>
      <c r="G1774" t="s">
        <v>4731</v>
      </c>
      <c r="H1774" t="s">
        <v>4808</v>
      </c>
    </row>
    <row r="1776" spans="1:9" x14ac:dyDescent="0.25">
      <c r="A1776" t="s">
        <v>5782</v>
      </c>
    </row>
    <row r="1777" spans="1:8" x14ac:dyDescent="0.25">
      <c r="A1777" t="s">
        <v>905</v>
      </c>
      <c r="B1777" t="s">
        <v>4394</v>
      </c>
      <c r="C1777" t="s">
        <v>1561</v>
      </c>
      <c r="D1777" t="s">
        <v>1460</v>
      </c>
      <c r="E1777" t="s">
        <v>1342</v>
      </c>
      <c r="F1777" t="s">
        <v>1375</v>
      </c>
      <c r="G1777" t="s">
        <v>1401</v>
      </c>
      <c r="H1777" t="s">
        <v>1682</v>
      </c>
    </row>
    <row r="1778" spans="1:8" x14ac:dyDescent="0.25">
      <c r="A1778" t="s">
        <v>4844</v>
      </c>
      <c r="B1778">
        <v>36</v>
      </c>
      <c r="C1778" t="s">
        <v>4649</v>
      </c>
      <c r="D1778" t="s">
        <v>4482</v>
      </c>
      <c r="E1778" t="s">
        <v>4465</v>
      </c>
      <c r="F1778" t="s">
        <v>4571</v>
      </c>
      <c r="G1778" t="s">
        <v>4609</v>
      </c>
      <c r="H1778" t="s">
        <v>4406</v>
      </c>
    </row>
    <row r="1779" spans="1:8" x14ac:dyDescent="0.25">
      <c r="A1779" t="s">
        <v>4845</v>
      </c>
      <c r="B1779">
        <v>230</v>
      </c>
      <c r="C1779" t="s">
        <v>4902</v>
      </c>
      <c r="D1779" t="s">
        <v>4578</v>
      </c>
      <c r="E1779" t="s">
        <v>5255</v>
      </c>
      <c r="F1779" t="s">
        <v>4520</v>
      </c>
      <c r="G1779" t="s">
        <v>4606</v>
      </c>
      <c r="H1779" t="s">
        <v>4818</v>
      </c>
    </row>
    <row r="1780" spans="1:8" x14ac:dyDescent="0.25">
      <c r="A1780" t="s">
        <v>4846</v>
      </c>
      <c r="B1780">
        <v>31</v>
      </c>
      <c r="C1780" t="s">
        <v>4406</v>
      </c>
      <c r="D1780" t="s">
        <v>4641</v>
      </c>
      <c r="E1780" t="s">
        <v>4670</v>
      </c>
      <c r="F1780" t="s">
        <v>4562</v>
      </c>
      <c r="G1780" t="s">
        <v>4641</v>
      </c>
      <c r="H1780" t="s">
        <v>4406</v>
      </c>
    </row>
    <row r="1781" spans="1:8" x14ac:dyDescent="0.25">
      <c r="A1781" t="s">
        <v>1296</v>
      </c>
      <c r="B1781">
        <v>297</v>
      </c>
      <c r="C1781" t="s">
        <v>4402</v>
      </c>
      <c r="D1781" t="s">
        <v>4578</v>
      </c>
      <c r="E1781" t="s">
        <v>4578</v>
      </c>
      <c r="F1781" t="s">
        <v>4520</v>
      </c>
      <c r="G1781" t="s">
        <v>4731</v>
      </c>
      <c r="H1781" t="s">
        <v>4808</v>
      </c>
    </row>
    <row r="1783" spans="1:8" x14ac:dyDescent="0.25">
      <c r="A1783" t="s">
        <v>5783</v>
      </c>
    </row>
    <row r="1784" spans="1:8" x14ac:dyDescent="0.25">
      <c r="A1784" t="s">
        <v>910</v>
      </c>
      <c r="B1784" t="s">
        <v>4394</v>
      </c>
      <c r="C1784" t="s">
        <v>1561</v>
      </c>
      <c r="D1784" t="s">
        <v>1460</v>
      </c>
      <c r="E1784" t="s">
        <v>1342</v>
      </c>
      <c r="F1784" t="s">
        <v>1375</v>
      </c>
      <c r="G1784" t="s">
        <v>1401</v>
      </c>
      <c r="H1784" t="s">
        <v>1682</v>
      </c>
    </row>
    <row r="1785" spans="1:8" x14ac:dyDescent="0.25">
      <c r="A1785" t="s">
        <v>1371</v>
      </c>
      <c r="B1785">
        <v>42</v>
      </c>
      <c r="C1785" t="s">
        <v>4406</v>
      </c>
      <c r="D1785" t="s">
        <v>4596</v>
      </c>
      <c r="E1785" t="s">
        <v>4674</v>
      </c>
      <c r="F1785" t="s">
        <v>4497</v>
      </c>
      <c r="G1785" t="s">
        <v>4596</v>
      </c>
      <c r="H1785" t="s">
        <v>4424</v>
      </c>
    </row>
    <row r="1786" spans="1:8" x14ac:dyDescent="0.25">
      <c r="A1786" t="s">
        <v>1452</v>
      </c>
      <c r="B1786">
        <v>18</v>
      </c>
      <c r="C1786" t="s">
        <v>4406</v>
      </c>
      <c r="D1786" t="s">
        <v>4482</v>
      </c>
      <c r="E1786" t="s">
        <v>4676</v>
      </c>
      <c r="F1786" t="s">
        <v>4727</v>
      </c>
      <c r="G1786" t="s">
        <v>4571</v>
      </c>
      <c r="H1786" t="s">
        <v>4406</v>
      </c>
    </row>
    <row r="1787" spans="1:8" x14ac:dyDescent="0.25">
      <c r="A1787" t="s">
        <v>5560</v>
      </c>
      <c r="B1787">
        <v>59</v>
      </c>
      <c r="C1787" t="s">
        <v>4419</v>
      </c>
      <c r="D1787" t="s">
        <v>4769</v>
      </c>
      <c r="E1787" t="s">
        <v>5053</v>
      </c>
      <c r="F1787" t="s">
        <v>4703</v>
      </c>
      <c r="G1787" t="s">
        <v>5248</v>
      </c>
      <c r="H1787" t="s">
        <v>4406</v>
      </c>
    </row>
    <row r="1788" spans="1:8" x14ac:dyDescent="0.25">
      <c r="A1788" t="s">
        <v>1424</v>
      </c>
      <c r="B1788">
        <v>120</v>
      </c>
      <c r="C1788" t="s">
        <v>4419</v>
      </c>
      <c r="D1788" t="s">
        <v>4580</v>
      </c>
      <c r="E1788" t="s">
        <v>4909</v>
      </c>
      <c r="F1788" t="s">
        <v>5039</v>
      </c>
      <c r="G1788" t="s">
        <v>4561</v>
      </c>
      <c r="H1788" t="s">
        <v>4406</v>
      </c>
    </row>
    <row r="1789" spans="1:8" x14ac:dyDescent="0.25">
      <c r="A1789" t="s">
        <v>1340</v>
      </c>
      <c r="B1789">
        <v>31</v>
      </c>
      <c r="C1789" t="s">
        <v>4406</v>
      </c>
      <c r="D1789" t="s">
        <v>4670</v>
      </c>
      <c r="E1789" t="s">
        <v>4578</v>
      </c>
      <c r="F1789" t="s">
        <v>5000</v>
      </c>
      <c r="G1789" t="s">
        <v>4420</v>
      </c>
      <c r="H1789" t="s">
        <v>4406</v>
      </c>
    </row>
    <row r="1790" spans="1:8" x14ac:dyDescent="0.25">
      <c r="A1790" t="s">
        <v>5561</v>
      </c>
      <c r="B1790">
        <v>8</v>
      </c>
      <c r="C1790" t="s">
        <v>4406</v>
      </c>
      <c r="D1790" t="s">
        <v>4406</v>
      </c>
      <c r="E1790" t="s">
        <v>4462</v>
      </c>
      <c r="F1790" t="s">
        <v>4479</v>
      </c>
      <c r="G1790" t="s">
        <v>4602</v>
      </c>
      <c r="H1790" t="s">
        <v>4406</v>
      </c>
    </row>
    <row r="1791" spans="1:8" x14ac:dyDescent="0.25">
      <c r="A1791" t="s">
        <v>1416</v>
      </c>
      <c r="B1791">
        <v>19</v>
      </c>
      <c r="C1791" t="s">
        <v>4406</v>
      </c>
      <c r="D1791" t="s">
        <v>4867</v>
      </c>
      <c r="E1791" t="s">
        <v>4867</v>
      </c>
      <c r="F1791" t="s">
        <v>5122</v>
      </c>
      <c r="G1791" t="s">
        <v>4406</v>
      </c>
      <c r="H1791" t="s">
        <v>4406</v>
      </c>
    </row>
    <row r="1792" spans="1:8" x14ac:dyDescent="0.25">
      <c r="A1792" t="s">
        <v>1296</v>
      </c>
      <c r="B1792">
        <v>297</v>
      </c>
      <c r="C1792" t="s">
        <v>4402</v>
      </c>
      <c r="D1792" t="s">
        <v>4578</v>
      </c>
      <c r="E1792" t="s">
        <v>4578</v>
      </c>
      <c r="F1792" t="s">
        <v>4520</v>
      </c>
      <c r="G1792" t="s">
        <v>4731</v>
      </c>
      <c r="H1792" t="s">
        <v>4808</v>
      </c>
    </row>
    <row r="1794" spans="1:8" x14ac:dyDescent="0.25">
      <c r="A1794" t="s">
        <v>5784</v>
      </c>
    </row>
    <row r="1795" spans="1:8" x14ac:dyDescent="0.25">
      <c r="A1795" t="s">
        <v>928</v>
      </c>
      <c r="B1795" t="s">
        <v>4394</v>
      </c>
      <c r="C1795" t="s">
        <v>1561</v>
      </c>
      <c r="D1795" t="s">
        <v>1460</v>
      </c>
      <c r="E1795" t="s">
        <v>1342</v>
      </c>
      <c r="F1795" t="s">
        <v>1375</v>
      </c>
      <c r="G1795" t="s">
        <v>1401</v>
      </c>
      <c r="H1795" t="s">
        <v>1682</v>
      </c>
    </row>
    <row r="1796" spans="1:8" x14ac:dyDescent="0.25">
      <c r="A1796" t="s">
        <v>4433</v>
      </c>
      <c r="B1796">
        <v>5</v>
      </c>
      <c r="C1796" t="s">
        <v>4457</v>
      </c>
      <c r="D1796" t="s">
        <v>4406</v>
      </c>
      <c r="E1796" t="s">
        <v>4406</v>
      </c>
      <c r="F1796" t="s">
        <v>4458</v>
      </c>
      <c r="G1796" t="s">
        <v>4406</v>
      </c>
      <c r="H1796" t="s">
        <v>4406</v>
      </c>
    </row>
    <row r="1797" spans="1:8" x14ac:dyDescent="0.25">
      <c r="A1797" t="s">
        <v>4434</v>
      </c>
      <c r="B1797">
        <v>119</v>
      </c>
      <c r="C1797" t="s">
        <v>4406</v>
      </c>
      <c r="D1797" t="s">
        <v>5119</v>
      </c>
      <c r="E1797" t="s">
        <v>4406</v>
      </c>
      <c r="F1797" t="s">
        <v>5120</v>
      </c>
      <c r="G1797" t="s">
        <v>4406</v>
      </c>
      <c r="H1797" t="s">
        <v>4406</v>
      </c>
    </row>
    <row r="1798" spans="1:8" x14ac:dyDescent="0.25">
      <c r="A1798" t="s">
        <v>4435</v>
      </c>
      <c r="B1798">
        <v>90</v>
      </c>
      <c r="C1798" t="s">
        <v>4406</v>
      </c>
      <c r="D1798" t="s">
        <v>4406</v>
      </c>
      <c r="E1798" t="s">
        <v>4976</v>
      </c>
      <c r="F1798" t="s">
        <v>4685</v>
      </c>
      <c r="G1798" t="s">
        <v>4406</v>
      </c>
      <c r="H1798" t="s">
        <v>4406</v>
      </c>
    </row>
    <row r="1799" spans="1:8" x14ac:dyDescent="0.25">
      <c r="A1799" t="s">
        <v>4436</v>
      </c>
      <c r="B1799">
        <v>81</v>
      </c>
      <c r="C1799" t="s">
        <v>4406</v>
      </c>
      <c r="D1799" t="s">
        <v>4406</v>
      </c>
      <c r="E1799" t="s">
        <v>4406</v>
      </c>
      <c r="F1799" t="s">
        <v>4548</v>
      </c>
      <c r="G1799" t="s">
        <v>5121</v>
      </c>
      <c r="H1799" t="s">
        <v>4406</v>
      </c>
    </row>
    <row r="1800" spans="1:8" x14ac:dyDescent="0.25">
      <c r="A1800" t="s">
        <v>4437</v>
      </c>
      <c r="B1800">
        <v>2</v>
      </c>
      <c r="C1800" t="s">
        <v>4406</v>
      </c>
      <c r="D1800" t="s">
        <v>4406</v>
      </c>
      <c r="E1800" t="s">
        <v>4406</v>
      </c>
      <c r="F1800" t="s">
        <v>4468</v>
      </c>
      <c r="G1800" t="s">
        <v>4406</v>
      </c>
      <c r="H1800" t="s">
        <v>4468</v>
      </c>
    </row>
    <row r="1801" spans="1:8" x14ac:dyDescent="0.25">
      <c r="A1801" t="s">
        <v>1296</v>
      </c>
      <c r="B1801">
        <v>297</v>
      </c>
      <c r="C1801" t="s">
        <v>4402</v>
      </c>
      <c r="D1801" t="s">
        <v>4578</v>
      </c>
      <c r="E1801" t="s">
        <v>4578</v>
      </c>
      <c r="F1801" t="s">
        <v>4520</v>
      </c>
      <c r="G1801" t="s">
        <v>4731</v>
      </c>
      <c r="H1801" t="s">
        <v>4808</v>
      </c>
    </row>
    <row r="1803" spans="1:8" x14ac:dyDescent="0.25">
      <c r="A1803" t="s">
        <v>5785</v>
      </c>
    </row>
    <row r="1804" spans="1:8" x14ac:dyDescent="0.25">
      <c r="A1804" t="s">
        <v>929</v>
      </c>
      <c r="B1804" t="s">
        <v>4394</v>
      </c>
      <c r="C1804" t="s">
        <v>1561</v>
      </c>
      <c r="D1804" t="s">
        <v>1460</v>
      </c>
      <c r="E1804" t="s">
        <v>1342</v>
      </c>
      <c r="F1804" t="s">
        <v>1375</v>
      </c>
      <c r="G1804" t="s">
        <v>1401</v>
      </c>
      <c r="H1804" t="s">
        <v>1682</v>
      </c>
    </row>
    <row r="1805" spans="1:8" x14ac:dyDescent="0.25">
      <c r="A1805" t="s">
        <v>1664</v>
      </c>
      <c r="B1805">
        <v>2</v>
      </c>
      <c r="C1805" t="s">
        <v>4406</v>
      </c>
      <c r="D1805" t="s">
        <v>4406</v>
      </c>
      <c r="E1805" t="s">
        <v>4406</v>
      </c>
      <c r="F1805" t="s">
        <v>4454</v>
      </c>
      <c r="G1805" t="s">
        <v>4406</v>
      </c>
      <c r="H1805" t="s">
        <v>4406</v>
      </c>
    </row>
    <row r="1806" spans="1:8" x14ac:dyDescent="0.25">
      <c r="A1806" t="s">
        <v>1315</v>
      </c>
      <c r="B1806">
        <v>197</v>
      </c>
      <c r="C1806" t="s">
        <v>4402</v>
      </c>
      <c r="D1806" t="s">
        <v>4507</v>
      </c>
      <c r="E1806" t="s">
        <v>5123</v>
      </c>
      <c r="F1806" t="s">
        <v>5124</v>
      </c>
      <c r="G1806" t="s">
        <v>5064</v>
      </c>
      <c r="H1806" t="s">
        <v>4406</v>
      </c>
    </row>
    <row r="1807" spans="1:8" x14ac:dyDescent="0.25">
      <c r="A1807" t="s">
        <v>1353</v>
      </c>
      <c r="B1807">
        <v>98</v>
      </c>
      <c r="C1807" t="s">
        <v>4402</v>
      </c>
      <c r="D1807" t="s">
        <v>4614</v>
      </c>
      <c r="E1807" t="s">
        <v>5125</v>
      </c>
      <c r="F1807" t="s">
        <v>4765</v>
      </c>
      <c r="G1807" t="s">
        <v>4476</v>
      </c>
      <c r="H1807" t="s">
        <v>4402</v>
      </c>
    </row>
    <row r="1808" spans="1:8" x14ac:dyDescent="0.25">
      <c r="A1808" t="s">
        <v>1296</v>
      </c>
      <c r="B1808">
        <v>297</v>
      </c>
      <c r="C1808" t="s">
        <v>4402</v>
      </c>
      <c r="D1808" t="s">
        <v>4578</v>
      </c>
      <c r="E1808" t="s">
        <v>4578</v>
      </c>
      <c r="F1808" t="s">
        <v>4520</v>
      </c>
      <c r="G1808" t="s">
        <v>4731</v>
      </c>
      <c r="H1808" t="s">
        <v>4808</v>
      </c>
    </row>
    <row r="1810" spans="1:8" x14ac:dyDescent="0.25">
      <c r="A1810" t="s">
        <v>5786</v>
      </c>
    </row>
    <row r="1811" spans="1:8" x14ac:dyDescent="0.25">
      <c r="A1811" t="s">
        <v>5481</v>
      </c>
      <c r="B1811" t="s">
        <v>4394</v>
      </c>
      <c r="C1811" t="s">
        <v>1561</v>
      </c>
      <c r="D1811" t="s">
        <v>1460</v>
      </c>
      <c r="E1811" t="s">
        <v>1342</v>
      </c>
      <c r="F1811" t="s">
        <v>1375</v>
      </c>
      <c r="G1811" t="s">
        <v>1401</v>
      </c>
      <c r="H1811" t="s">
        <v>1682</v>
      </c>
    </row>
    <row r="1812" spans="1:8" x14ac:dyDescent="0.25">
      <c r="A1812" t="s">
        <v>4438</v>
      </c>
      <c r="B1812">
        <v>129</v>
      </c>
      <c r="C1812" t="s">
        <v>4417</v>
      </c>
      <c r="D1812" t="s">
        <v>4685</v>
      </c>
      <c r="E1812" t="s">
        <v>5054</v>
      </c>
      <c r="F1812" t="s">
        <v>5175</v>
      </c>
      <c r="G1812" t="s">
        <v>5054</v>
      </c>
      <c r="H1812" t="s">
        <v>4417</v>
      </c>
    </row>
    <row r="1813" spans="1:8" x14ac:dyDescent="0.25">
      <c r="A1813" t="s">
        <v>4439</v>
      </c>
      <c r="B1813">
        <v>93</v>
      </c>
      <c r="C1813" t="s">
        <v>4825</v>
      </c>
      <c r="D1813" t="s">
        <v>5438</v>
      </c>
      <c r="E1813" t="s">
        <v>4519</v>
      </c>
      <c r="F1813" t="s">
        <v>4475</v>
      </c>
      <c r="G1813" t="s">
        <v>4882</v>
      </c>
      <c r="H1813" t="s">
        <v>4406</v>
      </c>
    </row>
    <row r="1814" spans="1:8" x14ac:dyDescent="0.25">
      <c r="A1814" t="s">
        <v>1400</v>
      </c>
      <c r="B1814">
        <v>5</v>
      </c>
      <c r="C1814" t="s">
        <v>4406</v>
      </c>
      <c r="D1814" t="s">
        <v>4406</v>
      </c>
      <c r="E1814" t="s">
        <v>4458</v>
      </c>
      <c r="F1814" t="s">
        <v>4458</v>
      </c>
      <c r="G1814" t="s">
        <v>4472</v>
      </c>
      <c r="H1814" t="s">
        <v>4406</v>
      </c>
    </row>
    <row r="1815" spans="1:8" x14ac:dyDescent="0.25">
      <c r="A1815" t="s">
        <v>5566</v>
      </c>
      <c r="B1815">
        <v>36</v>
      </c>
      <c r="C1815" t="s">
        <v>4406</v>
      </c>
      <c r="D1815" t="s">
        <v>4571</v>
      </c>
      <c r="E1815" t="s">
        <v>4462</v>
      </c>
      <c r="F1815" t="s">
        <v>4648</v>
      </c>
      <c r="G1815" t="s">
        <v>4596</v>
      </c>
      <c r="H1815" t="s">
        <v>4406</v>
      </c>
    </row>
    <row r="1816" spans="1:8" x14ac:dyDescent="0.25">
      <c r="A1816" t="s">
        <v>1372</v>
      </c>
      <c r="B1816">
        <v>34</v>
      </c>
      <c r="C1816" t="s">
        <v>4697</v>
      </c>
      <c r="D1816" t="s">
        <v>4617</v>
      </c>
      <c r="E1816" t="s">
        <v>4498</v>
      </c>
      <c r="F1816" t="s">
        <v>4483</v>
      </c>
      <c r="G1816" t="s">
        <v>4468</v>
      </c>
      <c r="H1816" t="s">
        <v>4406</v>
      </c>
    </row>
    <row r="1817" spans="1:8" x14ac:dyDescent="0.25">
      <c r="A1817" t="s">
        <v>1296</v>
      </c>
      <c r="B1817">
        <v>297</v>
      </c>
      <c r="C1817" t="s">
        <v>4402</v>
      </c>
      <c r="D1817" t="s">
        <v>4578</v>
      </c>
      <c r="E1817" t="s">
        <v>4578</v>
      </c>
      <c r="F1817" t="s">
        <v>4520</v>
      </c>
      <c r="G1817" t="s">
        <v>4731</v>
      </c>
      <c r="H1817" t="s">
        <v>4808</v>
      </c>
    </row>
    <row r="1819" spans="1:8" x14ac:dyDescent="0.25">
      <c r="A1819" t="s">
        <v>5787</v>
      </c>
    </row>
    <row r="1820" spans="1:8" x14ac:dyDescent="0.25">
      <c r="A1820" t="s">
        <v>5477</v>
      </c>
      <c r="B1820" t="s">
        <v>4394</v>
      </c>
      <c r="C1820" t="s">
        <v>1561</v>
      </c>
      <c r="D1820" t="s">
        <v>1460</v>
      </c>
      <c r="E1820" t="s">
        <v>1342</v>
      </c>
      <c r="F1820" t="s">
        <v>1375</v>
      </c>
      <c r="G1820" t="s">
        <v>1401</v>
      </c>
      <c r="H1820" t="s">
        <v>1682</v>
      </c>
    </row>
    <row r="1821" spans="1:8" x14ac:dyDescent="0.25">
      <c r="A1821" t="s">
        <v>4438</v>
      </c>
      <c r="B1821">
        <v>95</v>
      </c>
      <c r="C1821" t="s">
        <v>4825</v>
      </c>
      <c r="D1821" t="s">
        <v>5081</v>
      </c>
      <c r="E1821" t="s">
        <v>5081</v>
      </c>
      <c r="F1821" t="s">
        <v>5261</v>
      </c>
      <c r="G1821" t="s">
        <v>4451</v>
      </c>
      <c r="H1821" t="s">
        <v>4825</v>
      </c>
    </row>
    <row r="1822" spans="1:8" x14ac:dyDescent="0.25">
      <c r="A1822" t="s">
        <v>4439</v>
      </c>
      <c r="B1822">
        <v>128</v>
      </c>
      <c r="C1822" t="s">
        <v>4417</v>
      </c>
      <c r="D1822" t="s">
        <v>4633</v>
      </c>
      <c r="E1822" t="s">
        <v>4561</v>
      </c>
      <c r="F1822" t="s">
        <v>5173</v>
      </c>
      <c r="G1822" t="s">
        <v>4693</v>
      </c>
      <c r="H1822" t="s">
        <v>4406</v>
      </c>
    </row>
    <row r="1823" spans="1:8" x14ac:dyDescent="0.25">
      <c r="A1823" t="s">
        <v>1400</v>
      </c>
      <c r="B1823">
        <v>7</v>
      </c>
      <c r="C1823" t="s">
        <v>4406</v>
      </c>
      <c r="D1823" t="s">
        <v>4522</v>
      </c>
      <c r="E1823" t="s">
        <v>4447</v>
      </c>
      <c r="F1823" t="s">
        <v>4450</v>
      </c>
      <c r="G1823" t="s">
        <v>4522</v>
      </c>
      <c r="H1823" t="s">
        <v>4406</v>
      </c>
    </row>
    <row r="1824" spans="1:8" x14ac:dyDescent="0.25">
      <c r="A1824" t="s">
        <v>5566</v>
      </c>
      <c r="B1824">
        <v>36</v>
      </c>
      <c r="C1824" t="s">
        <v>4406</v>
      </c>
      <c r="D1824" t="s">
        <v>4571</v>
      </c>
      <c r="E1824" t="s">
        <v>4462</v>
      </c>
      <c r="F1824" t="s">
        <v>4648</v>
      </c>
      <c r="G1824" t="s">
        <v>4596</v>
      </c>
      <c r="H1824" t="s">
        <v>4406</v>
      </c>
    </row>
    <row r="1825" spans="1:8" x14ac:dyDescent="0.25">
      <c r="A1825" t="s">
        <v>1426</v>
      </c>
      <c r="B1825">
        <v>1</v>
      </c>
      <c r="C1825" t="s">
        <v>4406</v>
      </c>
      <c r="D1825" t="s">
        <v>4406</v>
      </c>
      <c r="E1825" t="s">
        <v>4406</v>
      </c>
      <c r="F1825" t="s">
        <v>4454</v>
      </c>
      <c r="G1825" t="s">
        <v>4406</v>
      </c>
      <c r="H1825" t="s">
        <v>4406</v>
      </c>
    </row>
    <row r="1826" spans="1:8" x14ac:dyDescent="0.25">
      <c r="A1826" t="s">
        <v>1372</v>
      </c>
      <c r="B1826">
        <v>30</v>
      </c>
      <c r="C1826" t="s">
        <v>4651</v>
      </c>
      <c r="D1826" t="s">
        <v>4406</v>
      </c>
      <c r="E1826" t="s">
        <v>4651</v>
      </c>
      <c r="F1826" t="s">
        <v>5039</v>
      </c>
      <c r="G1826" t="s">
        <v>4782</v>
      </c>
      <c r="H1826" t="s">
        <v>4406</v>
      </c>
    </row>
    <row r="1827" spans="1:8" x14ac:dyDescent="0.25">
      <c r="A1827" t="s">
        <v>1296</v>
      </c>
      <c r="B1827">
        <v>297</v>
      </c>
      <c r="C1827" t="s">
        <v>4402</v>
      </c>
      <c r="D1827" t="s">
        <v>4578</v>
      </c>
      <c r="E1827" t="s">
        <v>4578</v>
      </c>
      <c r="F1827" t="s">
        <v>4520</v>
      </c>
      <c r="G1827" t="s">
        <v>4731</v>
      </c>
      <c r="H1827" t="s">
        <v>4808</v>
      </c>
    </row>
    <row r="1829" spans="1:8" x14ac:dyDescent="0.25">
      <c r="A1829" t="s">
        <v>5788</v>
      </c>
    </row>
    <row r="1830" spans="1:8" x14ac:dyDescent="0.25">
      <c r="A1830" t="s">
        <v>911</v>
      </c>
      <c r="B1830" t="s">
        <v>4394</v>
      </c>
      <c r="C1830" t="s">
        <v>1561</v>
      </c>
      <c r="D1830" t="s">
        <v>1460</v>
      </c>
      <c r="E1830" t="s">
        <v>1342</v>
      </c>
      <c r="F1830" t="s">
        <v>1375</v>
      </c>
      <c r="G1830" t="s">
        <v>1401</v>
      </c>
      <c r="H1830" t="s">
        <v>1682</v>
      </c>
    </row>
    <row r="1831" spans="1:8" x14ac:dyDescent="0.25">
      <c r="A1831" t="s">
        <v>4438</v>
      </c>
      <c r="B1831">
        <v>122</v>
      </c>
      <c r="C1831" t="s">
        <v>4635</v>
      </c>
      <c r="D1831" t="s">
        <v>4674</v>
      </c>
      <c r="E1831" t="s">
        <v>5126</v>
      </c>
      <c r="F1831" t="s">
        <v>5117</v>
      </c>
      <c r="G1831" t="s">
        <v>5127</v>
      </c>
      <c r="H1831" t="s">
        <v>4406</v>
      </c>
    </row>
    <row r="1832" spans="1:8" x14ac:dyDescent="0.25">
      <c r="A1832" t="s">
        <v>4439</v>
      </c>
      <c r="B1832">
        <v>79</v>
      </c>
      <c r="C1832" t="s">
        <v>4406</v>
      </c>
      <c r="D1832" t="s">
        <v>4490</v>
      </c>
      <c r="E1832" t="s">
        <v>4638</v>
      </c>
      <c r="F1832" t="s">
        <v>4843</v>
      </c>
      <c r="G1832" t="s">
        <v>4859</v>
      </c>
      <c r="H1832" t="s">
        <v>4659</v>
      </c>
    </row>
    <row r="1833" spans="1:8" x14ac:dyDescent="0.25">
      <c r="A1833" t="s">
        <v>1400</v>
      </c>
      <c r="B1833">
        <v>19</v>
      </c>
      <c r="C1833" t="s">
        <v>4406</v>
      </c>
      <c r="D1833" t="s">
        <v>4524</v>
      </c>
      <c r="E1833" t="s">
        <v>4466</v>
      </c>
      <c r="F1833" t="s">
        <v>4524</v>
      </c>
      <c r="G1833" t="s">
        <v>4600</v>
      </c>
      <c r="H1833" t="s">
        <v>4406</v>
      </c>
    </row>
    <row r="1834" spans="1:8" x14ac:dyDescent="0.25">
      <c r="A1834" t="s">
        <v>1340</v>
      </c>
      <c r="B1834">
        <v>31</v>
      </c>
      <c r="C1834" t="s">
        <v>4406</v>
      </c>
      <c r="D1834" t="s">
        <v>4670</v>
      </c>
      <c r="E1834" t="s">
        <v>4578</v>
      </c>
      <c r="F1834" t="s">
        <v>5000</v>
      </c>
      <c r="G1834" t="s">
        <v>4420</v>
      </c>
      <c r="H1834" t="s">
        <v>4406</v>
      </c>
    </row>
    <row r="1835" spans="1:8" x14ac:dyDescent="0.25">
      <c r="A1835" t="s">
        <v>1426</v>
      </c>
      <c r="B1835">
        <v>8</v>
      </c>
      <c r="C1835" t="s">
        <v>4406</v>
      </c>
      <c r="D1835" t="s">
        <v>4479</v>
      </c>
      <c r="E1835" t="s">
        <v>4462</v>
      </c>
      <c r="F1835" t="s">
        <v>4481</v>
      </c>
      <c r="G1835" t="s">
        <v>4462</v>
      </c>
      <c r="H1835" t="s">
        <v>4406</v>
      </c>
    </row>
    <row r="1836" spans="1:8" x14ac:dyDescent="0.25">
      <c r="A1836" t="s">
        <v>1372</v>
      </c>
      <c r="B1836">
        <v>38</v>
      </c>
      <c r="C1836" t="s">
        <v>4864</v>
      </c>
      <c r="D1836" t="s">
        <v>4714</v>
      </c>
      <c r="E1836" t="s">
        <v>4600</v>
      </c>
      <c r="F1836" t="s">
        <v>4511</v>
      </c>
      <c r="G1836" t="s">
        <v>4842</v>
      </c>
      <c r="H1836" t="s">
        <v>4406</v>
      </c>
    </row>
    <row r="1837" spans="1:8" x14ac:dyDescent="0.25">
      <c r="A1837" t="s">
        <v>1296</v>
      </c>
      <c r="B1837">
        <v>297</v>
      </c>
      <c r="C1837" t="s">
        <v>4402</v>
      </c>
      <c r="D1837" t="s">
        <v>4578</v>
      </c>
      <c r="E1837" t="s">
        <v>4578</v>
      </c>
      <c r="F1837" t="s">
        <v>4520</v>
      </c>
      <c r="G1837" t="s">
        <v>4731</v>
      </c>
      <c r="H1837" t="s">
        <v>4808</v>
      </c>
    </row>
    <row r="1839" spans="1:8" x14ac:dyDescent="0.25">
      <c r="A1839" t="s">
        <v>5789</v>
      </c>
    </row>
    <row r="1840" spans="1:8" x14ac:dyDescent="0.25">
      <c r="A1840" t="s">
        <v>912</v>
      </c>
      <c r="B1840" t="s">
        <v>4394</v>
      </c>
      <c r="C1840" t="s">
        <v>1561</v>
      </c>
      <c r="D1840" t="s">
        <v>1460</v>
      </c>
      <c r="E1840" t="s">
        <v>1342</v>
      </c>
      <c r="F1840" t="s">
        <v>1375</v>
      </c>
      <c r="G1840" t="s">
        <v>1401</v>
      </c>
      <c r="H1840" t="s">
        <v>1682</v>
      </c>
    </row>
    <row r="1841" spans="1:8" x14ac:dyDescent="0.25">
      <c r="A1841" t="s">
        <v>4438</v>
      </c>
      <c r="B1841">
        <v>80</v>
      </c>
      <c r="C1841" t="s">
        <v>4645</v>
      </c>
      <c r="D1841" t="s">
        <v>4472</v>
      </c>
      <c r="E1841" t="s">
        <v>4759</v>
      </c>
      <c r="F1841" t="s">
        <v>4771</v>
      </c>
      <c r="G1841" t="s">
        <v>4556</v>
      </c>
      <c r="H1841" t="s">
        <v>4406</v>
      </c>
    </row>
    <row r="1842" spans="1:8" x14ac:dyDescent="0.25">
      <c r="A1842" t="s">
        <v>4439</v>
      </c>
      <c r="B1842">
        <v>106</v>
      </c>
      <c r="C1842" t="s">
        <v>4406</v>
      </c>
      <c r="D1842" t="s">
        <v>5128</v>
      </c>
      <c r="E1842" t="s">
        <v>4606</v>
      </c>
      <c r="F1842" t="s">
        <v>4471</v>
      </c>
      <c r="G1842" t="s">
        <v>4647</v>
      </c>
      <c r="H1842" t="s">
        <v>4902</v>
      </c>
    </row>
    <row r="1843" spans="1:8" x14ac:dyDescent="0.25">
      <c r="A1843" t="s">
        <v>1400</v>
      </c>
      <c r="B1843">
        <v>30</v>
      </c>
      <c r="C1843" t="s">
        <v>4406</v>
      </c>
      <c r="D1843" t="s">
        <v>5129</v>
      </c>
      <c r="E1843" t="s">
        <v>4468</v>
      </c>
      <c r="F1843" t="s">
        <v>4646</v>
      </c>
      <c r="G1843" t="s">
        <v>4651</v>
      </c>
      <c r="H1843" t="s">
        <v>4406</v>
      </c>
    </row>
    <row r="1844" spans="1:8" x14ac:dyDescent="0.25">
      <c r="A1844" t="s">
        <v>1340</v>
      </c>
      <c r="B1844">
        <v>31</v>
      </c>
      <c r="C1844" t="s">
        <v>4406</v>
      </c>
      <c r="D1844" t="s">
        <v>4670</v>
      </c>
      <c r="E1844" t="s">
        <v>4578</v>
      </c>
      <c r="F1844" t="s">
        <v>5000</v>
      </c>
      <c r="G1844" t="s">
        <v>4420</v>
      </c>
      <c r="H1844" t="s">
        <v>4406</v>
      </c>
    </row>
    <row r="1845" spans="1:8" x14ac:dyDescent="0.25">
      <c r="A1845" t="s">
        <v>1426</v>
      </c>
      <c r="B1845">
        <v>15</v>
      </c>
      <c r="C1845" t="s">
        <v>4406</v>
      </c>
      <c r="D1845" t="s">
        <v>4607</v>
      </c>
      <c r="E1845" t="s">
        <v>5106</v>
      </c>
      <c r="F1845" t="s">
        <v>4465</v>
      </c>
      <c r="G1845" t="s">
        <v>4416</v>
      </c>
      <c r="H1845" t="s">
        <v>4406</v>
      </c>
    </row>
    <row r="1846" spans="1:8" x14ac:dyDescent="0.25">
      <c r="A1846" t="s">
        <v>1372</v>
      </c>
      <c r="B1846">
        <v>35</v>
      </c>
      <c r="C1846" t="s">
        <v>4697</v>
      </c>
      <c r="D1846" t="s">
        <v>4406</v>
      </c>
      <c r="E1846" t="s">
        <v>4697</v>
      </c>
      <c r="F1846" t="s">
        <v>4472</v>
      </c>
      <c r="G1846" t="s">
        <v>5130</v>
      </c>
      <c r="H1846" t="s">
        <v>4406</v>
      </c>
    </row>
    <row r="1847" spans="1:8" x14ac:dyDescent="0.25">
      <c r="A1847" t="s">
        <v>1296</v>
      </c>
      <c r="B1847">
        <v>297</v>
      </c>
      <c r="C1847" t="s">
        <v>4402</v>
      </c>
      <c r="D1847" t="s">
        <v>4578</v>
      </c>
      <c r="E1847" t="s">
        <v>4578</v>
      </c>
      <c r="F1847" t="s">
        <v>4520</v>
      </c>
      <c r="G1847" t="s">
        <v>4731</v>
      </c>
      <c r="H1847" t="s">
        <v>4808</v>
      </c>
    </row>
    <row r="1849" spans="1:8" x14ac:dyDescent="0.25">
      <c r="A1849" t="s">
        <v>5790</v>
      </c>
    </row>
    <row r="1850" spans="1:8" x14ac:dyDescent="0.25">
      <c r="A1850" t="s">
        <v>903</v>
      </c>
      <c r="B1850" t="s">
        <v>4394</v>
      </c>
      <c r="C1850" t="s">
        <v>1561</v>
      </c>
      <c r="D1850" t="s">
        <v>1460</v>
      </c>
      <c r="E1850" t="s">
        <v>1342</v>
      </c>
      <c r="F1850" t="s">
        <v>1375</v>
      </c>
      <c r="G1850" t="s">
        <v>1401</v>
      </c>
      <c r="H1850" t="s">
        <v>1682</v>
      </c>
    </row>
    <row r="1851" spans="1:8" x14ac:dyDescent="0.25">
      <c r="A1851" t="s">
        <v>70</v>
      </c>
      <c r="B1851">
        <v>85</v>
      </c>
      <c r="C1851" t="s">
        <v>4422</v>
      </c>
      <c r="D1851" t="s">
        <v>4423</v>
      </c>
      <c r="E1851" t="s">
        <v>4406</v>
      </c>
      <c r="F1851" t="s">
        <v>4769</v>
      </c>
      <c r="G1851" t="s">
        <v>4457</v>
      </c>
      <c r="H1851" t="s">
        <v>4422</v>
      </c>
    </row>
    <row r="1852" spans="1:8" x14ac:dyDescent="0.25">
      <c r="A1852" t="s">
        <v>71</v>
      </c>
      <c r="B1852">
        <v>212</v>
      </c>
      <c r="C1852" t="s">
        <v>4902</v>
      </c>
      <c r="D1852" t="s">
        <v>5108</v>
      </c>
      <c r="E1852" t="s">
        <v>4490</v>
      </c>
      <c r="F1852" t="s">
        <v>4513</v>
      </c>
      <c r="G1852" t="s">
        <v>4400</v>
      </c>
      <c r="H1852" t="s">
        <v>4406</v>
      </c>
    </row>
    <row r="1853" spans="1:8" x14ac:dyDescent="0.25">
      <c r="A1853" t="s">
        <v>1296</v>
      </c>
      <c r="B1853">
        <v>297</v>
      </c>
      <c r="C1853" t="s">
        <v>4402</v>
      </c>
      <c r="D1853" t="s">
        <v>4578</v>
      </c>
      <c r="E1853" t="s">
        <v>4578</v>
      </c>
      <c r="F1853" t="s">
        <v>4520</v>
      </c>
      <c r="G1853" t="s">
        <v>4731</v>
      </c>
      <c r="H1853" t="s">
        <v>4808</v>
      </c>
    </row>
    <row r="1855" spans="1:8" x14ac:dyDescent="0.25">
      <c r="A1855" t="s">
        <v>5791</v>
      </c>
    </row>
    <row r="1856" spans="1:8" x14ac:dyDescent="0.25">
      <c r="A1856" t="s">
        <v>1297</v>
      </c>
      <c r="B1856" t="s">
        <v>4394</v>
      </c>
      <c r="C1856" t="s">
        <v>109</v>
      </c>
      <c r="D1856" t="s">
        <v>192</v>
      </c>
    </row>
    <row r="1857" spans="1:4" x14ac:dyDescent="0.25">
      <c r="A1857" t="s">
        <v>5549</v>
      </c>
      <c r="B1857">
        <v>165</v>
      </c>
      <c r="C1857" t="s">
        <v>4414</v>
      </c>
      <c r="D1857" t="s">
        <v>7518</v>
      </c>
    </row>
    <row r="1858" spans="1:4" x14ac:dyDescent="0.25">
      <c r="A1858" t="s">
        <v>1397</v>
      </c>
      <c r="B1858">
        <v>76</v>
      </c>
      <c r="C1858" t="s">
        <v>4864</v>
      </c>
      <c r="D1858" t="s">
        <v>4989</v>
      </c>
    </row>
    <row r="1859" spans="1:4" x14ac:dyDescent="0.25">
      <c r="A1859" t="s">
        <v>1296</v>
      </c>
      <c r="B1859">
        <v>241</v>
      </c>
      <c r="C1859" t="s">
        <v>4742</v>
      </c>
      <c r="D1859" t="s">
        <v>7519</v>
      </c>
    </row>
    <row r="1861" spans="1:4" x14ac:dyDescent="0.25">
      <c r="A1861" t="s">
        <v>5792</v>
      </c>
    </row>
    <row r="1862" spans="1:4" x14ac:dyDescent="0.25">
      <c r="A1862" t="s">
        <v>1297</v>
      </c>
      <c r="B1862" t="s">
        <v>4394</v>
      </c>
      <c r="C1862" t="s">
        <v>109</v>
      </c>
      <c r="D1862" t="s">
        <v>192</v>
      </c>
    </row>
    <row r="1863" spans="1:4" x14ac:dyDescent="0.25">
      <c r="A1863" t="s">
        <v>5549</v>
      </c>
      <c r="B1863">
        <v>164</v>
      </c>
      <c r="C1863" t="s">
        <v>4741</v>
      </c>
      <c r="D1863" t="s">
        <v>5511</v>
      </c>
    </row>
    <row r="1864" spans="1:4" x14ac:dyDescent="0.25">
      <c r="A1864" t="s">
        <v>1397</v>
      </c>
      <c r="B1864">
        <v>76</v>
      </c>
      <c r="C1864" t="s">
        <v>4692</v>
      </c>
      <c r="D1864" t="s">
        <v>7520</v>
      </c>
    </row>
    <row r="1865" spans="1:4" x14ac:dyDescent="0.25">
      <c r="A1865" t="s">
        <v>1296</v>
      </c>
      <c r="B1865">
        <v>240</v>
      </c>
      <c r="C1865" t="s">
        <v>4746</v>
      </c>
      <c r="D1865" t="s">
        <v>5435</v>
      </c>
    </row>
    <row r="1867" spans="1:4" x14ac:dyDescent="0.25">
      <c r="A1867" t="s">
        <v>5793</v>
      </c>
    </row>
    <row r="1868" spans="1:4" x14ac:dyDescent="0.25">
      <c r="A1868" t="s">
        <v>1297</v>
      </c>
      <c r="B1868" t="s">
        <v>4394</v>
      </c>
      <c r="C1868" t="s">
        <v>109</v>
      </c>
      <c r="D1868" t="s">
        <v>192</v>
      </c>
    </row>
    <row r="1869" spans="1:4" x14ac:dyDescent="0.25">
      <c r="A1869" t="s">
        <v>5549</v>
      </c>
      <c r="B1869">
        <v>140</v>
      </c>
      <c r="C1869" t="s">
        <v>4510</v>
      </c>
      <c r="D1869" t="s">
        <v>5166</v>
      </c>
    </row>
    <row r="1870" spans="1:4" x14ac:dyDescent="0.25">
      <c r="A1870" t="s">
        <v>1397</v>
      </c>
      <c r="B1870">
        <v>51</v>
      </c>
      <c r="C1870" t="s">
        <v>4760</v>
      </c>
      <c r="D1870" t="s">
        <v>5218</v>
      </c>
    </row>
    <row r="1871" spans="1:4" x14ac:dyDescent="0.25">
      <c r="A1871" t="s">
        <v>1296</v>
      </c>
      <c r="B1871">
        <v>191</v>
      </c>
      <c r="C1871" t="s">
        <v>4780</v>
      </c>
      <c r="D1871" t="s">
        <v>4779</v>
      </c>
    </row>
    <row r="1873" spans="1:7" x14ac:dyDescent="0.25">
      <c r="A1873" t="s">
        <v>5794</v>
      </c>
    </row>
    <row r="1874" spans="1:7" x14ac:dyDescent="0.25">
      <c r="A1874" t="s">
        <v>1297</v>
      </c>
      <c r="B1874" t="s">
        <v>4394</v>
      </c>
      <c r="C1874" t="s">
        <v>109</v>
      </c>
      <c r="D1874" t="s">
        <v>192</v>
      </c>
    </row>
    <row r="1875" spans="1:7" x14ac:dyDescent="0.25">
      <c r="A1875" t="s">
        <v>5549</v>
      </c>
      <c r="B1875">
        <v>140</v>
      </c>
      <c r="C1875" t="s">
        <v>4447</v>
      </c>
      <c r="D1875" t="s">
        <v>4778</v>
      </c>
    </row>
    <row r="1876" spans="1:7" x14ac:dyDescent="0.25">
      <c r="A1876" t="s">
        <v>1397</v>
      </c>
      <c r="B1876">
        <v>50</v>
      </c>
      <c r="C1876" t="s">
        <v>4503</v>
      </c>
      <c r="D1876" t="s">
        <v>5398</v>
      </c>
    </row>
    <row r="1877" spans="1:7" x14ac:dyDescent="0.25">
      <c r="A1877" t="s">
        <v>1296</v>
      </c>
      <c r="B1877">
        <v>190</v>
      </c>
      <c r="C1877" t="s">
        <v>5138</v>
      </c>
      <c r="D1877" t="s">
        <v>5137</v>
      </c>
    </row>
    <row r="1879" spans="1:7" x14ac:dyDescent="0.25">
      <c r="A1879" t="s">
        <v>5487</v>
      </c>
    </row>
    <row r="1880" spans="1:7" x14ac:dyDescent="0.25">
      <c r="A1880" t="s">
        <v>4394</v>
      </c>
      <c r="B1880" t="s">
        <v>4428</v>
      </c>
      <c r="C1880" t="s">
        <v>4429</v>
      </c>
      <c r="D1880" t="s">
        <v>4430</v>
      </c>
      <c r="E1880" t="s">
        <v>4431</v>
      </c>
      <c r="F1880" t="s">
        <v>4432</v>
      </c>
    </row>
    <row r="1881" spans="1:7" x14ac:dyDescent="0.25">
      <c r="A1881">
        <v>297</v>
      </c>
      <c r="B1881">
        <v>2.81</v>
      </c>
      <c r="C1881">
        <v>3</v>
      </c>
      <c r="D1881">
        <v>1</v>
      </c>
      <c r="E1881">
        <v>6</v>
      </c>
      <c r="F1881">
        <v>834</v>
      </c>
    </row>
    <row r="1883" spans="1:7" x14ac:dyDescent="0.25">
      <c r="A1883" t="s">
        <v>5488</v>
      </c>
    </row>
    <row r="1884" spans="1:7" x14ac:dyDescent="0.25">
      <c r="A1884" t="s">
        <v>1297</v>
      </c>
      <c r="B1884" t="s">
        <v>4394</v>
      </c>
      <c r="C1884" t="s">
        <v>4428</v>
      </c>
      <c r="D1884" t="s">
        <v>4429</v>
      </c>
      <c r="E1884" t="s">
        <v>4430</v>
      </c>
      <c r="F1884" t="s">
        <v>4431</v>
      </c>
      <c r="G1884" t="s">
        <v>4432</v>
      </c>
    </row>
    <row r="1885" spans="1:7" x14ac:dyDescent="0.25">
      <c r="A1885" t="s">
        <v>5549</v>
      </c>
      <c r="B1885">
        <v>198</v>
      </c>
      <c r="C1885">
        <v>2.79</v>
      </c>
      <c r="D1885">
        <v>3</v>
      </c>
      <c r="E1885">
        <v>1</v>
      </c>
      <c r="F1885">
        <v>6</v>
      </c>
      <c r="G1885">
        <v>553</v>
      </c>
    </row>
    <row r="1886" spans="1:7" x14ac:dyDescent="0.25">
      <c r="A1886" t="s">
        <v>1397</v>
      </c>
      <c r="B1886">
        <v>99</v>
      </c>
      <c r="C1886">
        <v>2.84</v>
      </c>
      <c r="D1886">
        <v>3</v>
      </c>
      <c r="E1886">
        <v>1</v>
      </c>
      <c r="F1886">
        <v>6</v>
      </c>
      <c r="G1886">
        <v>281</v>
      </c>
    </row>
    <row r="1888" spans="1:7" x14ac:dyDescent="0.25">
      <c r="A1888" t="s">
        <v>5489</v>
      </c>
    </row>
    <row r="1889" spans="1:5" x14ac:dyDescent="0.25">
      <c r="A1889" t="s">
        <v>1297</v>
      </c>
      <c r="B1889" t="s">
        <v>4394</v>
      </c>
      <c r="C1889" t="s">
        <v>4844</v>
      </c>
      <c r="D1889" t="s">
        <v>4845</v>
      </c>
      <c r="E1889" t="s">
        <v>4846</v>
      </c>
    </row>
    <row r="1890" spans="1:5" x14ac:dyDescent="0.25">
      <c r="A1890" t="s">
        <v>5549</v>
      </c>
      <c r="B1890">
        <v>198</v>
      </c>
      <c r="C1890" t="s">
        <v>4628</v>
      </c>
      <c r="D1890" t="s">
        <v>5141</v>
      </c>
      <c r="E1890" t="s">
        <v>4849</v>
      </c>
    </row>
    <row r="1891" spans="1:5" x14ac:dyDescent="0.25">
      <c r="A1891" t="s">
        <v>1397</v>
      </c>
      <c r="B1891">
        <v>99</v>
      </c>
      <c r="C1891" t="s">
        <v>4940</v>
      </c>
      <c r="D1891" t="s">
        <v>4401</v>
      </c>
      <c r="E1891" t="s">
        <v>4883</v>
      </c>
    </row>
    <row r="1892" spans="1:5" x14ac:dyDescent="0.25">
      <c r="A1892" t="s">
        <v>1296</v>
      </c>
      <c r="B1892">
        <v>297</v>
      </c>
      <c r="C1892" t="s">
        <v>4539</v>
      </c>
      <c r="D1892" t="s">
        <v>5070</v>
      </c>
      <c r="E1892" t="s">
        <v>4677</v>
      </c>
    </row>
    <row r="1894" spans="1:5" x14ac:dyDescent="0.25">
      <c r="A1894" t="s">
        <v>5490</v>
      </c>
    </row>
    <row r="1895" spans="1:5" x14ac:dyDescent="0.25">
      <c r="A1895" t="s">
        <v>4394</v>
      </c>
      <c r="B1895" t="s">
        <v>5795</v>
      </c>
      <c r="C1895" t="s">
        <v>1378</v>
      </c>
      <c r="D1895" t="s">
        <v>1403</v>
      </c>
    </row>
    <row r="1896" spans="1:5" x14ac:dyDescent="0.25">
      <c r="A1896">
        <v>297</v>
      </c>
      <c r="B1896" t="s">
        <v>4409</v>
      </c>
      <c r="C1896" t="s">
        <v>5142</v>
      </c>
      <c r="D1896" t="s">
        <v>4955</v>
      </c>
    </row>
    <row r="1898" spans="1:5" x14ac:dyDescent="0.25">
      <c r="A1898" t="s">
        <v>5491</v>
      </c>
    </row>
    <row r="1899" spans="1:5" x14ac:dyDescent="0.25">
      <c r="A1899" t="s">
        <v>4394</v>
      </c>
      <c r="B1899" t="s">
        <v>5549</v>
      </c>
      <c r="C1899" t="s">
        <v>1397</v>
      </c>
    </row>
    <row r="1900" spans="1:5" x14ac:dyDescent="0.25">
      <c r="A1900">
        <v>297</v>
      </c>
      <c r="B1900" t="s">
        <v>4469</v>
      </c>
      <c r="C1900" t="s">
        <v>4465</v>
      </c>
    </row>
    <row r="1902" spans="1:5" x14ac:dyDescent="0.25">
      <c r="A1902" t="s">
        <v>5796</v>
      </c>
    </row>
    <row r="1903" spans="1:5" x14ac:dyDescent="0.25">
      <c r="A1903" t="s">
        <v>4394</v>
      </c>
      <c r="B1903" t="s">
        <v>109</v>
      </c>
      <c r="C1903" t="s">
        <v>192</v>
      </c>
    </row>
    <row r="1904" spans="1:5" x14ac:dyDescent="0.25">
      <c r="A1904">
        <v>297</v>
      </c>
      <c r="B1904" t="s">
        <v>5093</v>
      </c>
      <c r="C1904" t="s">
        <v>4654</v>
      </c>
    </row>
    <row r="1906" spans="1:4" x14ac:dyDescent="0.25">
      <c r="A1906" t="s">
        <v>5797</v>
      </c>
    </row>
    <row r="1907" spans="1:4" x14ac:dyDescent="0.25">
      <c r="A1907" t="s">
        <v>907</v>
      </c>
      <c r="B1907" t="s">
        <v>4394</v>
      </c>
      <c r="C1907" t="s">
        <v>109</v>
      </c>
      <c r="D1907" t="s">
        <v>192</v>
      </c>
    </row>
    <row r="1908" spans="1:4" x14ac:dyDescent="0.25">
      <c r="A1908" t="s">
        <v>109</v>
      </c>
      <c r="B1908">
        <v>257</v>
      </c>
      <c r="C1908" t="s">
        <v>5143</v>
      </c>
      <c r="D1908" t="s">
        <v>4952</v>
      </c>
    </row>
    <row r="1909" spans="1:4" x14ac:dyDescent="0.25">
      <c r="A1909" t="s">
        <v>192</v>
      </c>
      <c r="B1909">
        <v>40</v>
      </c>
      <c r="C1909" t="s">
        <v>4782</v>
      </c>
      <c r="D1909" t="s">
        <v>4489</v>
      </c>
    </row>
    <row r="1910" spans="1:4" x14ac:dyDescent="0.25">
      <c r="A1910" t="s">
        <v>1296</v>
      </c>
      <c r="B1910">
        <v>297</v>
      </c>
      <c r="C1910" t="s">
        <v>5093</v>
      </c>
      <c r="D1910" t="s">
        <v>4654</v>
      </c>
    </row>
    <row r="1912" spans="1:4" x14ac:dyDescent="0.25">
      <c r="A1912" t="s">
        <v>5798</v>
      </c>
    </row>
    <row r="1913" spans="1:4" x14ac:dyDescent="0.25">
      <c r="A1913" t="s">
        <v>1297</v>
      </c>
      <c r="B1913" t="s">
        <v>4394</v>
      </c>
      <c r="C1913" t="s">
        <v>109</v>
      </c>
      <c r="D1913" t="s">
        <v>192</v>
      </c>
    </row>
    <row r="1914" spans="1:4" x14ac:dyDescent="0.25">
      <c r="A1914" t="s">
        <v>5549</v>
      </c>
      <c r="B1914">
        <v>198</v>
      </c>
      <c r="C1914" t="s">
        <v>5024</v>
      </c>
      <c r="D1914" t="s">
        <v>4863</v>
      </c>
    </row>
    <row r="1915" spans="1:4" x14ac:dyDescent="0.25">
      <c r="A1915" t="s">
        <v>1397</v>
      </c>
      <c r="B1915">
        <v>99</v>
      </c>
      <c r="C1915" t="s">
        <v>5144</v>
      </c>
      <c r="D1915" t="s">
        <v>4940</v>
      </c>
    </row>
    <row r="1916" spans="1:4" x14ac:dyDescent="0.25">
      <c r="A1916" t="s">
        <v>1296</v>
      </c>
      <c r="B1916">
        <v>297</v>
      </c>
      <c r="C1916" t="s">
        <v>5145</v>
      </c>
      <c r="D1916" t="s">
        <v>4494</v>
      </c>
    </row>
    <row r="1918" spans="1:4" x14ac:dyDescent="0.25">
      <c r="A1918" t="s">
        <v>5799</v>
      </c>
    </row>
    <row r="1919" spans="1:4" x14ac:dyDescent="0.25">
      <c r="A1919" t="s">
        <v>903</v>
      </c>
      <c r="B1919" t="s">
        <v>4394</v>
      </c>
      <c r="C1919" t="s">
        <v>109</v>
      </c>
      <c r="D1919" t="s">
        <v>192</v>
      </c>
    </row>
    <row r="1920" spans="1:4" x14ac:dyDescent="0.25">
      <c r="A1920" t="s">
        <v>70</v>
      </c>
      <c r="B1920">
        <v>85</v>
      </c>
      <c r="C1920" t="s">
        <v>5002</v>
      </c>
      <c r="D1920" t="s">
        <v>5118</v>
      </c>
    </row>
    <row r="1921" spans="1:8" x14ac:dyDescent="0.25">
      <c r="A1921" t="s">
        <v>71</v>
      </c>
      <c r="B1921">
        <v>212</v>
      </c>
      <c r="C1921" t="s">
        <v>5146</v>
      </c>
      <c r="D1921" t="s">
        <v>4677</v>
      </c>
    </row>
    <row r="1922" spans="1:8" x14ac:dyDescent="0.25">
      <c r="A1922" t="s">
        <v>1296</v>
      </c>
      <c r="B1922">
        <v>297</v>
      </c>
      <c r="C1922" t="s">
        <v>5145</v>
      </c>
      <c r="D1922" t="s">
        <v>4494</v>
      </c>
    </row>
    <row r="1924" spans="1:8" x14ac:dyDescent="0.25">
      <c r="A1924" t="s">
        <v>5492</v>
      </c>
    </row>
    <row r="1925" spans="1:8" x14ac:dyDescent="0.25">
      <c r="A1925" t="s">
        <v>927</v>
      </c>
      <c r="B1925" t="s">
        <v>4394</v>
      </c>
      <c r="C1925" t="s">
        <v>5056</v>
      </c>
      <c r="D1925" t="s">
        <v>5057</v>
      </c>
      <c r="E1925" t="s">
        <v>5058</v>
      </c>
      <c r="F1925" t="s">
        <v>5059</v>
      </c>
      <c r="G1925" t="s">
        <v>5060</v>
      </c>
      <c r="H1925" t="s">
        <v>5061</v>
      </c>
    </row>
    <row r="1926" spans="1:8" x14ac:dyDescent="0.25">
      <c r="A1926" t="s">
        <v>109</v>
      </c>
      <c r="B1926">
        <v>177</v>
      </c>
      <c r="C1926" t="s">
        <v>4406</v>
      </c>
      <c r="D1926" t="s">
        <v>4454</v>
      </c>
      <c r="E1926" t="s">
        <v>4406</v>
      </c>
      <c r="F1926" t="s">
        <v>4406</v>
      </c>
      <c r="G1926" t="s">
        <v>4406</v>
      </c>
      <c r="H1926" t="s">
        <v>4406</v>
      </c>
    </row>
    <row r="1927" spans="1:8" x14ac:dyDescent="0.25">
      <c r="A1927" t="s">
        <v>192</v>
      </c>
      <c r="B1927">
        <v>120</v>
      </c>
      <c r="C1927" t="s">
        <v>4419</v>
      </c>
      <c r="D1927" t="s">
        <v>4758</v>
      </c>
      <c r="E1927" t="s">
        <v>4417</v>
      </c>
      <c r="F1927" t="s">
        <v>4417</v>
      </c>
      <c r="G1927" t="s">
        <v>5027</v>
      </c>
      <c r="H1927" t="s">
        <v>4419</v>
      </c>
    </row>
    <row r="1928" spans="1:8" x14ac:dyDescent="0.25">
      <c r="A1928" t="s">
        <v>1296</v>
      </c>
      <c r="B1928">
        <v>297</v>
      </c>
      <c r="C1928" t="s">
        <v>4410</v>
      </c>
      <c r="D1928" t="s">
        <v>5147</v>
      </c>
      <c r="E1928" t="s">
        <v>4808</v>
      </c>
      <c r="F1928" t="s">
        <v>4808</v>
      </c>
      <c r="G1928" t="s">
        <v>4492</v>
      </c>
      <c r="H1928" t="s">
        <v>4410</v>
      </c>
    </row>
    <row r="1930" spans="1:8" x14ac:dyDescent="0.25">
      <c r="A1930" t="s">
        <v>5800</v>
      </c>
    </row>
    <row r="1931" spans="1:8" x14ac:dyDescent="0.25">
      <c r="A1931" t="s">
        <v>1297</v>
      </c>
      <c r="B1931" t="s">
        <v>4394</v>
      </c>
      <c r="C1931" t="s">
        <v>5148</v>
      </c>
      <c r="D1931" t="s">
        <v>5149</v>
      </c>
      <c r="E1931" t="s">
        <v>5150</v>
      </c>
      <c r="F1931" t="s">
        <v>5151</v>
      </c>
    </row>
    <row r="1932" spans="1:8" x14ac:dyDescent="0.25">
      <c r="A1932" t="s">
        <v>5549</v>
      </c>
      <c r="B1932">
        <v>198</v>
      </c>
      <c r="C1932" t="s">
        <v>5152</v>
      </c>
      <c r="D1932" t="s">
        <v>4731</v>
      </c>
      <c r="E1932" t="s">
        <v>4626</v>
      </c>
      <c r="F1932" t="s">
        <v>4465</v>
      </c>
    </row>
    <row r="1933" spans="1:8" x14ac:dyDescent="0.25">
      <c r="A1933" t="s">
        <v>1397</v>
      </c>
      <c r="B1933">
        <v>99</v>
      </c>
      <c r="C1933" t="s">
        <v>4719</v>
      </c>
      <c r="D1933" t="s">
        <v>4467</v>
      </c>
      <c r="E1933" t="s">
        <v>4940</v>
      </c>
      <c r="F1933" t="s">
        <v>4726</v>
      </c>
    </row>
    <row r="1934" spans="1:8" x14ac:dyDescent="0.25">
      <c r="A1934" t="s">
        <v>1296</v>
      </c>
      <c r="B1934">
        <v>297</v>
      </c>
      <c r="C1934" t="s">
        <v>4601</v>
      </c>
      <c r="D1934" t="s">
        <v>5118</v>
      </c>
      <c r="E1934" t="s">
        <v>4746</v>
      </c>
      <c r="F1934" t="s">
        <v>4520</v>
      </c>
    </row>
    <row r="1936" spans="1:8" x14ac:dyDescent="0.25">
      <c r="A1936" t="s">
        <v>5801</v>
      </c>
    </row>
    <row r="1937" spans="1:6" x14ac:dyDescent="0.25">
      <c r="A1937" t="s">
        <v>905</v>
      </c>
      <c r="B1937" t="s">
        <v>4394</v>
      </c>
      <c r="C1937" t="s">
        <v>5148</v>
      </c>
      <c r="D1937" t="s">
        <v>5149</v>
      </c>
      <c r="E1937" t="s">
        <v>5150</v>
      </c>
      <c r="F1937" t="s">
        <v>5151</v>
      </c>
    </row>
    <row r="1938" spans="1:6" x14ac:dyDescent="0.25">
      <c r="A1938" t="s">
        <v>4844</v>
      </c>
      <c r="B1938">
        <v>36</v>
      </c>
      <c r="C1938" t="s">
        <v>4482</v>
      </c>
      <c r="D1938" t="s">
        <v>4570</v>
      </c>
      <c r="E1938" t="s">
        <v>4676</v>
      </c>
      <c r="F1938" t="s">
        <v>4596</v>
      </c>
    </row>
    <row r="1939" spans="1:6" x14ac:dyDescent="0.25">
      <c r="A1939" t="s">
        <v>4845</v>
      </c>
      <c r="B1939">
        <v>230</v>
      </c>
      <c r="C1939" t="s">
        <v>5319</v>
      </c>
      <c r="D1939" t="s">
        <v>4824</v>
      </c>
      <c r="E1939" t="s">
        <v>4860</v>
      </c>
      <c r="F1939" t="s">
        <v>5320</v>
      </c>
    </row>
    <row r="1940" spans="1:6" x14ac:dyDescent="0.25">
      <c r="A1940" t="s">
        <v>4846</v>
      </c>
      <c r="B1940">
        <v>31</v>
      </c>
      <c r="C1940" t="s">
        <v>4608</v>
      </c>
      <c r="D1940" t="s">
        <v>4641</v>
      </c>
      <c r="E1940" t="s">
        <v>4406</v>
      </c>
      <c r="F1940" t="s">
        <v>4862</v>
      </c>
    </row>
    <row r="1941" spans="1:6" x14ac:dyDescent="0.25">
      <c r="A1941" t="s">
        <v>1296</v>
      </c>
      <c r="B1941">
        <v>297</v>
      </c>
      <c r="C1941" t="s">
        <v>4601</v>
      </c>
      <c r="D1941" t="s">
        <v>5118</v>
      </c>
      <c r="E1941" t="s">
        <v>4746</v>
      </c>
      <c r="F1941" t="s">
        <v>4520</v>
      </c>
    </row>
    <row r="1943" spans="1:6" x14ac:dyDescent="0.25">
      <c r="A1943" t="s">
        <v>5802</v>
      </c>
    </row>
    <row r="1944" spans="1:6" x14ac:dyDescent="0.25">
      <c r="A1944" t="s">
        <v>906</v>
      </c>
      <c r="B1944" t="s">
        <v>4394</v>
      </c>
      <c r="C1944" t="s">
        <v>5148</v>
      </c>
      <c r="D1944" t="s">
        <v>5149</v>
      </c>
      <c r="E1944" t="s">
        <v>5150</v>
      </c>
      <c r="F1944" t="s">
        <v>5151</v>
      </c>
    </row>
    <row r="1945" spans="1:6" x14ac:dyDescent="0.25">
      <c r="A1945" t="s">
        <v>1338</v>
      </c>
      <c r="B1945">
        <v>46</v>
      </c>
      <c r="C1945" t="s">
        <v>4611</v>
      </c>
      <c r="D1945" t="s">
        <v>4926</v>
      </c>
      <c r="E1945" t="s">
        <v>4581</v>
      </c>
      <c r="F1945" t="s">
        <v>4549</v>
      </c>
    </row>
    <row r="1946" spans="1:6" x14ac:dyDescent="0.25">
      <c r="A1946" t="s">
        <v>1370</v>
      </c>
      <c r="B1946">
        <v>33</v>
      </c>
      <c r="C1946" t="s">
        <v>4807</v>
      </c>
      <c r="D1946" t="s">
        <v>4539</v>
      </c>
      <c r="E1946" t="s">
        <v>4852</v>
      </c>
      <c r="F1946" t="s">
        <v>4807</v>
      </c>
    </row>
    <row r="1947" spans="1:6" x14ac:dyDescent="0.25">
      <c r="A1947" t="s">
        <v>1439</v>
      </c>
      <c r="B1947">
        <v>21</v>
      </c>
      <c r="C1947" t="s">
        <v>4556</v>
      </c>
      <c r="D1947" t="s">
        <v>4465</v>
      </c>
      <c r="E1947" t="s">
        <v>4522</v>
      </c>
      <c r="F1947" t="s">
        <v>4450</v>
      </c>
    </row>
    <row r="1948" spans="1:6" x14ac:dyDescent="0.25">
      <c r="A1948" t="s">
        <v>1476</v>
      </c>
      <c r="B1948">
        <v>71</v>
      </c>
      <c r="C1948" t="s">
        <v>4411</v>
      </c>
      <c r="D1948" t="s">
        <v>5154</v>
      </c>
      <c r="E1948" t="s">
        <v>4751</v>
      </c>
      <c r="F1948" t="s">
        <v>5155</v>
      </c>
    </row>
    <row r="1949" spans="1:6" x14ac:dyDescent="0.25">
      <c r="A1949" t="s">
        <v>5476</v>
      </c>
      <c r="B1949">
        <v>6</v>
      </c>
      <c r="C1949" t="s">
        <v>4468</v>
      </c>
      <c r="D1949" t="s">
        <v>4596</v>
      </c>
      <c r="E1949" t="s">
        <v>4596</v>
      </c>
      <c r="F1949" t="s">
        <v>4596</v>
      </c>
    </row>
    <row r="1950" spans="1:6" x14ac:dyDescent="0.25">
      <c r="A1950" t="s">
        <v>1399</v>
      </c>
      <c r="B1950">
        <v>44</v>
      </c>
      <c r="C1950" t="s">
        <v>5156</v>
      </c>
      <c r="D1950" t="s">
        <v>4583</v>
      </c>
      <c r="E1950" t="s">
        <v>4691</v>
      </c>
      <c r="F1950" t="s">
        <v>4726</v>
      </c>
    </row>
    <row r="1951" spans="1:6" x14ac:dyDescent="0.25">
      <c r="A1951" t="s">
        <v>1415</v>
      </c>
      <c r="B1951">
        <v>76</v>
      </c>
      <c r="C1951" t="s">
        <v>4466</v>
      </c>
      <c r="D1951" t="s">
        <v>4591</v>
      </c>
      <c r="E1951" t="s">
        <v>4692</v>
      </c>
      <c r="F1951" t="s">
        <v>4488</v>
      </c>
    </row>
    <row r="1952" spans="1:6" x14ac:dyDescent="0.25">
      <c r="A1952" t="s">
        <v>1296</v>
      </c>
      <c r="B1952">
        <v>297</v>
      </c>
      <c r="C1952" t="s">
        <v>4601</v>
      </c>
      <c r="D1952" t="s">
        <v>5118</v>
      </c>
      <c r="E1952" t="s">
        <v>4746</v>
      </c>
      <c r="F1952" t="s">
        <v>4520</v>
      </c>
    </row>
    <row r="1954" spans="1:6" x14ac:dyDescent="0.25">
      <c r="A1954" t="s">
        <v>5803</v>
      </c>
    </row>
    <row r="1955" spans="1:6" x14ac:dyDescent="0.25">
      <c r="A1955" t="s">
        <v>907</v>
      </c>
      <c r="B1955" t="s">
        <v>4394</v>
      </c>
      <c r="C1955" t="s">
        <v>5148</v>
      </c>
      <c r="D1955" t="s">
        <v>5149</v>
      </c>
      <c r="E1955" t="s">
        <v>5150</v>
      </c>
      <c r="F1955" t="s">
        <v>5151</v>
      </c>
    </row>
    <row r="1956" spans="1:6" x14ac:dyDescent="0.25">
      <c r="A1956" t="s">
        <v>109</v>
      </c>
      <c r="B1956">
        <v>257</v>
      </c>
      <c r="C1956" t="s">
        <v>4452</v>
      </c>
      <c r="D1956" t="s">
        <v>4874</v>
      </c>
      <c r="E1956" t="s">
        <v>4746</v>
      </c>
      <c r="F1956" t="s">
        <v>4471</v>
      </c>
    </row>
    <row r="1957" spans="1:6" x14ac:dyDescent="0.25">
      <c r="A1957" t="s">
        <v>192</v>
      </c>
      <c r="B1957">
        <v>40</v>
      </c>
      <c r="C1957" t="s">
        <v>4472</v>
      </c>
      <c r="D1957" t="s">
        <v>4489</v>
      </c>
      <c r="E1957" t="s">
        <v>4758</v>
      </c>
      <c r="F1957" t="s">
        <v>4594</v>
      </c>
    </row>
    <row r="1958" spans="1:6" x14ac:dyDescent="0.25">
      <c r="A1958" t="s">
        <v>1296</v>
      </c>
      <c r="B1958">
        <v>297</v>
      </c>
      <c r="C1958" t="s">
        <v>4601</v>
      </c>
      <c r="D1958" t="s">
        <v>5118</v>
      </c>
      <c r="E1958" t="s">
        <v>4746</v>
      </c>
      <c r="F1958" t="s">
        <v>4520</v>
      </c>
    </row>
    <row r="1960" spans="1:6" x14ac:dyDescent="0.25">
      <c r="A1960" t="s">
        <v>5804</v>
      </c>
    </row>
    <row r="1961" spans="1:6" x14ac:dyDescent="0.25">
      <c r="A1961" t="s">
        <v>1295</v>
      </c>
      <c r="B1961" t="s">
        <v>4394</v>
      </c>
      <c r="C1961" t="s">
        <v>5148</v>
      </c>
      <c r="D1961" t="s">
        <v>5149</v>
      </c>
      <c r="E1961" t="s">
        <v>5150</v>
      </c>
      <c r="F1961" t="s">
        <v>5151</v>
      </c>
    </row>
    <row r="1962" spans="1:6" x14ac:dyDescent="0.25">
      <c r="A1962" t="s">
        <v>4395</v>
      </c>
      <c r="B1962">
        <v>32</v>
      </c>
      <c r="C1962" t="s">
        <v>4478</v>
      </c>
      <c r="D1962" t="s">
        <v>4543</v>
      </c>
      <c r="E1962" t="s">
        <v>4950</v>
      </c>
      <c r="F1962" t="s">
        <v>4948</v>
      </c>
    </row>
    <row r="1963" spans="1:6" x14ac:dyDescent="0.25">
      <c r="A1963" t="s">
        <v>4396</v>
      </c>
      <c r="B1963">
        <v>169</v>
      </c>
      <c r="C1963" t="s">
        <v>4827</v>
      </c>
      <c r="D1963" t="s">
        <v>5157</v>
      </c>
      <c r="E1963" t="s">
        <v>4422</v>
      </c>
      <c r="F1963" t="s">
        <v>4710</v>
      </c>
    </row>
    <row r="1964" spans="1:6" x14ac:dyDescent="0.25">
      <c r="A1964" t="s">
        <v>4397</v>
      </c>
      <c r="B1964">
        <v>2</v>
      </c>
      <c r="C1964" t="s">
        <v>4406</v>
      </c>
      <c r="D1964" t="s">
        <v>4468</v>
      </c>
      <c r="E1964" t="s">
        <v>4406</v>
      </c>
      <c r="F1964" t="s">
        <v>4468</v>
      </c>
    </row>
    <row r="1965" spans="1:6" x14ac:dyDescent="0.25">
      <c r="A1965" t="s">
        <v>4398</v>
      </c>
      <c r="B1965">
        <v>92</v>
      </c>
      <c r="C1965" t="s">
        <v>5158</v>
      </c>
      <c r="D1965" t="s">
        <v>4549</v>
      </c>
      <c r="E1965" t="s">
        <v>4707</v>
      </c>
      <c r="F1965" t="s">
        <v>4501</v>
      </c>
    </row>
    <row r="1966" spans="1:6" x14ac:dyDescent="0.25">
      <c r="A1966" t="s">
        <v>4399</v>
      </c>
      <c r="B1966">
        <v>2</v>
      </c>
      <c r="C1966" t="s">
        <v>4454</v>
      </c>
      <c r="D1966" t="s">
        <v>4406</v>
      </c>
      <c r="E1966" t="s">
        <v>4406</v>
      </c>
      <c r="F1966" t="s">
        <v>4406</v>
      </c>
    </row>
    <row r="1967" spans="1:6" x14ac:dyDescent="0.25">
      <c r="A1967" t="s">
        <v>1296</v>
      </c>
      <c r="B1967">
        <v>297</v>
      </c>
      <c r="C1967" t="s">
        <v>4601</v>
      </c>
      <c r="D1967" t="s">
        <v>5118</v>
      </c>
      <c r="E1967" t="s">
        <v>4746</v>
      </c>
      <c r="F1967" t="s">
        <v>4520</v>
      </c>
    </row>
    <row r="1969" spans="1:6" x14ac:dyDescent="0.25">
      <c r="A1969" t="s">
        <v>5805</v>
      </c>
    </row>
    <row r="1970" spans="1:6" x14ac:dyDescent="0.25">
      <c r="A1970" t="s">
        <v>910</v>
      </c>
      <c r="B1970" t="s">
        <v>4394</v>
      </c>
      <c r="C1970" t="s">
        <v>5148</v>
      </c>
      <c r="D1970" t="s">
        <v>5149</v>
      </c>
      <c r="E1970" t="s">
        <v>5150</v>
      </c>
      <c r="F1970" t="s">
        <v>5151</v>
      </c>
    </row>
    <row r="1971" spans="1:6" x14ac:dyDescent="0.25">
      <c r="A1971" t="s">
        <v>1371</v>
      </c>
      <c r="B1971">
        <v>42</v>
      </c>
      <c r="C1971" t="s">
        <v>4468</v>
      </c>
      <c r="D1971" t="s">
        <v>4596</v>
      </c>
      <c r="E1971" t="s">
        <v>4424</v>
      </c>
      <c r="F1971" t="s">
        <v>4411</v>
      </c>
    </row>
    <row r="1972" spans="1:6" x14ac:dyDescent="0.25">
      <c r="A1972" t="s">
        <v>1452</v>
      </c>
      <c r="B1972">
        <v>18</v>
      </c>
      <c r="C1972" t="s">
        <v>4444</v>
      </c>
      <c r="D1972" t="s">
        <v>4676</v>
      </c>
      <c r="E1972" t="s">
        <v>4406</v>
      </c>
      <c r="F1972" t="s">
        <v>4468</v>
      </c>
    </row>
    <row r="1973" spans="1:6" x14ac:dyDescent="0.25">
      <c r="A1973" t="s">
        <v>5560</v>
      </c>
      <c r="B1973">
        <v>59</v>
      </c>
      <c r="C1973" t="s">
        <v>4518</v>
      </c>
      <c r="D1973" t="s">
        <v>5053</v>
      </c>
      <c r="E1973" t="s">
        <v>4703</v>
      </c>
      <c r="F1973" t="s">
        <v>4511</v>
      </c>
    </row>
    <row r="1974" spans="1:6" x14ac:dyDescent="0.25">
      <c r="A1974" t="s">
        <v>1424</v>
      </c>
      <c r="B1974">
        <v>120</v>
      </c>
      <c r="C1974" t="s">
        <v>4488</v>
      </c>
      <c r="D1974" t="s">
        <v>4480</v>
      </c>
      <c r="E1974" t="s">
        <v>4651</v>
      </c>
      <c r="F1974" t="s">
        <v>4458</v>
      </c>
    </row>
    <row r="1975" spans="1:6" x14ac:dyDescent="0.25">
      <c r="A1975" t="s">
        <v>1340</v>
      </c>
      <c r="B1975">
        <v>31</v>
      </c>
      <c r="C1975" t="s">
        <v>4608</v>
      </c>
      <c r="D1975" t="s">
        <v>4858</v>
      </c>
      <c r="E1975" t="s">
        <v>4670</v>
      </c>
      <c r="F1975" t="s">
        <v>4578</v>
      </c>
    </row>
    <row r="1976" spans="1:6" x14ac:dyDescent="0.25">
      <c r="A1976" t="s">
        <v>5561</v>
      </c>
      <c r="B1976">
        <v>8</v>
      </c>
      <c r="C1976" t="s">
        <v>4481</v>
      </c>
      <c r="D1976" t="s">
        <v>4481</v>
      </c>
      <c r="E1976" t="s">
        <v>4462</v>
      </c>
      <c r="F1976" t="s">
        <v>4406</v>
      </c>
    </row>
    <row r="1977" spans="1:6" x14ac:dyDescent="0.25">
      <c r="A1977" t="s">
        <v>1416</v>
      </c>
      <c r="B1977">
        <v>19</v>
      </c>
      <c r="C1977" t="s">
        <v>5072</v>
      </c>
      <c r="D1977" t="s">
        <v>4640</v>
      </c>
      <c r="E1977" t="s">
        <v>4406</v>
      </c>
      <c r="F1977" t="s">
        <v>4600</v>
      </c>
    </row>
    <row r="1978" spans="1:6" x14ac:dyDescent="0.25">
      <c r="A1978" t="s">
        <v>1296</v>
      </c>
      <c r="B1978">
        <v>297</v>
      </c>
      <c r="C1978" t="s">
        <v>4601</v>
      </c>
      <c r="D1978" t="s">
        <v>5118</v>
      </c>
      <c r="E1978" t="s">
        <v>4746</v>
      </c>
      <c r="F1978" t="s">
        <v>4520</v>
      </c>
    </row>
    <row r="1980" spans="1:6" x14ac:dyDescent="0.25">
      <c r="A1980" t="s">
        <v>5806</v>
      </c>
    </row>
    <row r="1981" spans="1:6" x14ac:dyDescent="0.25">
      <c r="A1981" t="s">
        <v>5481</v>
      </c>
      <c r="B1981" t="s">
        <v>4394</v>
      </c>
      <c r="C1981" t="s">
        <v>5148</v>
      </c>
      <c r="D1981" t="s">
        <v>5149</v>
      </c>
      <c r="E1981" t="s">
        <v>5150</v>
      </c>
      <c r="F1981" t="s">
        <v>5151</v>
      </c>
    </row>
    <row r="1982" spans="1:6" x14ac:dyDescent="0.25">
      <c r="A1982" t="s">
        <v>4438</v>
      </c>
      <c r="B1982">
        <v>129</v>
      </c>
      <c r="C1982" t="s">
        <v>5104</v>
      </c>
      <c r="D1982" t="s">
        <v>4685</v>
      </c>
      <c r="E1982" t="s">
        <v>4635</v>
      </c>
      <c r="F1982" t="s">
        <v>4568</v>
      </c>
    </row>
    <row r="1983" spans="1:6" x14ac:dyDescent="0.25">
      <c r="A1983" t="s">
        <v>4439</v>
      </c>
      <c r="B1983">
        <v>93</v>
      </c>
      <c r="C1983" t="s">
        <v>4565</v>
      </c>
      <c r="D1983" t="s">
        <v>4617</v>
      </c>
      <c r="E1983" t="s">
        <v>4564</v>
      </c>
      <c r="F1983" t="s">
        <v>4862</v>
      </c>
    </row>
    <row r="1984" spans="1:6" x14ac:dyDescent="0.25">
      <c r="A1984" t="s">
        <v>1400</v>
      </c>
      <c r="B1984">
        <v>5</v>
      </c>
      <c r="C1984" t="s">
        <v>4457</v>
      </c>
      <c r="D1984" t="s">
        <v>4458</v>
      </c>
      <c r="E1984" t="s">
        <v>4406</v>
      </c>
      <c r="F1984" t="s">
        <v>4406</v>
      </c>
    </row>
    <row r="1985" spans="1:6" x14ac:dyDescent="0.25">
      <c r="A1985" t="s">
        <v>5566</v>
      </c>
      <c r="B1985">
        <v>36</v>
      </c>
      <c r="C1985" t="s">
        <v>4468</v>
      </c>
      <c r="D1985" t="s">
        <v>4858</v>
      </c>
      <c r="E1985" t="s">
        <v>4676</v>
      </c>
      <c r="F1985" t="s">
        <v>4858</v>
      </c>
    </row>
    <row r="1986" spans="1:6" x14ac:dyDescent="0.25">
      <c r="A1986" t="s">
        <v>1372</v>
      </c>
      <c r="B1986">
        <v>34</v>
      </c>
      <c r="C1986" t="s">
        <v>4533</v>
      </c>
      <c r="D1986" t="s">
        <v>4514</v>
      </c>
      <c r="E1986" t="s">
        <v>4697</v>
      </c>
      <c r="F1986" t="s">
        <v>4515</v>
      </c>
    </row>
    <row r="1987" spans="1:6" x14ac:dyDescent="0.25">
      <c r="A1987" t="s">
        <v>1296</v>
      </c>
      <c r="B1987">
        <v>297</v>
      </c>
      <c r="C1987" t="s">
        <v>4601</v>
      </c>
      <c r="D1987" t="s">
        <v>5118</v>
      </c>
      <c r="E1987" t="s">
        <v>4746</v>
      </c>
      <c r="F1987" t="s">
        <v>4520</v>
      </c>
    </row>
    <row r="1989" spans="1:6" x14ac:dyDescent="0.25">
      <c r="A1989" t="s">
        <v>5807</v>
      </c>
    </row>
    <row r="1990" spans="1:6" x14ac:dyDescent="0.25">
      <c r="A1990" t="s">
        <v>5477</v>
      </c>
      <c r="B1990" t="s">
        <v>4394</v>
      </c>
      <c r="C1990" t="s">
        <v>5148</v>
      </c>
      <c r="D1990" t="s">
        <v>5149</v>
      </c>
      <c r="E1990" t="s">
        <v>5150</v>
      </c>
      <c r="F1990" t="s">
        <v>5151</v>
      </c>
    </row>
    <row r="1991" spans="1:6" x14ac:dyDescent="0.25">
      <c r="A1991" t="s">
        <v>4438</v>
      </c>
      <c r="B1991">
        <v>95</v>
      </c>
      <c r="C1991" t="s">
        <v>4920</v>
      </c>
      <c r="D1991" t="s">
        <v>5081</v>
      </c>
      <c r="E1991" t="s">
        <v>4825</v>
      </c>
      <c r="F1991" t="s">
        <v>5175</v>
      </c>
    </row>
    <row r="1992" spans="1:6" x14ac:dyDescent="0.25">
      <c r="A1992" t="s">
        <v>4439</v>
      </c>
      <c r="B1992">
        <v>128</v>
      </c>
      <c r="C1992" t="s">
        <v>4481</v>
      </c>
      <c r="D1992" t="s">
        <v>5126</v>
      </c>
      <c r="E1992" t="s">
        <v>4850</v>
      </c>
      <c r="F1992" t="s">
        <v>4881</v>
      </c>
    </row>
    <row r="1993" spans="1:6" x14ac:dyDescent="0.25">
      <c r="A1993" t="s">
        <v>1400</v>
      </c>
      <c r="B1993">
        <v>7</v>
      </c>
      <c r="C1993" t="s">
        <v>4814</v>
      </c>
      <c r="D1993" t="s">
        <v>4450</v>
      </c>
      <c r="E1993" t="s">
        <v>4406</v>
      </c>
      <c r="F1993" t="s">
        <v>4406</v>
      </c>
    </row>
    <row r="1994" spans="1:6" x14ac:dyDescent="0.25">
      <c r="A1994" t="s">
        <v>5566</v>
      </c>
      <c r="B1994">
        <v>36</v>
      </c>
      <c r="C1994" t="s">
        <v>4468</v>
      </c>
      <c r="D1994" t="s">
        <v>4858</v>
      </c>
      <c r="E1994" t="s">
        <v>4676</v>
      </c>
      <c r="F1994" t="s">
        <v>4858</v>
      </c>
    </row>
    <row r="1995" spans="1:6" x14ac:dyDescent="0.25">
      <c r="A1995" t="s">
        <v>1426</v>
      </c>
      <c r="B1995">
        <v>1</v>
      </c>
      <c r="C1995" t="s">
        <v>4454</v>
      </c>
      <c r="D1995" t="s">
        <v>4406</v>
      </c>
      <c r="E1995" t="s">
        <v>4406</v>
      </c>
      <c r="F1995" t="s">
        <v>4406</v>
      </c>
    </row>
    <row r="1996" spans="1:6" x14ac:dyDescent="0.25">
      <c r="A1996" t="s">
        <v>1372</v>
      </c>
      <c r="B1996">
        <v>30</v>
      </c>
      <c r="C1996" t="s">
        <v>5129</v>
      </c>
      <c r="D1996" t="s">
        <v>4465</v>
      </c>
      <c r="E1996" t="s">
        <v>4406</v>
      </c>
      <c r="F1996" t="s">
        <v>4489</v>
      </c>
    </row>
    <row r="1997" spans="1:6" x14ac:dyDescent="0.25">
      <c r="A1997" t="s">
        <v>1296</v>
      </c>
      <c r="B1997">
        <v>297</v>
      </c>
      <c r="C1997" t="s">
        <v>4601</v>
      </c>
      <c r="D1997" t="s">
        <v>5118</v>
      </c>
      <c r="E1997" t="s">
        <v>4746</v>
      </c>
      <c r="F1997" t="s">
        <v>4520</v>
      </c>
    </row>
    <row r="1999" spans="1:6" x14ac:dyDescent="0.25">
      <c r="A1999" t="s">
        <v>5808</v>
      </c>
    </row>
    <row r="2000" spans="1:6" x14ac:dyDescent="0.25">
      <c r="A2000" t="s">
        <v>911</v>
      </c>
      <c r="B2000" t="s">
        <v>4394</v>
      </c>
      <c r="C2000" t="s">
        <v>5148</v>
      </c>
      <c r="D2000" t="s">
        <v>5149</v>
      </c>
      <c r="E2000" t="s">
        <v>5150</v>
      </c>
      <c r="F2000" t="s">
        <v>5151</v>
      </c>
    </row>
    <row r="2001" spans="1:6" x14ac:dyDescent="0.25">
      <c r="A2001" t="s">
        <v>4438</v>
      </c>
      <c r="B2001">
        <v>122</v>
      </c>
      <c r="C2001" t="s">
        <v>5101</v>
      </c>
      <c r="D2001" t="s">
        <v>4543</v>
      </c>
      <c r="E2001" t="s">
        <v>4651</v>
      </c>
      <c r="F2001" t="s">
        <v>4711</v>
      </c>
    </row>
    <row r="2002" spans="1:6" x14ac:dyDescent="0.25">
      <c r="A2002" t="s">
        <v>4439</v>
      </c>
      <c r="B2002">
        <v>79</v>
      </c>
      <c r="C2002" t="s">
        <v>4762</v>
      </c>
      <c r="D2002" t="s">
        <v>4598</v>
      </c>
      <c r="E2002" t="s">
        <v>4716</v>
      </c>
      <c r="F2002" t="s">
        <v>4843</v>
      </c>
    </row>
    <row r="2003" spans="1:6" x14ac:dyDescent="0.25">
      <c r="A2003" t="s">
        <v>1400</v>
      </c>
      <c r="B2003">
        <v>19</v>
      </c>
      <c r="C2003" t="s">
        <v>4490</v>
      </c>
      <c r="D2003" t="s">
        <v>4490</v>
      </c>
      <c r="E2003" t="s">
        <v>4406</v>
      </c>
      <c r="F2003" t="s">
        <v>4491</v>
      </c>
    </row>
    <row r="2004" spans="1:6" x14ac:dyDescent="0.25">
      <c r="A2004" t="s">
        <v>1340</v>
      </c>
      <c r="B2004">
        <v>31</v>
      </c>
      <c r="C2004" t="s">
        <v>4608</v>
      </c>
      <c r="D2004" t="s">
        <v>4858</v>
      </c>
      <c r="E2004" t="s">
        <v>4670</v>
      </c>
      <c r="F2004" t="s">
        <v>4578</v>
      </c>
    </row>
    <row r="2005" spans="1:6" x14ac:dyDescent="0.25">
      <c r="A2005" t="s">
        <v>1426</v>
      </c>
      <c r="B2005">
        <v>8</v>
      </c>
      <c r="C2005" t="s">
        <v>4602</v>
      </c>
      <c r="D2005" t="s">
        <v>4406</v>
      </c>
      <c r="E2005" t="s">
        <v>4462</v>
      </c>
      <c r="F2005" t="s">
        <v>4479</v>
      </c>
    </row>
    <row r="2006" spans="1:6" x14ac:dyDescent="0.25">
      <c r="A2006" t="s">
        <v>1372</v>
      </c>
      <c r="B2006">
        <v>38</v>
      </c>
      <c r="C2006" t="s">
        <v>4488</v>
      </c>
      <c r="D2006" t="s">
        <v>4490</v>
      </c>
      <c r="E2006" t="s">
        <v>4864</v>
      </c>
      <c r="F2006" t="s">
        <v>4490</v>
      </c>
    </row>
    <row r="2007" spans="1:6" x14ac:dyDescent="0.25">
      <c r="A2007" t="s">
        <v>1296</v>
      </c>
      <c r="B2007">
        <v>297</v>
      </c>
      <c r="C2007" t="s">
        <v>4601</v>
      </c>
      <c r="D2007" t="s">
        <v>5118</v>
      </c>
      <c r="E2007" t="s">
        <v>4746</v>
      </c>
      <c r="F2007" t="s">
        <v>4520</v>
      </c>
    </row>
    <row r="2009" spans="1:6" x14ac:dyDescent="0.25">
      <c r="A2009" t="s">
        <v>5809</v>
      </c>
    </row>
    <row r="2010" spans="1:6" x14ac:dyDescent="0.25">
      <c r="A2010" t="s">
        <v>912</v>
      </c>
      <c r="B2010" t="s">
        <v>4394</v>
      </c>
      <c r="C2010" t="s">
        <v>5148</v>
      </c>
      <c r="D2010" t="s">
        <v>5149</v>
      </c>
      <c r="E2010" t="s">
        <v>5150</v>
      </c>
      <c r="F2010" t="s">
        <v>5151</v>
      </c>
    </row>
    <row r="2011" spans="1:6" x14ac:dyDescent="0.25">
      <c r="A2011" t="s">
        <v>4438</v>
      </c>
      <c r="B2011">
        <v>80</v>
      </c>
      <c r="C2011" t="s">
        <v>4555</v>
      </c>
      <c r="D2011" t="s">
        <v>5065</v>
      </c>
      <c r="E2011" t="s">
        <v>4659</v>
      </c>
      <c r="F2011" t="s">
        <v>4771</v>
      </c>
    </row>
    <row r="2012" spans="1:6" x14ac:dyDescent="0.25">
      <c r="A2012" t="s">
        <v>4439</v>
      </c>
      <c r="B2012">
        <v>106</v>
      </c>
      <c r="C2012" t="s">
        <v>4665</v>
      </c>
      <c r="D2012" t="s">
        <v>4606</v>
      </c>
      <c r="E2012" t="s">
        <v>4414</v>
      </c>
      <c r="F2012" t="s">
        <v>4471</v>
      </c>
    </row>
    <row r="2013" spans="1:6" x14ac:dyDescent="0.25">
      <c r="A2013" t="s">
        <v>1400</v>
      </c>
      <c r="B2013">
        <v>30</v>
      </c>
      <c r="C2013" t="s">
        <v>5039</v>
      </c>
      <c r="D2013" t="s">
        <v>5039</v>
      </c>
      <c r="E2013" t="s">
        <v>4416</v>
      </c>
      <c r="F2013" t="s">
        <v>5106</v>
      </c>
    </row>
    <row r="2014" spans="1:6" x14ac:dyDescent="0.25">
      <c r="A2014" t="s">
        <v>1340</v>
      </c>
      <c r="B2014">
        <v>31</v>
      </c>
      <c r="C2014" t="s">
        <v>4608</v>
      </c>
      <c r="D2014" t="s">
        <v>4858</v>
      </c>
      <c r="E2014" t="s">
        <v>4670</v>
      </c>
      <c r="F2014" t="s">
        <v>4578</v>
      </c>
    </row>
    <row r="2015" spans="1:6" x14ac:dyDescent="0.25">
      <c r="A2015" t="s">
        <v>1426</v>
      </c>
      <c r="B2015">
        <v>15</v>
      </c>
      <c r="C2015" t="s">
        <v>5107</v>
      </c>
      <c r="D2015" t="s">
        <v>4472</v>
      </c>
      <c r="E2015" t="s">
        <v>4607</v>
      </c>
      <c r="F2015" t="s">
        <v>4607</v>
      </c>
    </row>
    <row r="2016" spans="1:6" x14ac:dyDescent="0.25">
      <c r="A2016" t="s">
        <v>1372</v>
      </c>
      <c r="B2016">
        <v>35</v>
      </c>
      <c r="C2016" t="s">
        <v>4458</v>
      </c>
      <c r="D2016" t="s">
        <v>4911</v>
      </c>
      <c r="E2016" t="s">
        <v>4406</v>
      </c>
      <c r="F2016" t="s">
        <v>4450</v>
      </c>
    </row>
    <row r="2017" spans="1:6" x14ac:dyDescent="0.25">
      <c r="A2017" t="s">
        <v>1296</v>
      </c>
      <c r="B2017">
        <v>297</v>
      </c>
      <c r="C2017" t="s">
        <v>4601</v>
      </c>
      <c r="D2017" t="s">
        <v>5118</v>
      </c>
      <c r="E2017" t="s">
        <v>4746</v>
      </c>
      <c r="F2017" t="s">
        <v>4520</v>
      </c>
    </row>
    <row r="2019" spans="1:6" x14ac:dyDescent="0.25">
      <c r="A2019" t="s">
        <v>5810</v>
      </c>
    </row>
    <row r="2020" spans="1:6" x14ac:dyDescent="0.25">
      <c r="A2020" t="s">
        <v>920</v>
      </c>
      <c r="B2020" t="s">
        <v>4394</v>
      </c>
      <c r="C2020" t="s">
        <v>5148</v>
      </c>
      <c r="D2020" t="s">
        <v>5149</v>
      </c>
      <c r="E2020" t="s">
        <v>5150</v>
      </c>
      <c r="F2020" t="s">
        <v>5151</v>
      </c>
    </row>
    <row r="2021" spans="1:6" x14ac:dyDescent="0.25">
      <c r="A2021" t="s">
        <v>1343</v>
      </c>
      <c r="B2021">
        <v>170</v>
      </c>
      <c r="C2021" t="s">
        <v>4904</v>
      </c>
      <c r="D2021" t="s">
        <v>4498</v>
      </c>
      <c r="E2021" t="s">
        <v>4552</v>
      </c>
      <c r="F2021" t="s">
        <v>4514</v>
      </c>
    </row>
    <row r="2022" spans="1:6" x14ac:dyDescent="0.25">
      <c r="A2022" t="s">
        <v>1345</v>
      </c>
      <c r="B2022">
        <v>75</v>
      </c>
      <c r="C2022" t="s">
        <v>4465</v>
      </c>
      <c r="D2022" t="s">
        <v>4501</v>
      </c>
      <c r="E2022" t="s">
        <v>4406</v>
      </c>
      <c r="F2022" t="s">
        <v>5153</v>
      </c>
    </row>
    <row r="2023" spans="1:6" x14ac:dyDescent="0.25">
      <c r="A2023" t="s">
        <v>1466</v>
      </c>
      <c r="B2023">
        <v>50</v>
      </c>
      <c r="C2023" t="s">
        <v>5128</v>
      </c>
      <c r="D2023" t="s">
        <v>4629</v>
      </c>
      <c r="E2023" t="s">
        <v>4559</v>
      </c>
      <c r="F2023" t="s">
        <v>5110</v>
      </c>
    </row>
    <row r="2024" spans="1:6" x14ac:dyDescent="0.25">
      <c r="A2024" t="s">
        <v>5554</v>
      </c>
      <c r="B2024">
        <v>2</v>
      </c>
      <c r="C2024" t="s">
        <v>4468</v>
      </c>
      <c r="D2024" t="s">
        <v>4406</v>
      </c>
      <c r="E2024" t="s">
        <v>4406</v>
      </c>
      <c r="F2024" t="s">
        <v>4468</v>
      </c>
    </row>
    <row r="2025" spans="1:6" x14ac:dyDescent="0.25">
      <c r="A2025" t="s">
        <v>1296</v>
      </c>
      <c r="B2025">
        <v>297</v>
      </c>
      <c r="C2025" t="s">
        <v>4601</v>
      </c>
      <c r="D2025" t="s">
        <v>5118</v>
      </c>
      <c r="E2025" t="s">
        <v>4746</v>
      </c>
      <c r="F2025" t="s">
        <v>4520</v>
      </c>
    </row>
    <row r="2027" spans="1:6" x14ac:dyDescent="0.25">
      <c r="A2027" t="s">
        <v>5811</v>
      </c>
    </row>
    <row r="2028" spans="1:6" x14ac:dyDescent="0.25">
      <c r="A2028" t="s">
        <v>924</v>
      </c>
      <c r="B2028" t="s">
        <v>4394</v>
      </c>
      <c r="C2028" t="s">
        <v>5148</v>
      </c>
      <c r="D2028" t="s">
        <v>5149</v>
      </c>
      <c r="E2028" t="s">
        <v>5150</v>
      </c>
      <c r="F2028" t="s">
        <v>5151</v>
      </c>
    </row>
    <row r="2029" spans="1:6" x14ac:dyDescent="0.25">
      <c r="A2029" t="s">
        <v>1345</v>
      </c>
      <c r="B2029">
        <v>69</v>
      </c>
      <c r="C2029" t="s">
        <v>4476</v>
      </c>
      <c r="D2029" t="s">
        <v>4587</v>
      </c>
      <c r="E2029" t="s">
        <v>4667</v>
      </c>
      <c r="F2029" t="s">
        <v>4664</v>
      </c>
    </row>
    <row r="2030" spans="1:6" x14ac:dyDescent="0.25">
      <c r="A2030" t="s">
        <v>1441</v>
      </c>
      <c r="B2030">
        <v>123</v>
      </c>
      <c r="C2030" t="s">
        <v>4790</v>
      </c>
      <c r="D2030" t="s">
        <v>4747</v>
      </c>
      <c r="E2030" t="s">
        <v>4651</v>
      </c>
      <c r="F2030" t="s">
        <v>4535</v>
      </c>
    </row>
    <row r="2031" spans="1:6" x14ac:dyDescent="0.25">
      <c r="A2031" t="s">
        <v>1461</v>
      </c>
      <c r="B2031">
        <v>95</v>
      </c>
      <c r="C2031" t="s">
        <v>4458</v>
      </c>
      <c r="D2031" t="s">
        <v>4443</v>
      </c>
      <c r="E2031" t="s">
        <v>5142</v>
      </c>
      <c r="F2031" t="s">
        <v>4678</v>
      </c>
    </row>
    <row r="2032" spans="1:6" x14ac:dyDescent="0.25">
      <c r="A2032" t="s">
        <v>5554</v>
      </c>
      <c r="B2032">
        <v>10</v>
      </c>
      <c r="C2032" t="s">
        <v>4457</v>
      </c>
      <c r="D2032" t="s">
        <v>4646</v>
      </c>
      <c r="E2032" t="s">
        <v>4646</v>
      </c>
      <c r="F2032" t="s">
        <v>4472</v>
      </c>
    </row>
    <row r="2033" spans="1:7" x14ac:dyDescent="0.25">
      <c r="A2033" t="s">
        <v>1296</v>
      </c>
      <c r="B2033">
        <v>297</v>
      </c>
      <c r="C2033" t="s">
        <v>4601</v>
      </c>
      <c r="D2033" t="s">
        <v>5118</v>
      </c>
      <c r="E2033" t="s">
        <v>4746</v>
      </c>
      <c r="F2033" t="s">
        <v>4520</v>
      </c>
    </row>
    <row r="2035" spans="1:7" x14ac:dyDescent="0.25">
      <c r="A2035" t="s">
        <v>5812</v>
      </c>
    </row>
    <row r="2036" spans="1:7" x14ac:dyDescent="0.25">
      <c r="A2036" t="s">
        <v>903</v>
      </c>
      <c r="B2036" t="s">
        <v>4394</v>
      </c>
      <c r="C2036" t="s">
        <v>5148</v>
      </c>
      <c r="D2036" t="s">
        <v>5149</v>
      </c>
      <c r="E2036" t="s">
        <v>5150</v>
      </c>
      <c r="F2036" t="s">
        <v>5151</v>
      </c>
    </row>
    <row r="2037" spans="1:7" x14ac:dyDescent="0.25">
      <c r="A2037" t="s">
        <v>70</v>
      </c>
      <c r="B2037">
        <v>85</v>
      </c>
      <c r="C2037" t="s">
        <v>4515</v>
      </c>
      <c r="D2037" t="s">
        <v>4475</v>
      </c>
      <c r="E2037" t="s">
        <v>4757</v>
      </c>
      <c r="F2037" t="s">
        <v>4795</v>
      </c>
    </row>
    <row r="2038" spans="1:7" x14ac:dyDescent="0.25">
      <c r="A2038" t="s">
        <v>71</v>
      </c>
      <c r="B2038">
        <v>212</v>
      </c>
      <c r="C2038" t="s">
        <v>4441</v>
      </c>
      <c r="D2038" t="s">
        <v>4874</v>
      </c>
      <c r="E2038" t="s">
        <v>4741</v>
      </c>
      <c r="F2038" t="s">
        <v>4471</v>
      </c>
    </row>
    <row r="2039" spans="1:7" x14ac:dyDescent="0.25">
      <c r="A2039" t="s">
        <v>1296</v>
      </c>
      <c r="B2039">
        <v>297</v>
      </c>
      <c r="C2039" t="s">
        <v>4601</v>
      </c>
      <c r="D2039" t="s">
        <v>5118</v>
      </c>
      <c r="E2039" t="s">
        <v>4746</v>
      </c>
      <c r="F2039" t="s">
        <v>4520</v>
      </c>
    </row>
    <row r="2041" spans="1:7" x14ac:dyDescent="0.25">
      <c r="A2041" t="s">
        <v>5813</v>
      </c>
    </row>
    <row r="2042" spans="1:7" x14ac:dyDescent="0.25">
      <c r="A2042" t="s">
        <v>1297</v>
      </c>
      <c r="B2042" t="s">
        <v>4394</v>
      </c>
      <c r="C2042" t="s">
        <v>4428</v>
      </c>
      <c r="D2042" t="s">
        <v>4429</v>
      </c>
      <c r="E2042" t="s">
        <v>4430</v>
      </c>
      <c r="F2042" t="s">
        <v>4431</v>
      </c>
      <c r="G2042" t="s">
        <v>4432</v>
      </c>
    </row>
    <row r="2043" spans="1:7" x14ac:dyDescent="0.25">
      <c r="A2043" t="s">
        <v>5549</v>
      </c>
      <c r="B2043">
        <v>86</v>
      </c>
      <c r="C2043">
        <v>1.41</v>
      </c>
      <c r="D2043">
        <v>1</v>
      </c>
      <c r="E2043">
        <v>1</v>
      </c>
      <c r="F2043">
        <v>3</v>
      </c>
      <c r="G2043">
        <v>121</v>
      </c>
    </row>
    <row r="2044" spans="1:7" x14ac:dyDescent="0.25">
      <c r="A2044" t="s">
        <v>1397</v>
      </c>
      <c r="B2044">
        <v>73</v>
      </c>
      <c r="C2044">
        <v>1.59</v>
      </c>
      <c r="D2044">
        <v>1</v>
      </c>
      <c r="E2044">
        <v>1</v>
      </c>
      <c r="F2044">
        <v>5</v>
      </c>
      <c r="G2044">
        <v>116</v>
      </c>
    </row>
    <row r="2046" spans="1:7" x14ac:dyDescent="0.25">
      <c r="A2046" t="s">
        <v>5814</v>
      </c>
    </row>
    <row r="2047" spans="1:7" x14ac:dyDescent="0.25">
      <c r="A2047" t="s">
        <v>1297</v>
      </c>
      <c r="B2047" t="s">
        <v>4394</v>
      </c>
      <c r="C2047" t="s">
        <v>4428</v>
      </c>
      <c r="D2047" t="s">
        <v>4429</v>
      </c>
      <c r="E2047" t="s">
        <v>4430</v>
      </c>
      <c r="F2047" t="s">
        <v>4431</v>
      </c>
      <c r="G2047" t="s">
        <v>4432</v>
      </c>
    </row>
    <row r="2048" spans="1:7" x14ac:dyDescent="0.25">
      <c r="A2048" t="s">
        <v>5549</v>
      </c>
      <c r="B2048">
        <v>22</v>
      </c>
      <c r="C2048">
        <v>0.73</v>
      </c>
      <c r="D2048">
        <v>1</v>
      </c>
      <c r="E2048">
        <v>0</v>
      </c>
      <c r="F2048">
        <v>1</v>
      </c>
      <c r="G2048">
        <v>16</v>
      </c>
    </row>
    <row r="2049" spans="1:7" x14ac:dyDescent="0.25">
      <c r="A2049" t="s">
        <v>1397</v>
      </c>
      <c r="B2049">
        <v>9</v>
      </c>
      <c r="C2049">
        <v>0.11</v>
      </c>
      <c r="D2049">
        <v>0</v>
      </c>
      <c r="E2049">
        <v>0</v>
      </c>
      <c r="F2049">
        <v>1</v>
      </c>
      <c r="G2049">
        <v>1</v>
      </c>
    </row>
    <row r="2051" spans="1:7" x14ac:dyDescent="0.25">
      <c r="A2051" t="s">
        <v>5815</v>
      </c>
    </row>
    <row r="2052" spans="1:7" x14ac:dyDescent="0.25">
      <c r="A2052" t="s">
        <v>1297</v>
      </c>
      <c r="B2052" t="s">
        <v>4394</v>
      </c>
      <c r="C2052" t="s">
        <v>109</v>
      </c>
      <c r="D2052" t="s">
        <v>192</v>
      </c>
    </row>
    <row r="2053" spans="1:7" x14ac:dyDescent="0.25">
      <c r="A2053" t="s">
        <v>5549</v>
      </c>
      <c r="B2053">
        <v>198</v>
      </c>
      <c r="C2053" t="s">
        <v>5160</v>
      </c>
      <c r="D2053" t="s">
        <v>4883</v>
      </c>
    </row>
    <row r="2054" spans="1:7" x14ac:dyDescent="0.25">
      <c r="A2054" t="s">
        <v>1397</v>
      </c>
      <c r="B2054">
        <v>99</v>
      </c>
      <c r="C2054" t="s">
        <v>5161</v>
      </c>
      <c r="D2054" t="s">
        <v>4402</v>
      </c>
    </row>
    <row r="2055" spans="1:7" x14ac:dyDescent="0.25">
      <c r="A2055" t="s">
        <v>1296</v>
      </c>
      <c r="B2055">
        <v>297</v>
      </c>
      <c r="C2055" t="s">
        <v>5093</v>
      </c>
      <c r="D2055" t="s">
        <v>4654</v>
      </c>
    </row>
    <row r="2057" spans="1:7" x14ac:dyDescent="0.25">
      <c r="A2057" t="s">
        <v>5816</v>
      </c>
    </row>
    <row r="2058" spans="1:7" x14ac:dyDescent="0.25">
      <c r="A2058" t="s">
        <v>1297</v>
      </c>
      <c r="B2058" t="s">
        <v>4394</v>
      </c>
      <c r="C2058" t="s">
        <v>1309</v>
      </c>
      <c r="D2058" t="s">
        <v>4844</v>
      </c>
      <c r="E2058" t="s">
        <v>4847</v>
      </c>
      <c r="F2058" t="s">
        <v>4848</v>
      </c>
    </row>
    <row r="2059" spans="1:7" x14ac:dyDescent="0.25">
      <c r="A2059" t="s">
        <v>5549</v>
      </c>
      <c r="B2059">
        <v>198</v>
      </c>
      <c r="C2059" t="s">
        <v>4404</v>
      </c>
      <c r="D2059" t="s">
        <v>4493</v>
      </c>
      <c r="E2059" t="s">
        <v>4872</v>
      </c>
      <c r="F2059" t="s">
        <v>4596</v>
      </c>
    </row>
    <row r="2060" spans="1:7" x14ac:dyDescent="0.25">
      <c r="A2060" t="s">
        <v>1397</v>
      </c>
      <c r="B2060">
        <v>99</v>
      </c>
      <c r="C2060" t="s">
        <v>4626</v>
      </c>
      <c r="D2060" t="s">
        <v>5152</v>
      </c>
      <c r="E2060" t="s">
        <v>4598</v>
      </c>
      <c r="F2060" t="s">
        <v>4453</v>
      </c>
    </row>
    <row r="2061" spans="1:7" x14ac:dyDescent="0.25">
      <c r="A2061" t="s">
        <v>1296</v>
      </c>
      <c r="B2061">
        <v>297</v>
      </c>
      <c r="C2061" t="s">
        <v>4659</v>
      </c>
      <c r="D2061" t="s">
        <v>4644</v>
      </c>
      <c r="E2061" t="s">
        <v>4532</v>
      </c>
      <c r="F2061" t="s">
        <v>5118</v>
      </c>
    </row>
    <row r="2063" spans="1:7" x14ac:dyDescent="0.25">
      <c r="A2063" t="s">
        <v>5817</v>
      </c>
    </row>
    <row r="2064" spans="1:7" x14ac:dyDescent="0.25">
      <c r="A2064" t="s">
        <v>905</v>
      </c>
      <c r="B2064" t="s">
        <v>4394</v>
      </c>
      <c r="C2064" t="s">
        <v>1309</v>
      </c>
      <c r="D2064" t="s">
        <v>4844</v>
      </c>
      <c r="E2064" t="s">
        <v>4847</v>
      </c>
      <c r="F2064" t="s">
        <v>4848</v>
      </c>
    </row>
    <row r="2065" spans="1:6" x14ac:dyDescent="0.25">
      <c r="A2065" t="s">
        <v>4844</v>
      </c>
      <c r="B2065">
        <v>36</v>
      </c>
      <c r="C2065" t="s">
        <v>4406</v>
      </c>
      <c r="D2065" t="s">
        <v>4454</v>
      </c>
      <c r="E2065" t="s">
        <v>4406</v>
      </c>
      <c r="F2065" t="s">
        <v>4406</v>
      </c>
    </row>
    <row r="2066" spans="1:6" x14ac:dyDescent="0.25">
      <c r="A2066" t="s">
        <v>4845</v>
      </c>
      <c r="B2066">
        <v>230</v>
      </c>
      <c r="C2066" t="s">
        <v>4419</v>
      </c>
      <c r="D2066" t="s">
        <v>4526</v>
      </c>
      <c r="E2066" t="s">
        <v>5162</v>
      </c>
      <c r="F2066" t="s">
        <v>4472</v>
      </c>
    </row>
    <row r="2067" spans="1:6" x14ac:dyDescent="0.25">
      <c r="A2067" t="s">
        <v>4846</v>
      </c>
      <c r="B2067">
        <v>31</v>
      </c>
      <c r="C2067" t="s">
        <v>4406</v>
      </c>
      <c r="D2067" t="s">
        <v>4578</v>
      </c>
      <c r="E2067" t="s">
        <v>4578</v>
      </c>
      <c r="F2067" t="s">
        <v>5159</v>
      </c>
    </row>
    <row r="2068" spans="1:6" x14ac:dyDescent="0.25">
      <c r="A2068" t="s">
        <v>1296</v>
      </c>
      <c r="B2068">
        <v>297</v>
      </c>
      <c r="C2068" t="s">
        <v>4659</v>
      </c>
      <c r="D2068" t="s">
        <v>4644</v>
      </c>
      <c r="E2068" t="s">
        <v>4532</v>
      </c>
      <c r="F2068" t="s">
        <v>5118</v>
      </c>
    </row>
    <row r="2070" spans="1:6" x14ac:dyDescent="0.25">
      <c r="A2070" t="s">
        <v>5818</v>
      </c>
    </row>
    <row r="2071" spans="1:6" x14ac:dyDescent="0.25">
      <c r="A2071" t="s">
        <v>906</v>
      </c>
      <c r="B2071" t="s">
        <v>4394</v>
      </c>
      <c r="C2071" t="s">
        <v>1309</v>
      </c>
      <c r="D2071" t="s">
        <v>4844</v>
      </c>
      <c r="E2071" t="s">
        <v>4847</v>
      </c>
      <c r="F2071" t="s">
        <v>4848</v>
      </c>
    </row>
    <row r="2072" spans="1:6" x14ac:dyDescent="0.25">
      <c r="A2072" t="s">
        <v>1338</v>
      </c>
      <c r="B2072">
        <v>46</v>
      </c>
      <c r="C2072" t="s">
        <v>4406</v>
      </c>
      <c r="D2072" t="s">
        <v>4712</v>
      </c>
      <c r="E2072" t="s">
        <v>4611</v>
      </c>
      <c r="F2072" t="s">
        <v>4670</v>
      </c>
    </row>
    <row r="2073" spans="1:6" x14ac:dyDescent="0.25">
      <c r="A2073" t="s">
        <v>1370</v>
      </c>
      <c r="B2073">
        <v>33</v>
      </c>
      <c r="C2073" t="s">
        <v>4406</v>
      </c>
      <c r="D2073" t="s">
        <v>4626</v>
      </c>
      <c r="E2073" t="s">
        <v>4405</v>
      </c>
      <c r="F2073" t="s">
        <v>5002</v>
      </c>
    </row>
    <row r="2074" spans="1:6" x14ac:dyDescent="0.25">
      <c r="A2074" t="s">
        <v>1439</v>
      </c>
      <c r="B2074">
        <v>21</v>
      </c>
      <c r="C2074" t="s">
        <v>4749</v>
      </c>
      <c r="D2074" t="s">
        <v>4675</v>
      </c>
      <c r="E2074" t="s">
        <v>4865</v>
      </c>
      <c r="F2074" t="s">
        <v>4465</v>
      </c>
    </row>
    <row r="2075" spans="1:6" x14ac:dyDescent="0.25">
      <c r="A2075" t="s">
        <v>1476</v>
      </c>
      <c r="B2075">
        <v>71</v>
      </c>
      <c r="C2075" t="s">
        <v>4406</v>
      </c>
      <c r="D2075" t="s">
        <v>4866</v>
      </c>
      <c r="E2075" t="s">
        <v>4763</v>
      </c>
      <c r="F2075" t="s">
        <v>4649</v>
      </c>
    </row>
    <row r="2076" spans="1:6" x14ac:dyDescent="0.25">
      <c r="A2076" t="s">
        <v>5476</v>
      </c>
      <c r="B2076">
        <v>6</v>
      </c>
      <c r="C2076" t="s">
        <v>4406</v>
      </c>
      <c r="D2076" t="s">
        <v>4465</v>
      </c>
      <c r="E2076" t="s">
        <v>4465</v>
      </c>
      <c r="F2076" t="s">
        <v>4465</v>
      </c>
    </row>
    <row r="2077" spans="1:6" x14ac:dyDescent="0.25">
      <c r="A2077" t="s">
        <v>1399</v>
      </c>
      <c r="B2077">
        <v>44</v>
      </c>
      <c r="C2077" t="s">
        <v>4691</v>
      </c>
      <c r="D2077" t="s">
        <v>5163</v>
      </c>
      <c r="E2077" t="s">
        <v>4589</v>
      </c>
      <c r="F2077" t="s">
        <v>4583</v>
      </c>
    </row>
    <row r="2078" spans="1:6" x14ac:dyDescent="0.25">
      <c r="A2078" t="s">
        <v>1415</v>
      </c>
      <c r="B2078">
        <v>76</v>
      </c>
      <c r="C2078" t="s">
        <v>4659</v>
      </c>
      <c r="D2078" t="s">
        <v>4820</v>
      </c>
      <c r="E2078" t="s">
        <v>4528</v>
      </c>
      <c r="F2078" t="s">
        <v>4527</v>
      </c>
    </row>
    <row r="2079" spans="1:6" x14ac:dyDescent="0.25">
      <c r="A2079" t="s">
        <v>1296</v>
      </c>
      <c r="B2079">
        <v>297</v>
      </c>
      <c r="C2079" t="s">
        <v>4659</v>
      </c>
      <c r="D2079" t="s">
        <v>4644</v>
      </c>
      <c r="E2079" t="s">
        <v>4532</v>
      </c>
      <c r="F2079" t="s">
        <v>5118</v>
      </c>
    </row>
    <row r="2081" spans="1:8" x14ac:dyDescent="0.25">
      <c r="A2081" t="s">
        <v>5819</v>
      </c>
    </row>
    <row r="2082" spans="1:8" x14ac:dyDescent="0.25">
      <c r="A2082" t="s">
        <v>903</v>
      </c>
      <c r="B2082" t="s">
        <v>4394</v>
      </c>
      <c r="C2082" t="s">
        <v>1309</v>
      </c>
      <c r="D2082" t="s">
        <v>4844</v>
      </c>
      <c r="E2082" t="s">
        <v>4847</v>
      </c>
      <c r="F2082" t="s">
        <v>4848</v>
      </c>
    </row>
    <row r="2083" spans="1:8" x14ac:dyDescent="0.25">
      <c r="A2083" t="s">
        <v>70</v>
      </c>
      <c r="B2083">
        <v>85</v>
      </c>
      <c r="C2083" t="s">
        <v>4406</v>
      </c>
      <c r="D2083" t="s">
        <v>4717</v>
      </c>
      <c r="E2083" t="s">
        <v>4458</v>
      </c>
      <c r="F2083" t="s">
        <v>4558</v>
      </c>
    </row>
    <row r="2084" spans="1:8" x14ac:dyDescent="0.25">
      <c r="A2084" t="s">
        <v>71</v>
      </c>
      <c r="B2084">
        <v>212</v>
      </c>
      <c r="C2084" t="s">
        <v>4952</v>
      </c>
      <c r="D2084" t="s">
        <v>5128</v>
      </c>
      <c r="E2084" t="s">
        <v>4719</v>
      </c>
      <c r="F2084" t="s">
        <v>4909</v>
      </c>
    </row>
    <row r="2085" spans="1:8" x14ac:dyDescent="0.25">
      <c r="A2085" t="s">
        <v>1296</v>
      </c>
      <c r="B2085">
        <v>297</v>
      </c>
      <c r="C2085" t="s">
        <v>4659</v>
      </c>
      <c r="D2085" t="s">
        <v>4644</v>
      </c>
      <c r="E2085" t="s">
        <v>4532</v>
      </c>
      <c r="F2085" t="s">
        <v>5118</v>
      </c>
    </row>
    <row r="2087" spans="1:8" x14ac:dyDescent="0.25">
      <c r="A2087" t="s">
        <v>5820</v>
      </c>
    </row>
    <row r="2088" spans="1:8" x14ac:dyDescent="0.25">
      <c r="A2088" t="s">
        <v>1297</v>
      </c>
      <c r="B2088" t="s">
        <v>4394</v>
      </c>
      <c r="C2088" t="s">
        <v>4438</v>
      </c>
      <c r="D2088" t="s">
        <v>4439</v>
      </c>
      <c r="E2088" t="s">
        <v>1400</v>
      </c>
      <c r="F2088" t="s">
        <v>5566</v>
      </c>
      <c r="G2088" t="s">
        <v>1426</v>
      </c>
      <c r="H2088" t="s">
        <v>1372</v>
      </c>
    </row>
    <row r="2089" spans="1:8" x14ac:dyDescent="0.25">
      <c r="A2089" t="s">
        <v>5549</v>
      </c>
      <c r="B2089">
        <v>198</v>
      </c>
      <c r="C2089" t="s">
        <v>4862</v>
      </c>
      <c r="D2089" t="s">
        <v>4855</v>
      </c>
      <c r="E2089" t="s">
        <v>4680</v>
      </c>
      <c r="F2089" t="s">
        <v>4589</v>
      </c>
      <c r="G2089" t="s">
        <v>4404</v>
      </c>
      <c r="H2089" t="s">
        <v>4849</v>
      </c>
    </row>
    <row r="2090" spans="1:8" x14ac:dyDescent="0.25">
      <c r="A2090" t="s">
        <v>1397</v>
      </c>
      <c r="B2090">
        <v>99</v>
      </c>
      <c r="C2090" t="s">
        <v>4520</v>
      </c>
      <c r="D2090" t="s">
        <v>4560</v>
      </c>
      <c r="E2090" t="s">
        <v>4660</v>
      </c>
      <c r="F2090" t="s">
        <v>4852</v>
      </c>
      <c r="G2090" t="s">
        <v>4406</v>
      </c>
      <c r="H2090" t="s">
        <v>4400</v>
      </c>
    </row>
    <row r="2091" spans="1:8" x14ac:dyDescent="0.25">
      <c r="A2091" t="s">
        <v>1296</v>
      </c>
      <c r="B2091">
        <v>297</v>
      </c>
      <c r="C2091" t="s">
        <v>4629</v>
      </c>
      <c r="D2091" t="s">
        <v>4630</v>
      </c>
      <c r="E2091" t="s">
        <v>4424</v>
      </c>
      <c r="F2091" t="s">
        <v>4539</v>
      </c>
      <c r="G2091" t="s">
        <v>4808</v>
      </c>
      <c r="H2091" t="s">
        <v>4940</v>
      </c>
    </row>
    <row r="2093" spans="1:8" x14ac:dyDescent="0.25">
      <c r="A2093" t="s">
        <v>5821</v>
      </c>
    </row>
    <row r="2094" spans="1:8" x14ac:dyDescent="0.25">
      <c r="A2094" t="s">
        <v>905</v>
      </c>
      <c r="B2094" t="s">
        <v>4394</v>
      </c>
      <c r="C2094" t="s">
        <v>4438</v>
      </c>
      <c r="D2094" t="s">
        <v>4439</v>
      </c>
      <c r="E2094" t="s">
        <v>1400</v>
      </c>
      <c r="F2094" t="s">
        <v>5566</v>
      </c>
      <c r="G2094" t="s">
        <v>1426</v>
      </c>
      <c r="H2094" t="s">
        <v>1372</v>
      </c>
    </row>
    <row r="2095" spans="1:8" x14ac:dyDescent="0.25">
      <c r="A2095" t="s">
        <v>4844</v>
      </c>
      <c r="B2095">
        <v>36</v>
      </c>
      <c r="C2095" t="s">
        <v>4731</v>
      </c>
      <c r="D2095" t="s">
        <v>4727</v>
      </c>
      <c r="E2095" t="s">
        <v>4943</v>
      </c>
      <c r="F2095" t="s">
        <v>4649</v>
      </c>
      <c r="G2095" t="s">
        <v>4406</v>
      </c>
      <c r="H2095" t="s">
        <v>4676</v>
      </c>
    </row>
    <row r="2096" spans="1:8" x14ac:dyDescent="0.25">
      <c r="A2096" t="s">
        <v>4845</v>
      </c>
      <c r="B2096">
        <v>230</v>
      </c>
      <c r="C2096" t="s">
        <v>5436</v>
      </c>
      <c r="D2096" t="s">
        <v>5226</v>
      </c>
      <c r="E2096" t="s">
        <v>4419</v>
      </c>
      <c r="F2096" t="s">
        <v>4999</v>
      </c>
      <c r="G2096" t="s">
        <v>4818</v>
      </c>
      <c r="H2096" t="s">
        <v>4852</v>
      </c>
    </row>
    <row r="2097" spans="1:8" x14ac:dyDescent="0.25">
      <c r="A2097" t="s">
        <v>4846</v>
      </c>
      <c r="B2097">
        <v>31</v>
      </c>
      <c r="C2097" t="s">
        <v>4563</v>
      </c>
      <c r="D2097" t="s">
        <v>4642</v>
      </c>
      <c r="E2097" t="s">
        <v>4406</v>
      </c>
      <c r="F2097" t="s">
        <v>4858</v>
      </c>
      <c r="G2097" t="s">
        <v>4406</v>
      </c>
      <c r="H2097" t="s">
        <v>4641</v>
      </c>
    </row>
    <row r="2098" spans="1:8" x14ac:dyDescent="0.25">
      <c r="A2098" t="s">
        <v>1296</v>
      </c>
      <c r="B2098">
        <v>297</v>
      </c>
      <c r="C2098" t="s">
        <v>4629</v>
      </c>
      <c r="D2098" t="s">
        <v>4630</v>
      </c>
      <c r="E2098" t="s">
        <v>4424</v>
      </c>
      <c r="F2098" t="s">
        <v>4539</v>
      </c>
      <c r="G2098" t="s">
        <v>4808</v>
      </c>
      <c r="H2098" t="s">
        <v>4940</v>
      </c>
    </row>
    <row r="2100" spans="1:8" x14ac:dyDescent="0.25">
      <c r="A2100" t="s">
        <v>5822</v>
      </c>
    </row>
    <row r="2101" spans="1:8" x14ac:dyDescent="0.25">
      <c r="A2101" t="s">
        <v>906</v>
      </c>
      <c r="B2101" t="s">
        <v>4394</v>
      </c>
      <c r="C2101" t="s">
        <v>4438</v>
      </c>
      <c r="D2101" t="s">
        <v>4439</v>
      </c>
      <c r="E2101" t="s">
        <v>1400</v>
      </c>
      <c r="F2101" t="s">
        <v>5566</v>
      </c>
      <c r="G2101" t="s">
        <v>1426</v>
      </c>
      <c r="H2101" t="s">
        <v>1372</v>
      </c>
    </row>
    <row r="2102" spans="1:8" x14ac:dyDescent="0.25">
      <c r="A2102" t="s">
        <v>1338</v>
      </c>
      <c r="B2102">
        <v>46</v>
      </c>
      <c r="C2102" t="s">
        <v>4712</v>
      </c>
      <c r="D2102" t="s">
        <v>4664</v>
      </c>
      <c r="E2102" t="s">
        <v>4581</v>
      </c>
      <c r="F2102" t="s">
        <v>4863</v>
      </c>
      <c r="G2102" t="s">
        <v>4406</v>
      </c>
      <c r="H2102" t="s">
        <v>4684</v>
      </c>
    </row>
    <row r="2103" spans="1:8" x14ac:dyDescent="0.25">
      <c r="A2103" t="s">
        <v>1370</v>
      </c>
      <c r="B2103">
        <v>33</v>
      </c>
      <c r="C2103" t="s">
        <v>4451</v>
      </c>
      <c r="D2103" t="s">
        <v>5209</v>
      </c>
      <c r="E2103" t="s">
        <v>4406</v>
      </c>
      <c r="F2103" t="s">
        <v>4741</v>
      </c>
      <c r="G2103" t="s">
        <v>4406</v>
      </c>
      <c r="H2103" t="s">
        <v>4405</v>
      </c>
    </row>
    <row r="2104" spans="1:8" x14ac:dyDescent="0.25">
      <c r="A2104" t="s">
        <v>1439</v>
      </c>
      <c r="B2104">
        <v>21</v>
      </c>
      <c r="C2104" t="s">
        <v>4450</v>
      </c>
      <c r="D2104" t="s">
        <v>4497</v>
      </c>
      <c r="E2104" t="s">
        <v>4749</v>
      </c>
      <c r="F2104" t="s">
        <v>4556</v>
      </c>
      <c r="G2104" t="s">
        <v>4406</v>
      </c>
      <c r="H2104" t="s">
        <v>4749</v>
      </c>
    </row>
    <row r="2105" spans="1:8" x14ac:dyDescent="0.25">
      <c r="A2105" t="s">
        <v>1476</v>
      </c>
      <c r="B2105">
        <v>71</v>
      </c>
      <c r="C2105" t="s">
        <v>4687</v>
      </c>
      <c r="D2105" t="s">
        <v>5055</v>
      </c>
      <c r="E2105" t="s">
        <v>4751</v>
      </c>
      <c r="F2105" t="s">
        <v>4750</v>
      </c>
      <c r="G2105" t="s">
        <v>4750</v>
      </c>
      <c r="H2105" t="s">
        <v>4414</v>
      </c>
    </row>
    <row r="2106" spans="1:8" x14ac:dyDescent="0.25">
      <c r="A2106" t="s">
        <v>5476</v>
      </c>
      <c r="B2106">
        <v>6</v>
      </c>
      <c r="C2106" t="s">
        <v>4465</v>
      </c>
      <c r="D2106" t="s">
        <v>4596</v>
      </c>
      <c r="E2106" t="s">
        <v>4406</v>
      </c>
      <c r="F2106" t="s">
        <v>4596</v>
      </c>
      <c r="G2106" t="s">
        <v>4406</v>
      </c>
      <c r="H2106" t="s">
        <v>4465</v>
      </c>
    </row>
    <row r="2107" spans="1:8" x14ac:dyDescent="0.25">
      <c r="A2107" t="s">
        <v>1399</v>
      </c>
      <c r="B2107">
        <v>44</v>
      </c>
      <c r="C2107" t="s">
        <v>4493</v>
      </c>
      <c r="D2107" t="s">
        <v>5156</v>
      </c>
      <c r="E2107" t="s">
        <v>4691</v>
      </c>
      <c r="F2107" t="s">
        <v>4637</v>
      </c>
      <c r="G2107" t="s">
        <v>4406</v>
      </c>
      <c r="H2107" t="s">
        <v>4691</v>
      </c>
    </row>
    <row r="2108" spans="1:8" x14ac:dyDescent="0.25">
      <c r="A2108" t="s">
        <v>1415</v>
      </c>
      <c r="B2108">
        <v>76</v>
      </c>
      <c r="C2108" t="s">
        <v>4523</v>
      </c>
      <c r="D2108" t="s">
        <v>4529</v>
      </c>
      <c r="E2108" t="s">
        <v>4406</v>
      </c>
      <c r="F2108" t="s">
        <v>4754</v>
      </c>
      <c r="G2108" t="s">
        <v>4406</v>
      </c>
      <c r="H2108" t="s">
        <v>4617</v>
      </c>
    </row>
    <row r="2109" spans="1:8" x14ac:dyDescent="0.25">
      <c r="A2109" t="s">
        <v>1296</v>
      </c>
      <c r="B2109">
        <v>297</v>
      </c>
      <c r="C2109" t="s">
        <v>4629</v>
      </c>
      <c r="D2109" t="s">
        <v>4630</v>
      </c>
      <c r="E2109" t="s">
        <v>4424</v>
      </c>
      <c r="F2109" t="s">
        <v>4539</v>
      </c>
      <c r="G2109" t="s">
        <v>4808</v>
      </c>
      <c r="H2109" t="s">
        <v>4940</v>
      </c>
    </row>
    <row r="2111" spans="1:8" x14ac:dyDescent="0.25">
      <c r="A2111" t="s">
        <v>5823</v>
      </c>
    </row>
    <row r="2112" spans="1:8" x14ac:dyDescent="0.25">
      <c r="A2112" t="s">
        <v>907</v>
      </c>
      <c r="B2112" t="s">
        <v>4394</v>
      </c>
      <c r="C2112" t="s">
        <v>4438</v>
      </c>
      <c r="D2112" t="s">
        <v>4439</v>
      </c>
      <c r="E2112" t="s">
        <v>1400</v>
      </c>
      <c r="F2112" t="s">
        <v>5566</v>
      </c>
      <c r="G2112" t="s">
        <v>1426</v>
      </c>
      <c r="H2112" t="s">
        <v>1372</v>
      </c>
    </row>
    <row r="2113" spans="1:8" x14ac:dyDescent="0.25">
      <c r="A2113" t="s">
        <v>109</v>
      </c>
      <c r="B2113">
        <v>257</v>
      </c>
      <c r="C2113" t="s">
        <v>5181</v>
      </c>
      <c r="D2113" t="s">
        <v>4510</v>
      </c>
      <c r="E2113" t="s">
        <v>4931</v>
      </c>
      <c r="F2113" t="s">
        <v>4706</v>
      </c>
      <c r="G2113" t="s">
        <v>4818</v>
      </c>
      <c r="H2113" t="s">
        <v>4716</v>
      </c>
    </row>
    <row r="2114" spans="1:8" x14ac:dyDescent="0.25">
      <c r="A2114" t="s">
        <v>192</v>
      </c>
      <c r="B2114">
        <v>40</v>
      </c>
      <c r="C2114" t="s">
        <v>4644</v>
      </c>
      <c r="D2114" t="s">
        <v>4458</v>
      </c>
      <c r="E2114" t="s">
        <v>4406</v>
      </c>
      <c r="F2114" t="s">
        <v>4650</v>
      </c>
      <c r="G2114" t="s">
        <v>4406</v>
      </c>
      <c r="H2114" t="s">
        <v>4759</v>
      </c>
    </row>
    <row r="2115" spans="1:8" x14ac:dyDescent="0.25">
      <c r="A2115" t="s">
        <v>1296</v>
      </c>
      <c r="B2115">
        <v>297</v>
      </c>
      <c r="C2115" t="s">
        <v>4629</v>
      </c>
      <c r="D2115" t="s">
        <v>4630</v>
      </c>
      <c r="E2115" t="s">
        <v>4424</v>
      </c>
      <c r="F2115" t="s">
        <v>4539</v>
      </c>
      <c r="G2115" t="s">
        <v>4808</v>
      </c>
      <c r="H2115" t="s">
        <v>4940</v>
      </c>
    </row>
    <row r="2117" spans="1:8" x14ac:dyDescent="0.25">
      <c r="A2117" t="s">
        <v>5824</v>
      </c>
    </row>
    <row r="2118" spans="1:8" x14ac:dyDescent="0.25">
      <c r="A2118" t="s">
        <v>1295</v>
      </c>
      <c r="B2118" t="s">
        <v>4394</v>
      </c>
      <c r="C2118" t="s">
        <v>4438</v>
      </c>
      <c r="D2118" t="s">
        <v>4439</v>
      </c>
      <c r="E2118" t="s">
        <v>1400</v>
      </c>
      <c r="F2118" t="s">
        <v>5566</v>
      </c>
      <c r="G2118" t="s">
        <v>1426</v>
      </c>
      <c r="H2118" t="s">
        <v>1372</v>
      </c>
    </row>
    <row r="2119" spans="1:8" x14ac:dyDescent="0.25">
      <c r="A2119" t="s">
        <v>4395</v>
      </c>
      <c r="B2119">
        <v>32</v>
      </c>
      <c r="C2119" t="s">
        <v>4543</v>
      </c>
      <c r="D2119" t="s">
        <v>4521</v>
      </c>
      <c r="E2119" t="s">
        <v>4406</v>
      </c>
      <c r="F2119" t="s">
        <v>4543</v>
      </c>
      <c r="G2119" t="s">
        <v>4406</v>
      </c>
      <c r="H2119" t="s">
        <v>4479</v>
      </c>
    </row>
    <row r="2120" spans="1:8" x14ac:dyDescent="0.25">
      <c r="A2120" t="s">
        <v>4396</v>
      </c>
      <c r="B2120">
        <v>169</v>
      </c>
      <c r="C2120" t="s">
        <v>5332</v>
      </c>
      <c r="D2120" t="s">
        <v>4456</v>
      </c>
      <c r="E2120" t="s">
        <v>4905</v>
      </c>
      <c r="F2120" t="s">
        <v>5084</v>
      </c>
      <c r="G2120" t="s">
        <v>4413</v>
      </c>
      <c r="H2120" t="s">
        <v>4617</v>
      </c>
    </row>
    <row r="2121" spans="1:8" x14ac:dyDescent="0.25">
      <c r="A2121" t="s">
        <v>4397</v>
      </c>
      <c r="B2121">
        <v>2</v>
      </c>
      <c r="C2121" t="s">
        <v>4406</v>
      </c>
      <c r="D2121" t="s">
        <v>4468</v>
      </c>
      <c r="E2121" t="s">
        <v>4406</v>
      </c>
      <c r="F2121" t="s">
        <v>4406</v>
      </c>
      <c r="G2121" t="s">
        <v>4406</v>
      </c>
      <c r="H2121" t="s">
        <v>4468</v>
      </c>
    </row>
    <row r="2122" spans="1:8" x14ac:dyDescent="0.25">
      <c r="A2122" t="s">
        <v>4398</v>
      </c>
      <c r="B2122">
        <v>92</v>
      </c>
      <c r="C2122" t="s">
        <v>4664</v>
      </c>
      <c r="D2122" t="s">
        <v>4683</v>
      </c>
      <c r="E2122" t="s">
        <v>4667</v>
      </c>
      <c r="F2122" t="s">
        <v>4681</v>
      </c>
      <c r="G2122" t="s">
        <v>4406</v>
      </c>
      <c r="H2122" t="s">
        <v>4667</v>
      </c>
    </row>
    <row r="2123" spans="1:8" x14ac:dyDescent="0.25">
      <c r="A2123" t="s">
        <v>4399</v>
      </c>
      <c r="B2123">
        <v>2</v>
      </c>
      <c r="C2123" t="s">
        <v>4468</v>
      </c>
      <c r="D2123" t="s">
        <v>4406</v>
      </c>
      <c r="E2123" t="s">
        <v>4406</v>
      </c>
      <c r="F2123" t="s">
        <v>4406</v>
      </c>
      <c r="G2123" t="s">
        <v>4406</v>
      </c>
      <c r="H2123" t="s">
        <v>4468</v>
      </c>
    </row>
    <row r="2124" spans="1:8" x14ac:dyDescent="0.25">
      <c r="A2124" t="s">
        <v>1296</v>
      </c>
      <c r="B2124">
        <v>297</v>
      </c>
      <c r="C2124" t="s">
        <v>4629</v>
      </c>
      <c r="D2124" t="s">
        <v>4630</v>
      </c>
      <c r="E2124" t="s">
        <v>4424</v>
      </c>
      <c r="F2124" t="s">
        <v>4539</v>
      </c>
      <c r="G2124" t="s">
        <v>4808</v>
      </c>
      <c r="H2124" t="s">
        <v>4940</v>
      </c>
    </row>
    <row r="2126" spans="1:8" x14ac:dyDescent="0.25">
      <c r="A2126" t="s">
        <v>5825</v>
      </c>
    </row>
    <row r="2127" spans="1:8" x14ac:dyDescent="0.25">
      <c r="A2127" t="s">
        <v>910</v>
      </c>
      <c r="B2127" t="s">
        <v>4394</v>
      </c>
      <c r="C2127" t="s">
        <v>4438</v>
      </c>
      <c r="D2127" t="s">
        <v>4439</v>
      </c>
      <c r="E2127" t="s">
        <v>1400</v>
      </c>
      <c r="F2127" t="s">
        <v>5566</v>
      </c>
      <c r="G2127" t="s">
        <v>1426</v>
      </c>
      <c r="H2127" t="s">
        <v>1372</v>
      </c>
    </row>
    <row r="2128" spans="1:8" x14ac:dyDescent="0.25">
      <c r="A2128" t="s">
        <v>1371</v>
      </c>
      <c r="B2128">
        <v>42</v>
      </c>
      <c r="C2128" t="s">
        <v>4447</v>
      </c>
      <c r="D2128" t="s">
        <v>4449</v>
      </c>
      <c r="E2128" t="s">
        <v>4406</v>
      </c>
      <c r="F2128" t="s">
        <v>4424</v>
      </c>
      <c r="G2128" t="s">
        <v>4406</v>
      </c>
      <c r="H2128" t="s">
        <v>4785</v>
      </c>
    </row>
    <row r="2129" spans="1:8" x14ac:dyDescent="0.25">
      <c r="A2129" t="s">
        <v>1452</v>
      </c>
      <c r="B2129">
        <v>18</v>
      </c>
      <c r="C2129" t="s">
        <v>5214</v>
      </c>
      <c r="D2129" t="s">
        <v>4465</v>
      </c>
      <c r="E2129" t="s">
        <v>4406</v>
      </c>
      <c r="F2129" t="s">
        <v>4571</v>
      </c>
      <c r="G2129" t="s">
        <v>4406</v>
      </c>
      <c r="H2129" t="s">
        <v>4406</v>
      </c>
    </row>
    <row r="2130" spans="1:8" x14ac:dyDescent="0.25">
      <c r="A2130" t="s">
        <v>5560</v>
      </c>
      <c r="B2130">
        <v>59</v>
      </c>
      <c r="C2130" t="s">
        <v>4507</v>
      </c>
      <c r="D2130" t="s">
        <v>4789</v>
      </c>
      <c r="E2130" t="s">
        <v>4689</v>
      </c>
      <c r="F2130" t="s">
        <v>4419</v>
      </c>
      <c r="G2130" t="s">
        <v>4419</v>
      </c>
      <c r="H2130" t="s">
        <v>4627</v>
      </c>
    </row>
    <row r="2131" spans="1:8" x14ac:dyDescent="0.25">
      <c r="A2131" t="s">
        <v>1424</v>
      </c>
      <c r="B2131">
        <v>120</v>
      </c>
      <c r="C2131" t="s">
        <v>4561</v>
      </c>
      <c r="D2131" t="s">
        <v>5363</v>
      </c>
      <c r="E2131" t="s">
        <v>4645</v>
      </c>
      <c r="F2131" t="s">
        <v>4417</v>
      </c>
      <c r="G2131" t="s">
        <v>4406</v>
      </c>
      <c r="H2131" t="s">
        <v>4607</v>
      </c>
    </row>
    <row r="2132" spans="1:8" x14ac:dyDescent="0.25">
      <c r="A2132" t="s">
        <v>1340</v>
      </c>
      <c r="B2132">
        <v>31</v>
      </c>
      <c r="C2132" t="s">
        <v>4406</v>
      </c>
      <c r="D2132" t="s">
        <v>4406</v>
      </c>
      <c r="E2132" t="s">
        <v>4406</v>
      </c>
      <c r="F2132" t="s">
        <v>4454</v>
      </c>
      <c r="G2132" t="s">
        <v>4406</v>
      </c>
      <c r="H2132" t="s">
        <v>4406</v>
      </c>
    </row>
    <row r="2133" spans="1:8" x14ac:dyDescent="0.25">
      <c r="A2133" t="s">
        <v>5561</v>
      </c>
      <c r="B2133">
        <v>8</v>
      </c>
      <c r="C2133" t="s">
        <v>4468</v>
      </c>
      <c r="D2133" t="s">
        <v>4479</v>
      </c>
      <c r="E2133" t="s">
        <v>4406</v>
      </c>
      <c r="F2133" t="s">
        <v>4479</v>
      </c>
      <c r="G2133" t="s">
        <v>4406</v>
      </c>
      <c r="H2133" t="s">
        <v>4462</v>
      </c>
    </row>
    <row r="2134" spans="1:8" x14ac:dyDescent="0.25">
      <c r="A2134" t="s">
        <v>1416</v>
      </c>
      <c r="B2134">
        <v>19</v>
      </c>
      <c r="C2134" t="s">
        <v>5072</v>
      </c>
      <c r="D2134" t="s">
        <v>4600</v>
      </c>
      <c r="E2134" t="s">
        <v>4406</v>
      </c>
      <c r="F2134" t="s">
        <v>4406</v>
      </c>
      <c r="G2134" t="s">
        <v>4406</v>
      </c>
      <c r="H2134" t="s">
        <v>4640</v>
      </c>
    </row>
    <row r="2135" spans="1:8" x14ac:dyDescent="0.25">
      <c r="A2135" t="s">
        <v>1296</v>
      </c>
      <c r="B2135">
        <v>297</v>
      </c>
      <c r="C2135" t="s">
        <v>4629</v>
      </c>
      <c r="D2135" t="s">
        <v>4630</v>
      </c>
      <c r="E2135" t="s">
        <v>4424</v>
      </c>
      <c r="F2135" t="s">
        <v>4539</v>
      </c>
      <c r="G2135" t="s">
        <v>4808</v>
      </c>
      <c r="H2135" t="s">
        <v>4940</v>
      </c>
    </row>
    <row r="2137" spans="1:8" x14ac:dyDescent="0.25">
      <c r="A2137" t="s">
        <v>5826</v>
      </c>
    </row>
    <row r="2138" spans="1:8" x14ac:dyDescent="0.25">
      <c r="A2138" t="s">
        <v>5481</v>
      </c>
      <c r="B2138" t="s">
        <v>4394</v>
      </c>
      <c r="C2138" t="s">
        <v>4438</v>
      </c>
      <c r="D2138" t="s">
        <v>4439</v>
      </c>
      <c r="E2138" t="s">
        <v>1400</v>
      </c>
      <c r="F2138" t="s">
        <v>5566</v>
      </c>
      <c r="G2138" t="s">
        <v>1426</v>
      </c>
      <c r="H2138" t="s">
        <v>1372</v>
      </c>
    </row>
    <row r="2139" spans="1:8" x14ac:dyDescent="0.25">
      <c r="A2139" t="s">
        <v>4438</v>
      </c>
      <c r="B2139">
        <v>129</v>
      </c>
      <c r="C2139" t="s">
        <v>4597</v>
      </c>
      <c r="D2139" t="s">
        <v>4493</v>
      </c>
      <c r="E2139" t="s">
        <v>4406</v>
      </c>
      <c r="F2139" t="s">
        <v>4406</v>
      </c>
      <c r="G2139" t="s">
        <v>4406</v>
      </c>
      <c r="H2139" t="s">
        <v>4917</v>
      </c>
    </row>
    <row r="2140" spans="1:8" x14ac:dyDescent="0.25">
      <c r="A2140" t="s">
        <v>4439</v>
      </c>
      <c r="B2140">
        <v>93</v>
      </c>
      <c r="C2140" t="s">
        <v>4581</v>
      </c>
      <c r="D2140" t="s">
        <v>5440</v>
      </c>
      <c r="E2140" t="s">
        <v>4746</v>
      </c>
      <c r="F2140" t="s">
        <v>4406</v>
      </c>
      <c r="G2140" t="s">
        <v>4406</v>
      </c>
      <c r="H2140" t="s">
        <v>4713</v>
      </c>
    </row>
    <row r="2141" spans="1:8" x14ac:dyDescent="0.25">
      <c r="A2141" t="s">
        <v>1400</v>
      </c>
      <c r="B2141">
        <v>5</v>
      </c>
      <c r="C2141" t="s">
        <v>4472</v>
      </c>
      <c r="D2141" t="s">
        <v>4406</v>
      </c>
      <c r="E2141" t="s">
        <v>4458</v>
      </c>
      <c r="F2141" t="s">
        <v>4406</v>
      </c>
      <c r="G2141" t="s">
        <v>4472</v>
      </c>
      <c r="H2141" t="s">
        <v>4472</v>
      </c>
    </row>
    <row r="2142" spans="1:8" x14ac:dyDescent="0.25">
      <c r="A2142" t="s">
        <v>5566</v>
      </c>
      <c r="B2142">
        <v>36</v>
      </c>
      <c r="C2142" t="s">
        <v>4406</v>
      </c>
      <c r="D2142" t="s">
        <v>4406</v>
      </c>
      <c r="E2142" t="s">
        <v>4406</v>
      </c>
      <c r="F2142" t="s">
        <v>4454</v>
      </c>
      <c r="G2142" t="s">
        <v>4406</v>
      </c>
      <c r="H2142" t="s">
        <v>4406</v>
      </c>
    </row>
    <row r="2143" spans="1:8" x14ac:dyDescent="0.25">
      <c r="A2143" t="s">
        <v>1372</v>
      </c>
      <c r="B2143">
        <v>34</v>
      </c>
      <c r="C2143" t="s">
        <v>4515</v>
      </c>
      <c r="D2143" t="s">
        <v>4617</v>
      </c>
      <c r="E2143" t="s">
        <v>4406</v>
      </c>
      <c r="F2143" t="s">
        <v>4406</v>
      </c>
      <c r="G2143" t="s">
        <v>4406</v>
      </c>
      <c r="H2143" t="s">
        <v>5164</v>
      </c>
    </row>
    <row r="2144" spans="1:8" x14ac:dyDescent="0.25">
      <c r="A2144" t="s">
        <v>1296</v>
      </c>
      <c r="B2144">
        <v>297</v>
      </c>
      <c r="C2144" t="s">
        <v>4629</v>
      </c>
      <c r="D2144" t="s">
        <v>4630</v>
      </c>
      <c r="E2144" t="s">
        <v>4424</v>
      </c>
      <c r="F2144" t="s">
        <v>4539</v>
      </c>
      <c r="G2144" t="s">
        <v>4808</v>
      </c>
      <c r="H2144" t="s">
        <v>4940</v>
      </c>
    </row>
    <row r="2146" spans="1:8" x14ac:dyDescent="0.25">
      <c r="A2146" t="s">
        <v>5827</v>
      </c>
    </row>
    <row r="2147" spans="1:8" x14ac:dyDescent="0.25">
      <c r="A2147" t="s">
        <v>903</v>
      </c>
      <c r="B2147" t="s">
        <v>4394</v>
      </c>
      <c r="C2147" t="s">
        <v>4438</v>
      </c>
      <c r="D2147" t="s">
        <v>4439</v>
      </c>
      <c r="E2147" t="s">
        <v>1400</v>
      </c>
      <c r="F2147" t="s">
        <v>5566</v>
      </c>
      <c r="G2147" t="s">
        <v>1426</v>
      </c>
      <c r="H2147" t="s">
        <v>1372</v>
      </c>
    </row>
    <row r="2148" spans="1:8" x14ac:dyDescent="0.25">
      <c r="A2148" t="s">
        <v>70</v>
      </c>
      <c r="B2148">
        <v>85</v>
      </c>
      <c r="C2148" t="s">
        <v>4568</v>
      </c>
      <c r="D2148" t="s">
        <v>4514</v>
      </c>
      <c r="E2148" t="s">
        <v>4422</v>
      </c>
      <c r="F2148" t="s">
        <v>4423</v>
      </c>
      <c r="G2148" t="s">
        <v>4422</v>
      </c>
      <c r="H2148" t="s">
        <v>4619</v>
      </c>
    </row>
    <row r="2149" spans="1:8" x14ac:dyDescent="0.25">
      <c r="A2149" t="s">
        <v>71</v>
      </c>
      <c r="B2149">
        <v>212</v>
      </c>
      <c r="C2149" t="s">
        <v>4839</v>
      </c>
      <c r="D2149" t="s">
        <v>4496</v>
      </c>
      <c r="E2149" t="s">
        <v>4649</v>
      </c>
      <c r="F2149" t="s">
        <v>4599</v>
      </c>
      <c r="G2149" t="s">
        <v>4406</v>
      </c>
      <c r="H2149" t="s">
        <v>4656</v>
      </c>
    </row>
    <row r="2150" spans="1:8" x14ac:dyDescent="0.25">
      <c r="A2150" t="s">
        <v>1296</v>
      </c>
      <c r="B2150">
        <v>297</v>
      </c>
      <c r="C2150" t="s">
        <v>4629</v>
      </c>
      <c r="D2150" t="s">
        <v>4630</v>
      </c>
      <c r="E2150" t="s">
        <v>4424</v>
      </c>
      <c r="F2150" t="s">
        <v>4539</v>
      </c>
      <c r="G2150" t="s">
        <v>4808</v>
      </c>
      <c r="H2150" t="s">
        <v>4940</v>
      </c>
    </row>
    <row r="2152" spans="1:8" x14ac:dyDescent="0.25">
      <c r="A2152" t="s">
        <v>5495</v>
      </c>
    </row>
    <row r="2153" spans="1:8" x14ac:dyDescent="0.25">
      <c r="A2153" t="s">
        <v>1297</v>
      </c>
      <c r="B2153" t="s">
        <v>4394</v>
      </c>
      <c r="C2153" t="s">
        <v>4438</v>
      </c>
      <c r="D2153" t="s">
        <v>4439</v>
      </c>
      <c r="E2153" t="s">
        <v>1400</v>
      </c>
      <c r="F2153" t="s">
        <v>5566</v>
      </c>
      <c r="G2153" t="s">
        <v>1372</v>
      </c>
    </row>
    <row r="2154" spans="1:8" x14ac:dyDescent="0.25">
      <c r="A2154" t="s">
        <v>5549</v>
      </c>
      <c r="B2154">
        <v>198</v>
      </c>
      <c r="C2154" t="s">
        <v>4452</v>
      </c>
      <c r="D2154" t="s">
        <v>4561</v>
      </c>
      <c r="E2154" t="s">
        <v>4645</v>
      </c>
      <c r="F2154" t="s">
        <v>4589</v>
      </c>
      <c r="G2154" t="s">
        <v>4999</v>
      </c>
    </row>
    <row r="2155" spans="1:8" x14ac:dyDescent="0.25">
      <c r="A2155" t="s">
        <v>1397</v>
      </c>
      <c r="B2155">
        <v>99</v>
      </c>
      <c r="C2155" t="s">
        <v>4807</v>
      </c>
      <c r="D2155" t="s">
        <v>4532</v>
      </c>
      <c r="E2155" t="s">
        <v>4406</v>
      </c>
      <c r="F2155" t="s">
        <v>4852</v>
      </c>
      <c r="G2155" t="s">
        <v>4852</v>
      </c>
    </row>
    <row r="2156" spans="1:8" x14ac:dyDescent="0.25">
      <c r="A2156" t="s">
        <v>1296</v>
      </c>
      <c r="B2156">
        <v>297</v>
      </c>
      <c r="C2156" t="s">
        <v>4719</v>
      </c>
      <c r="D2156" t="s">
        <v>4520</v>
      </c>
      <c r="E2156" t="s">
        <v>4419</v>
      </c>
      <c r="F2156" t="s">
        <v>4539</v>
      </c>
      <c r="G2156" t="s">
        <v>4637</v>
      </c>
    </row>
    <row r="2158" spans="1:8" x14ac:dyDescent="0.25">
      <c r="A2158" t="s">
        <v>5496</v>
      </c>
    </row>
    <row r="2159" spans="1:8" x14ac:dyDescent="0.25">
      <c r="A2159" t="s">
        <v>905</v>
      </c>
      <c r="B2159" t="s">
        <v>4394</v>
      </c>
      <c r="C2159" t="s">
        <v>4438</v>
      </c>
      <c r="D2159" t="s">
        <v>4439</v>
      </c>
      <c r="E2159" t="s">
        <v>1400</v>
      </c>
      <c r="F2159" t="s">
        <v>5566</v>
      </c>
      <c r="G2159" t="s">
        <v>1372</v>
      </c>
    </row>
    <row r="2160" spans="1:8" x14ac:dyDescent="0.25">
      <c r="A2160" t="s">
        <v>4844</v>
      </c>
      <c r="B2160">
        <v>36</v>
      </c>
      <c r="C2160" t="s">
        <v>4444</v>
      </c>
      <c r="D2160" t="s">
        <v>4702</v>
      </c>
      <c r="E2160" t="s">
        <v>4571</v>
      </c>
      <c r="F2160" t="s">
        <v>4649</v>
      </c>
      <c r="G2160" t="s">
        <v>4676</v>
      </c>
    </row>
    <row r="2161" spans="1:7" x14ac:dyDescent="0.25">
      <c r="A2161" t="s">
        <v>4845</v>
      </c>
      <c r="B2161">
        <v>230</v>
      </c>
      <c r="C2161" t="s">
        <v>5103</v>
      </c>
      <c r="D2161" t="s">
        <v>4708</v>
      </c>
      <c r="E2161" t="s">
        <v>4659</v>
      </c>
      <c r="F2161" t="s">
        <v>4999</v>
      </c>
      <c r="G2161" t="s">
        <v>4869</v>
      </c>
    </row>
    <row r="2162" spans="1:7" x14ac:dyDescent="0.25">
      <c r="A2162" t="s">
        <v>4846</v>
      </c>
      <c r="B2162">
        <v>31</v>
      </c>
      <c r="C2162" t="s">
        <v>4642</v>
      </c>
      <c r="D2162" t="s">
        <v>4862</v>
      </c>
      <c r="E2162" t="s">
        <v>4406</v>
      </c>
      <c r="F2162" t="s">
        <v>4858</v>
      </c>
      <c r="G2162" t="s">
        <v>4420</v>
      </c>
    </row>
    <row r="2163" spans="1:7" x14ac:dyDescent="0.25">
      <c r="A2163" t="s">
        <v>1296</v>
      </c>
      <c r="B2163">
        <v>297</v>
      </c>
      <c r="C2163" t="s">
        <v>4719</v>
      </c>
      <c r="D2163" t="s">
        <v>4520</v>
      </c>
      <c r="E2163" t="s">
        <v>4419</v>
      </c>
      <c r="F2163" t="s">
        <v>4539</v>
      </c>
      <c r="G2163" t="s">
        <v>4637</v>
      </c>
    </row>
    <row r="2165" spans="1:7" x14ac:dyDescent="0.25">
      <c r="A2165" t="s">
        <v>5497</v>
      </c>
    </row>
    <row r="2166" spans="1:7" x14ac:dyDescent="0.25">
      <c r="A2166" t="s">
        <v>906</v>
      </c>
      <c r="B2166" t="s">
        <v>4394</v>
      </c>
      <c r="C2166" t="s">
        <v>4438</v>
      </c>
      <c r="D2166" t="s">
        <v>4439</v>
      </c>
      <c r="E2166" t="s">
        <v>1400</v>
      </c>
      <c r="F2166" t="s">
        <v>5566</v>
      </c>
      <c r="G2166" t="s">
        <v>1372</v>
      </c>
    </row>
    <row r="2167" spans="1:7" x14ac:dyDescent="0.25">
      <c r="A2167" t="s">
        <v>1338</v>
      </c>
      <c r="B2167">
        <v>46</v>
      </c>
      <c r="C2167" t="s">
        <v>4913</v>
      </c>
      <c r="D2167" t="s">
        <v>4549</v>
      </c>
      <c r="E2167" t="s">
        <v>4406</v>
      </c>
      <c r="F2167" t="s">
        <v>4863</v>
      </c>
      <c r="G2167" t="s">
        <v>4863</v>
      </c>
    </row>
    <row r="2168" spans="1:7" x14ac:dyDescent="0.25">
      <c r="A2168" t="s">
        <v>1370</v>
      </c>
      <c r="B2168">
        <v>33</v>
      </c>
      <c r="C2168" t="s">
        <v>4453</v>
      </c>
      <c r="D2168" t="s">
        <v>4560</v>
      </c>
      <c r="E2168" t="s">
        <v>4406</v>
      </c>
      <c r="F2168" t="s">
        <v>4741</v>
      </c>
      <c r="G2168" t="s">
        <v>4863</v>
      </c>
    </row>
    <row r="2169" spans="1:7" x14ac:dyDescent="0.25">
      <c r="A2169" t="s">
        <v>1439</v>
      </c>
      <c r="B2169">
        <v>21</v>
      </c>
      <c r="C2169" t="s">
        <v>4450</v>
      </c>
      <c r="D2169" t="s">
        <v>4497</v>
      </c>
      <c r="E2169" t="s">
        <v>4406</v>
      </c>
      <c r="F2169" t="s">
        <v>4556</v>
      </c>
      <c r="G2169" t="s">
        <v>4675</v>
      </c>
    </row>
    <row r="2170" spans="1:7" x14ac:dyDescent="0.25">
      <c r="A2170" t="s">
        <v>1476</v>
      </c>
      <c r="B2170">
        <v>71</v>
      </c>
      <c r="C2170" t="s">
        <v>5120</v>
      </c>
      <c r="D2170" t="s">
        <v>5155</v>
      </c>
      <c r="E2170" t="s">
        <v>4571</v>
      </c>
      <c r="F2170" t="s">
        <v>4750</v>
      </c>
      <c r="G2170" t="s">
        <v>4869</v>
      </c>
    </row>
    <row r="2171" spans="1:7" x14ac:dyDescent="0.25">
      <c r="A2171" t="s">
        <v>5476</v>
      </c>
      <c r="B2171">
        <v>6</v>
      </c>
      <c r="C2171" t="s">
        <v>4596</v>
      </c>
      <c r="D2171" t="s">
        <v>4596</v>
      </c>
      <c r="E2171" t="s">
        <v>4596</v>
      </c>
      <c r="F2171" t="s">
        <v>4596</v>
      </c>
      <c r="G2171" t="s">
        <v>4465</v>
      </c>
    </row>
    <row r="2172" spans="1:7" x14ac:dyDescent="0.25">
      <c r="A2172" t="s">
        <v>1399</v>
      </c>
      <c r="B2172">
        <v>44</v>
      </c>
      <c r="C2172" t="s">
        <v>4468</v>
      </c>
      <c r="D2172" t="s">
        <v>4568</v>
      </c>
      <c r="E2172" t="s">
        <v>4406</v>
      </c>
      <c r="F2172" t="s">
        <v>4637</v>
      </c>
      <c r="G2172" t="s">
        <v>4691</v>
      </c>
    </row>
    <row r="2173" spans="1:7" x14ac:dyDescent="0.25">
      <c r="A2173" t="s">
        <v>1415</v>
      </c>
      <c r="B2173">
        <v>76</v>
      </c>
      <c r="C2173" t="s">
        <v>5180</v>
      </c>
      <c r="D2173" t="s">
        <v>4511</v>
      </c>
      <c r="E2173" t="s">
        <v>4406</v>
      </c>
      <c r="F2173" t="s">
        <v>4754</v>
      </c>
      <c r="G2173" t="s">
        <v>4600</v>
      </c>
    </row>
    <row r="2174" spans="1:7" x14ac:dyDescent="0.25">
      <c r="A2174" t="s">
        <v>1296</v>
      </c>
      <c r="B2174">
        <v>297</v>
      </c>
      <c r="C2174" t="s">
        <v>4719</v>
      </c>
      <c r="D2174" t="s">
        <v>4520</v>
      </c>
      <c r="E2174" t="s">
        <v>4419</v>
      </c>
      <c r="F2174" t="s">
        <v>4539</v>
      </c>
      <c r="G2174" t="s">
        <v>4637</v>
      </c>
    </row>
    <row r="2176" spans="1:7" x14ac:dyDescent="0.25">
      <c r="A2176" t="s">
        <v>5828</v>
      </c>
    </row>
    <row r="2177" spans="1:7" x14ac:dyDescent="0.25">
      <c r="A2177" t="s">
        <v>907</v>
      </c>
      <c r="B2177" t="s">
        <v>4394</v>
      </c>
      <c r="C2177" t="s">
        <v>4438</v>
      </c>
      <c r="D2177" t="s">
        <v>4439</v>
      </c>
      <c r="E2177" t="s">
        <v>1400</v>
      </c>
      <c r="F2177" t="s">
        <v>5566</v>
      </c>
      <c r="G2177" t="s">
        <v>1372</v>
      </c>
    </row>
    <row r="2178" spans="1:7" x14ac:dyDescent="0.25">
      <c r="A2178" t="s">
        <v>109</v>
      </c>
      <c r="B2178">
        <v>257</v>
      </c>
      <c r="C2178" t="s">
        <v>4816</v>
      </c>
      <c r="D2178" t="s">
        <v>4862</v>
      </c>
      <c r="E2178" t="s">
        <v>4952</v>
      </c>
      <c r="F2178" t="s">
        <v>4706</v>
      </c>
      <c r="G2178" t="s">
        <v>4564</v>
      </c>
    </row>
    <row r="2179" spans="1:7" x14ac:dyDescent="0.25">
      <c r="A2179" t="s">
        <v>192</v>
      </c>
      <c r="B2179">
        <v>40</v>
      </c>
      <c r="C2179" t="s">
        <v>4594</v>
      </c>
      <c r="D2179" t="s">
        <v>4462</v>
      </c>
      <c r="E2179" t="s">
        <v>4406</v>
      </c>
      <c r="F2179" t="s">
        <v>4650</v>
      </c>
      <c r="G2179" t="s">
        <v>4480</v>
      </c>
    </row>
    <row r="2180" spans="1:7" x14ac:dyDescent="0.25">
      <c r="A2180" t="s">
        <v>1296</v>
      </c>
      <c r="B2180">
        <v>297</v>
      </c>
      <c r="C2180" t="s">
        <v>4719</v>
      </c>
      <c r="D2180" t="s">
        <v>4520</v>
      </c>
      <c r="E2180" t="s">
        <v>4419</v>
      </c>
      <c r="F2180" t="s">
        <v>4539</v>
      </c>
      <c r="G2180" t="s">
        <v>4637</v>
      </c>
    </row>
    <row r="2182" spans="1:7" x14ac:dyDescent="0.25">
      <c r="A2182" t="s">
        <v>5829</v>
      </c>
    </row>
    <row r="2183" spans="1:7" x14ac:dyDescent="0.25">
      <c r="A2183" t="s">
        <v>1295</v>
      </c>
      <c r="B2183" t="s">
        <v>4394</v>
      </c>
      <c r="C2183" t="s">
        <v>4438</v>
      </c>
      <c r="D2183" t="s">
        <v>4439</v>
      </c>
      <c r="E2183" t="s">
        <v>1400</v>
      </c>
      <c r="F2183" t="s">
        <v>5566</v>
      </c>
      <c r="G2183" t="s">
        <v>1372</v>
      </c>
    </row>
    <row r="2184" spans="1:7" x14ac:dyDescent="0.25">
      <c r="A2184" t="s">
        <v>4395</v>
      </c>
      <c r="B2184">
        <v>32</v>
      </c>
      <c r="C2184" t="s">
        <v>4462</v>
      </c>
      <c r="D2184" t="s">
        <v>4468</v>
      </c>
      <c r="E2184" t="s">
        <v>4406</v>
      </c>
      <c r="F2184" t="s">
        <v>4543</v>
      </c>
      <c r="G2184" t="s">
        <v>4950</v>
      </c>
    </row>
    <row r="2185" spans="1:7" x14ac:dyDescent="0.25">
      <c r="A2185" t="s">
        <v>4396</v>
      </c>
      <c r="B2185">
        <v>169</v>
      </c>
      <c r="C2185" t="s">
        <v>4961</v>
      </c>
      <c r="D2185" t="s">
        <v>5264</v>
      </c>
      <c r="E2185" t="s">
        <v>4626</v>
      </c>
      <c r="F2185" t="s">
        <v>5084</v>
      </c>
      <c r="G2185" t="s">
        <v>5084</v>
      </c>
    </row>
    <row r="2186" spans="1:7" x14ac:dyDescent="0.25">
      <c r="A2186" t="s">
        <v>4397</v>
      </c>
      <c r="B2186">
        <v>2</v>
      </c>
      <c r="C2186" t="s">
        <v>4468</v>
      </c>
      <c r="D2186" t="s">
        <v>4468</v>
      </c>
      <c r="E2186" t="s">
        <v>4406</v>
      </c>
      <c r="F2186" t="s">
        <v>4406</v>
      </c>
      <c r="G2186" t="s">
        <v>4406</v>
      </c>
    </row>
    <row r="2187" spans="1:7" x14ac:dyDescent="0.25">
      <c r="A2187" t="s">
        <v>4398</v>
      </c>
      <c r="B2187">
        <v>92</v>
      </c>
      <c r="C2187" t="s">
        <v>4532</v>
      </c>
      <c r="D2187" t="s">
        <v>4755</v>
      </c>
      <c r="E2187" t="s">
        <v>4406</v>
      </c>
      <c r="F2187" t="s">
        <v>4681</v>
      </c>
      <c r="G2187" t="s">
        <v>5170</v>
      </c>
    </row>
    <row r="2188" spans="1:7" x14ac:dyDescent="0.25">
      <c r="A2188" t="s">
        <v>4399</v>
      </c>
      <c r="B2188">
        <v>2</v>
      </c>
      <c r="C2188" t="s">
        <v>4468</v>
      </c>
      <c r="D2188" t="s">
        <v>4406</v>
      </c>
      <c r="E2188" t="s">
        <v>4406</v>
      </c>
      <c r="F2188" t="s">
        <v>4406</v>
      </c>
      <c r="G2188" t="s">
        <v>4468</v>
      </c>
    </row>
    <row r="2189" spans="1:7" x14ac:dyDescent="0.25">
      <c r="A2189" t="s">
        <v>1296</v>
      </c>
      <c r="B2189">
        <v>297</v>
      </c>
      <c r="C2189" t="s">
        <v>4719</v>
      </c>
      <c r="D2189" t="s">
        <v>4520</v>
      </c>
      <c r="E2189" t="s">
        <v>4419</v>
      </c>
      <c r="F2189" t="s">
        <v>4539</v>
      </c>
      <c r="G2189" t="s">
        <v>4637</v>
      </c>
    </row>
    <row r="2191" spans="1:7" x14ac:dyDescent="0.25">
      <c r="A2191" t="s">
        <v>5830</v>
      </c>
    </row>
    <row r="2192" spans="1:7" x14ac:dyDescent="0.25">
      <c r="A2192" t="s">
        <v>910</v>
      </c>
      <c r="B2192" t="s">
        <v>4394</v>
      </c>
      <c r="C2192" t="s">
        <v>4438</v>
      </c>
      <c r="D2192" t="s">
        <v>4439</v>
      </c>
      <c r="E2192" t="s">
        <v>1400</v>
      </c>
      <c r="F2192" t="s">
        <v>5566</v>
      </c>
      <c r="G2192" t="s">
        <v>1372</v>
      </c>
    </row>
    <row r="2193" spans="1:7" x14ac:dyDescent="0.25">
      <c r="A2193" t="s">
        <v>1371</v>
      </c>
      <c r="B2193">
        <v>42</v>
      </c>
      <c r="C2193" t="s">
        <v>5301</v>
      </c>
      <c r="D2193" t="s">
        <v>4450</v>
      </c>
      <c r="E2193" t="s">
        <v>4406</v>
      </c>
      <c r="F2193" t="s">
        <v>4424</v>
      </c>
      <c r="G2193" t="s">
        <v>4675</v>
      </c>
    </row>
    <row r="2194" spans="1:7" x14ac:dyDescent="0.25">
      <c r="A2194" t="s">
        <v>1452</v>
      </c>
      <c r="B2194">
        <v>18</v>
      </c>
      <c r="C2194" t="s">
        <v>4469</v>
      </c>
      <c r="D2194" t="s">
        <v>4676</v>
      </c>
      <c r="E2194" t="s">
        <v>4406</v>
      </c>
      <c r="F2194" t="s">
        <v>4571</v>
      </c>
      <c r="G2194" t="s">
        <v>4596</v>
      </c>
    </row>
    <row r="2195" spans="1:7" x14ac:dyDescent="0.25">
      <c r="A2195" t="s">
        <v>5560</v>
      </c>
      <c r="B2195">
        <v>59</v>
      </c>
      <c r="C2195" t="s">
        <v>4518</v>
      </c>
      <c r="D2195" t="s">
        <v>4517</v>
      </c>
      <c r="E2195" t="s">
        <v>4627</v>
      </c>
      <c r="F2195" t="s">
        <v>4419</v>
      </c>
      <c r="G2195" t="s">
        <v>4703</v>
      </c>
    </row>
    <row r="2196" spans="1:7" x14ac:dyDescent="0.25">
      <c r="A2196" t="s">
        <v>1424</v>
      </c>
      <c r="B2196">
        <v>120</v>
      </c>
      <c r="C2196" t="s">
        <v>4702</v>
      </c>
      <c r="D2196" t="s">
        <v>4702</v>
      </c>
      <c r="E2196" t="s">
        <v>4419</v>
      </c>
      <c r="F2196" t="s">
        <v>4417</v>
      </c>
      <c r="G2196" t="s">
        <v>4647</v>
      </c>
    </row>
    <row r="2197" spans="1:7" x14ac:dyDescent="0.25">
      <c r="A2197" t="s">
        <v>1340</v>
      </c>
      <c r="B2197">
        <v>31</v>
      </c>
      <c r="C2197" t="s">
        <v>4406</v>
      </c>
      <c r="D2197" t="s">
        <v>4406</v>
      </c>
      <c r="E2197" t="s">
        <v>4406</v>
      </c>
      <c r="F2197" t="s">
        <v>4454</v>
      </c>
      <c r="G2197" t="s">
        <v>4406</v>
      </c>
    </row>
    <row r="2198" spans="1:7" x14ac:dyDescent="0.25">
      <c r="A2198" t="s">
        <v>5561</v>
      </c>
      <c r="B2198">
        <v>8</v>
      </c>
      <c r="C2198" t="s">
        <v>4793</v>
      </c>
      <c r="D2198" t="s">
        <v>4479</v>
      </c>
      <c r="E2198" t="s">
        <v>4406</v>
      </c>
      <c r="F2198" t="s">
        <v>4479</v>
      </c>
      <c r="G2198" t="s">
        <v>4406</v>
      </c>
    </row>
    <row r="2199" spans="1:7" x14ac:dyDescent="0.25">
      <c r="A2199" t="s">
        <v>1416</v>
      </c>
      <c r="B2199">
        <v>19</v>
      </c>
      <c r="C2199" t="s">
        <v>4973</v>
      </c>
      <c r="D2199" t="s">
        <v>4640</v>
      </c>
      <c r="E2199" t="s">
        <v>4406</v>
      </c>
      <c r="F2199" t="s">
        <v>4406</v>
      </c>
      <c r="G2199" t="s">
        <v>4867</v>
      </c>
    </row>
    <row r="2200" spans="1:7" x14ac:dyDescent="0.25">
      <c r="A2200" t="s">
        <v>1296</v>
      </c>
      <c r="B2200">
        <v>297</v>
      </c>
      <c r="C2200" t="s">
        <v>4719</v>
      </c>
      <c r="D2200" t="s">
        <v>4520</v>
      </c>
      <c r="E2200" t="s">
        <v>4419</v>
      </c>
      <c r="F2200" t="s">
        <v>4539</v>
      </c>
      <c r="G2200" t="s">
        <v>4637</v>
      </c>
    </row>
    <row r="2202" spans="1:7" x14ac:dyDescent="0.25">
      <c r="A2202" t="s">
        <v>5498</v>
      </c>
    </row>
    <row r="2203" spans="1:7" x14ac:dyDescent="0.25">
      <c r="A2203" t="s">
        <v>903</v>
      </c>
      <c r="B2203" t="s">
        <v>4394</v>
      </c>
      <c r="C2203" t="s">
        <v>4438</v>
      </c>
      <c r="D2203" t="s">
        <v>4439</v>
      </c>
      <c r="E2203" t="s">
        <v>1400</v>
      </c>
      <c r="F2203" t="s">
        <v>5566</v>
      </c>
      <c r="G2203" t="s">
        <v>1372</v>
      </c>
    </row>
    <row r="2204" spans="1:7" x14ac:dyDescent="0.25">
      <c r="A2204" t="s">
        <v>70</v>
      </c>
      <c r="B2204">
        <v>85</v>
      </c>
      <c r="C2204" t="s">
        <v>4786</v>
      </c>
      <c r="D2204" t="s">
        <v>4619</v>
      </c>
      <c r="E2204" t="s">
        <v>4424</v>
      </c>
      <c r="F2204" t="s">
        <v>4423</v>
      </c>
      <c r="G2204" t="s">
        <v>4472</v>
      </c>
    </row>
    <row r="2205" spans="1:7" x14ac:dyDescent="0.25">
      <c r="A2205" t="s">
        <v>71</v>
      </c>
      <c r="B2205">
        <v>212</v>
      </c>
      <c r="C2205" t="s">
        <v>4719</v>
      </c>
      <c r="D2205" t="s">
        <v>4477</v>
      </c>
      <c r="E2205" t="s">
        <v>4750</v>
      </c>
      <c r="F2205" t="s">
        <v>4599</v>
      </c>
      <c r="G2205" t="s">
        <v>4709</v>
      </c>
    </row>
    <row r="2206" spans="1:7" x14ac:dyDescent="0.25">
      <c r="A2206" t="s">
        <v>1296</v>
      </c>
      <c r="B2206">
        <v>297</v>
      </c>
      <c r="C2206" t="s">
        <v>4719</v>
      </c>
      <c r="D2206" t="s">
        <v>4520</v>
      </c>
      <c r="E2206" t="s">
        <v>4419</v>
      </c>
      <c r="F2206" t="s">
        <v>4539</v>
      </c>
      <c r="G2206" t="s">
        <v>4637</v>
      </c>
    </row>
    <row r="2208" spans="1:7" x14ac:dyDescent="0.25">
      <c r="A2208" t="s">
        <v>5831</v>
      </c>
    </row>
    <row r="2209" spans="1:8" x14ac:dyDescent="0.25">
      <c r="A2209" t="s">
        <v>1297</v>
      </c>
      <c r="B2209" t="s">
        <v>4394</v>
      </c>
      <c r="C2209" t="s">
        <v>4438</v>
      </c>
      <c r="D2209" t="s">
        <v>4439</v>
      </c>
      <c r="E2209" t="s">
        <v>1400</v>
      </c>
      <c r="F2209" t="s">
        <v>1340</v>
      </c>
      <c r="G2209" t="s">
        <v>1426</v>
      </c>
      <c r="H2209" t="s">
        <v>1372</v>
      </c>
    </row>
    <row r="2210" spans="1:8" x14ac:dyDescent="0.25">
      <c r="A2210" t="s">
        <v>5549</v>
      </c>
      <c r="B2210">
        <v>198</v>
      </c>
      <c r="C2210" t="s">
        <v>5154</v>
      </c>
      <c r="D2210" t="s">
        <v>4710</v>
      </c>
      <c r="E2210" t="s">
        <v>4403</v>
      </c>
      <c r="F2210" t="s">
        <v>4539</v>
      </c>
      <c r="G2210" t="s">
        <v>4757</v>
      </c>
      <c r="H2210" t="s">
        <v>4589</v>
      </c>
    </row>
    <row r="2211" spans="1:8" x14ac:dyDescent="0.25">
      <c r="A2211" t="s">
        <v>1397</v>
      </c>
      <c r="B2211">
        <v>99</v>
      </c>
      <c r="C2211" t="s">
        <v>4726</v>
      </c>
      <c r="D2211" t="s">
        <v>4743</v>
      </c>
      <c r="E2211" t="s">
        <v>4676</v>
      </c>
      <c r="F2211" t="s">
        <v>4400</v>
      </c>
      <c r="G2211" t="s">
        <v>4883</v>
      </c>
      <c r="H2211" t="s">
        <v>4883</v>
      </c>
    </row>
    <row r="2212" spans="1:8" x14ac:dyDescent="0.25">
      <c r="A2212" t="s">
        <v>1296</v>
      </c>
      <c r="B2212">
        <v>297</v>
      </c>
      <c r="C2212" t="s">
        <v>4519</v>
      </c>
      <c r="D2212" t="s">
        <v>4449</v>
      </c>
      <c r="E2212" t="s">
        <v>4940</v>
      </c>
      <c r="F2212" t="s">
        <v>4677</v>
      </c>
      <c r="G2212" t="s">
        <v>4627</v>
      </c>
      <c r="H2212" t="s">
        <v>4617</v>
      </c>
    </row>
    <row r="2214" spans="1:8" x14ac:dyDescent="0.25">
      <c r="A2214" t="s">
        <v>5832</v>
      </c>
    </row>
    <row r="2215" spans="1:8" x14ac:dyDescent="0.25">
      <c r="A2215" t="s">
        <v>905</v>
      </c>
      <c r="B2215" t="s">
        <v>4394</v>
      </c>
      <c r="C2215" t="s">
        <v>4438</v>
      </c>
      <c r="D2215" t="s">
        <v>4439</v>
      </c>
      <c r="E2215" t="s">
        <v>1400</v>
      </c>
      <c r="F2215" t="s">
        <v>1340</v>
      </c>
      <c r="G2215" t="s">
        <v>1426</v>
      </c>
      <c r="H2215" t="s">
        <v>1372</v>
      </c>
    </row>
    <row r="2216" spans="1:8" x14ac:dyDescent="0.25">
      <c r="A2216" t="s">
        <v>4844</v>
      </c>
      <c r="B2216">
        <v>36</v>
      </c>
      <c r="C2216" t="s">
        <v>4676</v>
      </c>
      <c r="D2216" t="s">
        <v>4444</v>
      </c>
      <c r="E2216" t="s">
        <v>4858</v>
      </c>
      <c r="F2216" t="s">
        <v>4649</v>
      </c>
      <c r="G2216" t="s">
        <v>4676</v>
      </c>
      <c r="H2216" t="s">
        <v>4596</v>
      </c>
    </row>
    <row r="2217" spans="1:8" x14ac:dyDescent="0.25">
      <c r="A2217" t="s">
        <v>4845</v>
      </c>
      <c r="B2217">
        <v>230</v>
      </c>
      <c r="C2217" t="s">
        <v>5177</v>
      </c>
      <c r="D2217" t="s">
        <v>5138</v>
      </c>
      <c r="E2217" t="s">
        <v>4852</v>
      </c>
      <c r="F2217" t="s">
        <v>4677</v>
      </c>
      <c r="G2217" t="s">
        <v>4692</v>
      </c>
      <c r="H2217" t="s">
        <v>4677</v>
      </c>
    </row>
    <row r="2218" spans="1:8" x14ac:dyDescent="0.25">
      <c r="A2218" t="s">
        <v>4846</v>
      </c>
      <c r="B2218">
        <v>31</v>
      </c>
      <c r="C2218" t="s">
        <v>4862</v>
      </c>
      <c r="D2218" t="s">
        <v>4858</v>
      </c>
      <c r="E2218" t="s">
        <v>4670</v>
      </c>
      <c r="F2218" t="s">
        <v>4858</v>
      </c>
      <c r="G2218" t="s">
        <v>4670</v>
      </c>
      <c r="H2218" t="s">
        <v>4641</v>
      </c>
    </row>
    <row r="2219" spans="1:8" x14ac:dyDescent="0.25">
      <c r="A2219" t="s">
        <v>1296</v>
      </c>
      <c r="B2219">
        <v>297</v>
      </c>
      <c r="C2219" t="s">
        <v>4519</v>
      </c>
      <c r="D2219" t="s">
        <v>4449</v>
      </c>
      <c r="E2219" t="s">
        <v>4940</v>
      </c>
      <c r="F2219" t="s">
        <v>4677</v>
      </c>
      <c r="G2219" t="s">
        <v>4627</v>
      </c>
      <c r="H2219" t="s">
        <v>4617</v>
      </c>
    </row>
    <row r="2221" spans="1:8" x14ac:dyDescent="0.25">
      <c r="A2221" t="s">
        <v>5833</v>
      </c>
    </row>
    <row r="2222" spans="1:8" x14ac:dyDescent="0.25">
      <c r="A2222" t="s">
        <v>906</v>
      </c>
      <c r="B2222" t="s">
        <v>4394</v>
      </c>
      <c r="C2222" t="s">
        <v>4438</v>
      </c>
      <c r="D2222" t="s">
        <v>4439</v>
      </c>
      <c r="E2222" t="s">
        <v>1400</v>
      </c>
      <c r="F2222" t="s">
        <v>1340</v>
      </c>
      <c r="G2222" t="s">
        <v>1426</v>
      </c>
      <c r="H2222" t="s">
        <v>1372</v>
      </c>
    </row>
    <row r="2223" spans="1:8" x14ac:dyDescent="0.25">
      <c r="A2223" t="s">
        <v>1338</v>
      </c>
      <c r="B2223">
        <v>46</v>
      </c>
      <c r="C2223" t="s">
        <v>4755</v>
      </c>
      <c r="D2223" t="s">
        <v>5175</v>
      </c>
      <c r="E2223" t="s">
        <v>4670</v>
      </c>
      <c r="F2223" t="s">
        <v>4863</v>
      </c>
      <c r="G2223" t="s">
        <v>4406</v>
      </c>
      <c r="H2223" t="s">
        <v>4684</v>
      </c>
    </row>
    <row r="2224" spans="1:8" x14ac:dyDescent="0.25">
      <c r="A2224" t="s">
        <v>1370</v>
      </c>
      <c r="B2224">
        <v>33</v>
      </c>
      <c r="C2224" t="s">
        <v>5118</v>
      </c>
      <c r="D2224" t="s">
        <v>4532</v>
      </c>
      <c r="E2224" t="s">
        <v>4852</v>
      </c>
      <c r="F2224" t="s">
        <v>4741</v>
      </c>
      <c r="G2224" t="s">
        <v>4626</v>
      </c>
      <c r="H2224" t="s">
        <v>4405</v>
      </c>
    </row>
    <row r="2225" spans="1:8" x14ac:dyDescent="0.25">
      <c r="A2225" t="s">
        <v>1439</v>
      </c>
      <c r="B2225">
        <v>21</v>
      </c>
      <c r="C2225" t="s">
        <v>4785</v>
      </c>
      <c r="D2225" t="s">
        <v>4497</v>
      </c>
      <c r="E2225" t="s">
        <v>4675</v>
      </c>
      <c r="F2225" t="s">
        <v>4522</v>
      </c>
      <c r="G2225" t="s">
        <v>4675</v>
      </c>
      <c r="H2225" t="s">
        <v>4675</v>
      </c>
    </row>
    <row r="2226" spans="1:8" x14ac:dyDescent="0.25">
      <c r="A2226" t="s">
        <v>1476</v>
      </c>
      <c r="B2226">
        <v>71</v>
      </c>
      <c r="C2226" t="s">
        <v>4701</v>
      </c>
      <c r="D2226" t="s">
        <v>5120</v>
      </c>
      <c r="E2226" t="s">
        <v>4541</v>
      </c>
      <c r="F2226" t="s">
        <v>4750</v>
      </c>
      <c r="G2226" t="s">
        <v>4861</v>
      </c>
      <c r="H2226" t="s">
        <v>4701</v>
      </c>
    </row>
    <row r="2227" spans="1:8" x14ac:dyDescent="0.25">
      <c r="A2227" t="s">
        <v>5476</v>
      </c>
      <c r="B2227">
        <v>6</v>
      </c>
      <c r="C2227" t="s">
        <v>4596</v>
      </c>
      <c r="D2227" t="s">
        <v>4465</v>
      </c>
      <c r="E2227" t="s">
        <v>4406</v>
      </c>
      <c r="F2227" t="s">
        <v>4406</v>
      </c>
      <c r="G2227" t="s">
        <v>4596</v>
      </c>
      <c r="H2227" t="s">
        <v>4465</v>
      </c>
    </row>
    <row r="2228" spans="1:8" x14ac:dyDescent="0.25">
      <c r="A2228" t="s">
        <v>1399</v>
      </c>
      <c r="B2228">
        <v>44</v>
      </c>
      <c r="C2228" t="s">
        <v>4726</v>
      </c>
      <c r="D2228" t="s">
        <v>4568</v>
      </c>
      <c r="E2228" t="s">
        <v>4637</v>
      </c>
      <c r="F2228" t="s">
        <v>4852</v>
      </c>
      <c r="G2228" t="s">
        <v>4637</v>
      </c>
      <c r="H2228" t="s">
        <v>4689</v>
      </c>
    </row>
    <row r="2229" spans="1:8" x14ac:dyDescent="0.25">
      <c r="A2229" t="s">
        <v>1415</v>
      </c>
      <c r="B2229">
        <v>76</v>
      </c>
      <c r="C2229" t="s">
        <v>4491</v>
      </c>
      <c r="D2229" t="s">
        <v>4820</v>
      </c>
      <c r="E2229" t="s">
        <v>4742</v>
      </c>
      <c r="F2229" t="s">
        <v>4527</v>
      </c>
      <c r="G2229" t="s">
        <v>4659</v>
      </c>
      <c r="H2229" t="s">
        <v>5014</v>
      </c>
    </row>
    <row r="2230" spans="1:8" x14ac:dyDescent="0.25">
      <c r="A2230" t="s">
        <v>1296</v>
      </c>
      <c r="B2230">
        <v>297</v>
      </c>
      <c r="C2230" t="s">
        <v>4519</v>
      </c>
      <c r="D2230" t="s">
        <v>4449</v>
      </c>
      <c r="E2230" t="s">
        <v>4940</v>
      </c>
      <c r="F2230" t="s">
        <v>4677</v>
      </c>
      <c r="G2230" t="s">
        <v>4627</v>
      </c>
      <c r="H2230" t="s">
        <v>4617</v>
      </c>
    </row>
    <row r="2232" spans="1:8" x14ac:dyDescent="0.25">
      <c r="A2232" t="s">
        <v>5834</v>
      </c>
    </row>
    <row r="2233" spans="1:8" x14ac:dyDescent="0.25">
      <c r="A2233" t="s">
        <v>907</v>
      </c>
      <c r="B2233" t="s">
        <v>4394</v>
      </c>
      <c r="C2233" t="s">
        <v>4438</v>
      </c>
      <c r="D2233" t="s">
        <v>4439</v>
      </c>
      <c r="E2233" t="s">
        <v>1400</v>
      </c>
      <c r="F2233" t="s">
        <v>1340</v>
      </c>
      <c r="G2233" t="s">
        <v>1426</v>
      </c>
      <c r="H2233" t="s">
        <v>1372</v>
      </c>
    </row>
    <row r="2234" spans="1:8" x14ac:dyDescent="0.25">
      <c r="A2234" t="s">
        <v>109</v>
      </c>
      <c r="B2234">
        <v>257</v>
      </c>
      <c r="C2234" t="s">
        <v>4526</v>
      </c>
      <c r="D2234" t="s">
        <v>5138</v>
      </c>
      <c r="E2234" t="s">
        <v>4940</v>
      </c>
      <c r="F2234" t="s">
        <v>4869</v>
      </c>
      <c r="G2234" t="s">
        <v>4627</v>
      </c>
      <c r="H2234" t="s">
        <v>4564</v>
      </c>
    </row>
    <row r="2235" spans="1:8" x14ac:dyDescent="0.25">
      <c r="A2235" t="s">
        <v>192</v>
      </c>
      <c r="B2235">
        <v>40</v>
      </c>
      <c r="C2235" t="s">
        <v>4489</v>
      </c>
      <c r="D2235" t="s">
        <v>4462</v>
      </c>
      <c r="E2235" t="s">
        <v>4646</v>
      </c>
      <c r="F2235" t="s">
        <v>4758</v>
      </c>
      <c r="G2235" t="s">
        <v>4758</v>
      </c>
      <c r="H2235" t="s">
        <v>4462</v>
      </c>
    </row>
    <row r="2236" spans="1:8" x14ac:dyDescent="0.25">
      <c r="A2236" t="s">
        <v>1296</v>
      </c>
      <c r="B2236">
        <v>297</v>
      </c>
      <c r="C2236" t="s">
        <v>4519</v>
      </c>
      <c r="D2236" t="s">
        <v>4449</v>
      </c>
      <c r="E2236" t="s">
        <v>4940</v>
      </c>
      <c r="F2236" t="s">
        <v>4677</v>
      </c>
      <c r="G2236" t="s">
        <v>4627</v>
      </c>
      <c r="H2236" t="s">
        <v>4617</v>
      </c>
    </row>
    <row r="2238" spans="1:8" x14ac:dyDescent="0.25">
      <c r="A2238" t="s">
        <v>5835</v>
      </c>
    </row>
    <row r="2239" spans="1:8" x14ac:dyDescent="0.25">
      <c r="A2239" t="s">
        <v>1295</v>
      </c>
      <c r="B2239" t="s">
        <v>4394</v>
      </c>
      <c r="C2239" t="s">
        <v>4438</v>
      </c>
      <c r="D2239" t="s">
        <v>4439</v>
      </c>
      <c r="E2239" t="s">
        <v>1400</v>
      </c>
      <c r="F2239" t="s">
        <v>1340</v>
      </c>
      <c r="G2239" t="s">
        <v>1426</v>
      </c>
      <c r="H2239" t="s">
        <v>1372</v>
      </c>
    </row>
    <row r="2240" spans="1:8" x14ac:dyDescent="0.25">
      <c r="A2240" t="s">
        <v>4395</v>
      </c>
      <c r="B2240">
        <v>32</v>
      </c>
      <c r="C2240" t="s">
        <v>4944</v>
      </c>
      <c r="D2240" t="s">
        <v>4916</v>
      </c>
      <c r="E2240" t="s">
        <v>4695</v>
      </c>
      <c r="F2240" t="s">
        <v>4950</v>
      </c>
      <c r="G2240" t="s">
        <v>4950</v>
      </c>
      <c r="H2240" t="s">
        <v>4543</v>
      </c>
    </row>
    <row r="2241" spans="1:8" x14ac:dyDescent="0.25">
      <c r="A2241" t="s">
        <v>4396</v>
      </c>
      <c r="B2241">
        <v>169</v>
      </c>
      <c r="C2241" t="s">
        <v>4460</v>
      </c>
      <c r="D2241" t="s">
        <v>4535</v>
      </c>
      <c r="E2241" t="s">
        <v>4617</v>
      </c>
      <c r="F2241" t="s">
        <v>5064</v>
      </c>
      <c r="G2241" t="s">
        <v>4626</v>
      </c>
      <c r="H2241" t="s">
        <v>4647</v>
      </c>
    </row>
    <row r="2242" spans="1:8" x14ac:dyDescent="0.25">
      <c r="A2242" t="s">
        <v>4397</v>
      </c>
      <c r="B2242">
        <v>2</v>
      </c>
      <c r="C2242" t="s">
        <v>4468</v>
      </c>
      <c r="D2242" t="s">
        <v>4406</v>
      </c>
      <c r="E2242" t="s">
        <v>4406</v>
      </c>
      <c r="F2242" t="s">
        <v>4406</v>
      </c>
      <c r="G2242" t="s">
        <v>4406</v>
      </c>
      <c r="H2242" t="s">
        <v>4468</v>
      </c>
    </row>
    <row r="2243" spans="1:8" x14ac:dyDescent="0.25">
      <c r="A2243" t="s">
        <v>4398</v>
      </c>
      <c r="B2243">
        <v>92</v>
      </c>
      <c r="C2243" t="s">
        <v>4580</v>
      </c>
      <c r="D2243" t="s">
        <v>4827</v>
      </c>
      <c r="E2243" t="s">
        <v>5170</v>
      </c>
      <c r="F2243" t="s">
        <v>5170</v>
      </c>
      <c r="G2243" t="s">
        <v>4552</v>
      </c>
      <c r="H2243" t="s">
        <v>4667</v>
      </c>
    </row>
    <row r="2244" spans="1:8" x14ac:dyDescent="0.25">
      <c r="A2244" t="s">
        <v>4399</v>
      </c>
      <c r="B2244">
        <v>2</v>
      </c>
      <c r="C2244" t="s">
        <v>4468</v>
      </c>
      <c r="D2244" t="s">
        <v>4406</v>
      </c>
      <c r="E2244" t="s">
        <v>4406</v>
      </c>
      <c r="F2244" t="s">
        <v>4406</v>
      </c>
      <c r="G2244" t="s">
        <v>4406</v>
      </c>
      <c r="H2244" t="s">
        <v>4468</v>
      </c>
    </row>
    <row r="2245" spans="1:8" x14ac:dyDescent="0.25">
      <c r="A2245" t="s">
        <v>1296</v>
      </c>
      <c r="B2245">
        <v>297</v>
      </c>
      <c r="C2245" t="s">
        <v>4519</v>
      </c>
      <c r="D2245" t="s">
        <v>4449</v>
      </c>
      <c r="E2245" t="s">
        <v>4940</v>
      </c>
      <c r="F2245" t="s">
        <v>4677</v>
      </c>
      <c r="G2245" t="s">
        <v>4627</v>
      </c>
      <c r="H2245" t="s">
        <v>4617</v>
      </c>
    </row>
    <row r="2247" spans="1:8" x14ac:dyDescent="0.25">
      <c r="A2247" t="s">
        <v>5836</v>
      </c>
    </row>
    <row r="2248" spans="1:8" x14ac:dyDescent="0.25">
      <c r="A2248" t="s">
        <v>910</v>
      </c>
      <c r="B2248" t="s">
        <v>4394</v>
      </c>
      <c r="C2248" t="s">
        <v>4438</v>
      </c>
      <c r="D2248" t="s">
        <v>4439</v>
      </c>
      <c r="E2248" t="s">
        <v>1400</v>
      </c>
      <c r="F2248" t="s">
        <v>1340</v>
      </c>
      <c r="G2248" t="s">
        <v>1426</v>
      </c>
      <c r="H2248" t="s">
        <v>1372</v>
      </c>
    </row>
    <row r="2249" spans="1:8" x14ac:dyDescent="0.25">
      <c r="A2249" t="s">
        <v>1371</v>
      </c>
      <c r="B2249">
        <v>42</v>
      </c>
      <c r="C2249" t="s">
        <v>4449</v>
      </c>
      <c r="D2249" t="s">
        <v>4447</v>
      </c>
      <c r="E2249" t="s">
        <v>4424</v>
      </c>
      <c r="F2249" t="s">
        <v>4406</v>
      </c>
      <c r="G2249" t="s">
        <v>4406</v>
      </c>
      <c r="H2249" t="s">
        <v>4785</v>
      </c>
    </row>
    <row r="2250" spans="1:8" x14ac:dyDescent="0.25">
      <c r="A2250" t="s">
        <v>1452</v>
      </c>
      <c r="B2250">
        <v>18</v>
      </c>
      <c r="C2250" t="s">
        <v>5228</v>
      </c>
      <c r="D2250" t="s">
        <v>4482</v>
      </c>
      <c r="E2250" t="s">
        <v>4406</v>
      </c>
      <c r="F2250" t="s">
        <v>4406</v>
      </c>
      <c r="G2250" t="s">
        <v>4406</v>
      </c>
      <c r="H2250" t="s">
        <v>4406</v>
      </c>
    </row>
    <row r="2251" spans="1:8" x14ac:dyDescent="0.25">
      <c r="A2251" t="s">
        <v>5560</v>
      </c>
      <c r="B2251">
        <v>59</v>
      </c>
      <c r="C2251" t="s">
        <v>5125</v>
      </c>
      <c r="D2251" t="s">
        <v>5436</v>
      </c>
      <c r="E2251" t="s">
        <v>4769</v>
      </c>
      <c r="F2251" t="s">
        <v>4406</v>
      </c>
      <c r="G2251" t="s">
        <v>5125</v>
      </c>
      <c r="H2251" t="s">
        <v>4414</v>
      </c>
    </row>
    <row r="2252" spans="1:8" x14ac:dyDescent="0.25">
      <c r="A2252" t="s">
        <v>1424</v>
      </c>
      <c r="B2252">
        <v>120</v>
      </c>
      <c r="C2252" t="s">
        <v>4467</v>
      </c>
      <c r="D2252" t="s">
        <v>5499</v>
      </c>
      <c r="E2252" t="s">
        <v>4408</v>
      </c>
      <c r="F2252" t="s">
        <v>4406</v>
      </c>
      <c r="G2252" t="s">
        <v>4651</v>
      </c>
      <c r="H2252" t="s">
        <v>4867</v>
      </c>
    </row>
    <row r="2253" spans="1:8" x14ac:dyDescent="0.25">
      <c r="A2253" t="s">
        <v>1340</v>
      </c>
      <c r="B2253">
        <v>31</v>
      </c>
      <c r="C2253" t="s">
        <v>4406</v>
      </c>
      <c r="D2253" t="s">
        <v>4406</v>
      </c>
      <c r="E2253" t="s">
        <v>4406</v>
      </c>
      <c r="F2253" t="s">
        <v>4454</v>
      </c>
      <c r="G2253" t="s">
        <v>4406</v>
      </c>
      <c r="H2253" t="s">
        <v>4406</v>
      </c>
    </row>
    <row r="2254" spans="1:8" x14ac:dyDescent="0.25">
      <c r="A2254" t="s">
        <v>5561</v>
      </c>
      <c r="B2254">
        <v>8</v>
      </c>
      <c r="C2254" t="s">
        <v>4462</v>
      </c>
      <c r="D2254" t="s">
        <v>4462</v>
      </c>
      <c r="E2254" t="s">
        <v>4406</v>
      </c>
      <c r="F2254" t="s">
        <v>4406</v>
      </c>
      <c r="G2254" t="s">
        <v>4462</v>
      </c>
      <c r="H2254" t="s">
        <v>4462</v>
      </c>
    </row>
    <row r="2255" spans="1:8" x14ac:dyDescent="0.25">
      <c r="A2255" t="s">
        <v>1416</v>
      </c>
      <c r="B2255">
        <v>19</v>
      </c>
      <c r="C2255" t="s">
        <v>4970</v>
      </c>
      <c r="D2255" t="s">
        <v>4406</v>
      </c>
      <c r="E2255" t="s">
        <v>4406</v>
      </c>
      <c r="F2255" t="s">
        <v>4406</v>
      </c>
      <c r="G2255" t="s">
        <v>4406</v>
      </c>
      <c r="H2255" t="s">
        <v>4640</v>
      </c>
    </row>
    <row r="2256" spans="1:8" x14ac:dyDescent="0.25">
      <c r="A2256" t="s">
        <v>1296</v>
      </c>
      <c r="B2256">
        <v>297</v>
      </c>
      <c r="C2256" t="s">
        <v>4519</v>
      </c>
      <c r="D2256" t="s">
        <v>4449</v>
      </c>
      <c r="E2256" t="s">
        <v>4940</v>
      </c>
      <c r="F2256" t="s">
        <v>4677</v>
      </c>
      <c r="G2256" t="s">
        <v>4627</v>
      </c>
      <c r="H2256" t="s">
        <v>4617</v>
      </c>
    </row>
    <row r="2258" spans="1:8" x14ac:dyDescent="0.25">
      <c r="A2258" t="s">
        <v>5837</v>
      </c>
    </row>
    <row r="2259" spans="1:8" x14ac:dyDescent="0.25">
      <c r="A2259" t="s">
        <v>903</v>
      </c>
      <c r="B2259" t="s">
        <v>4394</v>
      </c>
      <c r="C2259" t="s">
        <v>4438</v>
      </c>
      <c r="D2259" t="s">
        <v>4439</v>
      </c>
      <c r="E2259" t="s">
        <v>1400</v>
      </c>
      <c r="F2259" t="s">
        <v>1340</v>
      </c>
      <c r="G2259" t="s">
        <v>1426</v>
      </c>
      <c r="H2259" t="s">
        <v>1372</v>
      </c>
    </row>
    <row r="2260" spans="1:8" x14ac:dyDescent="0.25">
      <c r="A2260" t="s">
        <v>70</v>
      </c>
      <c r="B2260">
        <v>85</v>
      </c>
      <c r="C2260" t="s">
        <v>4514</v>
      </c>
      <c r="D2260" t="s">
        <v>4593</v>
      </c>
      <c r="E2260" t="s">
        <v>4699</v>
      </c>
      <c r="F2260" t="s">
        <v>4696</v>
      </c>
      <c r="G2260" t="s">
        <v>4424</v>
      </c>
      <c r="H2260" t="s">
        <v>4704</v>
      </c>
    </row>
    <row r="2261" spans="1:8" x14ac:dyDescent="0.25">
      <c r="A2261" t="s">
        <v>71</v>
      </c>
      <c r="B2261">
        <v>212</v>
      </c>
      <c r="C2261" t="s">
        <v>4593</v>
      </c>
      <c r="D2261" t="s">
        <v>4456</v>
      </c>
      <c r="E2261" t="s">
        <v>4617</v>
      </c>
      <c r="F2261" t="s">
        <v>4869</v>
      </c>
      <c r="G2261" t="s">
        <v>4741</v>
      </c>
      <c r="H2261" t="s">
        <v>4860</v>
      </c>
    </row>
    <row r="2262" spans="1:8" x14ac:dyDescent="0.25">
      <c r="A2262" t="s">
        <v>1296</v>
      </c>
      <c r="B2262">
        <v>297</v>
      </c>
      <c r="C2262" t="s">
        <v>4519</v>
      </c>
      <c r="D2262" t="s">
        <v>4449</v>
      </c>
      <c r="E2262" t="s">
        <v>4940</v>
      </c>
      <c r="F2262" t="s">
        <v>4677</v>
      </c>
      <c r="G2262" t="s">
        <v>4627</v>
      </c>
      <c r="H2262" t="s">
        <v>4617</v>
      </c>
    </row>
    <row r="2264" spans="1:8" x14ac:dyDescent="0.25">
      <c r="A2264" t="s">
        <v>5838</v>
      </c>
    </row>
    <row r="2265" spans="1:8" x14ac:dyDescent="0.25">
      <c r="A2265" t="s">
        <v>1297</v>
      </c>
      <c r="B2265" t="s">
        <v>4394</v>
      </c>
      <c r="C2265" t="s">
        <v>4438</v>
      </c>
      <c r="D2265" t="s">
        <v>4439</v>
      </c>
      <c r="E2265" t="s">
        <v>1400</v>
      </c>
      <c r="F2265" t="s">
        <v>1340</v>
      </c>
      <c r="G2265" t="s">
        <v>1426</v>
      </c>
      <c r="H2265" t="s">
        <v>1372</v>
      </c>
    </row>
    <row r="2266" spans="1:8" x14ac:dyDescent="0.25">
      <c r="A2266" t="s">
        <v>5549</v>
      </c>
      <c r="B2266">
        <v>198</v>
      </c>
      <c r="C2266" t="s">
        <v>5111</v>
      </c>
      <c r="D2266" t="s">
        <v>4511</v>
      </c>
      <c r="E2266" t="s">
        <v>4741</v>
      </c>
      <c r="F2266" t="s">
        <v>4539</v>
      </c>
      <c r="G2266" t="s">
        <v>4680</v>
      </c>
      <c r="H2266" t="s">
        <v>5116</v>
      </c>
    </row>
    <row r="2267" spans="1:8" x14ac:dyDescent="0.25">
      <c r="A2267" t="s">
        <v>1397</v>
      </c>
      <c r="B2267">
        <v>99</v>
      </c>
      <c r="C2267" t="s">
        <v>4807</v>
      </c>
      <c r="D2267" t="s">
        <v>4862</v>
      </c>
      <c r="E2267" t="s">
        <v>4400</v>
      </c>
      <c r="F2267" t="s">
        <v>4400</v>
      </c>
      <c r="G2267" t="s">
        <v>4627</v>
      </c>
      <c r="H2267" t="s">
        <v>4852</v>
      </c>
    </row>
    <row r="2268" spans="1:8" x14ac:dyDescent="0.25">
      <c r="A2268" t="s">
        <v>1296</v>
      </c>
      <c r="B2268">
        <v>297</v>
      </c>
      <c r="C2268" t="s">
        <v>5178</v>
      </c>
      <c r="D2268" t="s">
        <v>5179</v>
      </c>
      <c r="E2268" t="s">
        <v>4856</v>
      </c>
      <c r="F2268" t="s">
        <v>4677</v>
      </c>
      <c r="G2268" t="s">
        <v>4931</v>
      </c>
      <c r="H2268" t="s">
        <v>4706</v>
      </c>
    </row>
    <row r="2270" spans="1:8" x14ac:dyDescent="0.25">
      <c r="A2270" t="s">
        <v>5839</v>
      </c>
    </row>
    <row r="2271" spans="1:8" x14ac:dyDescent="0.25">
      <c r="A2271" t="s">
        <v>905</v>
      </c>
      <c r="B2271" t="s">
        <v>4394</v>
      </c>
      <c r="C2271" t="s">
        <v>4438</v>
      </c>
      <c r="D2271" t="s">
        <v>4439</v>
      </c>
      <c r="E2271" t="s">
        <v>1400</v>
      </c>
      <c r="F2271" t="s">
        <v>1340</v>
      </c>
      <c r="G2271" t="s">
        <v>1426</v>
      </c>
      <c r="H2271" t="s">
        <v>1372</v>
      </c>
    </row>
    <row r="2272" spans="1:8" x14ac:dyDescent="0.25">
      <c r="A2272" t="s">
        <v>4844</v>
      </c>
      <c r="B2272">
        <v>36</v>
      </c>
      <c r="C2272" t="s">
        <v>4731</v>
      </c>
      <c r="D2272" t="s">
        <v>4570</v>
      </c>
      <c r="E2272" t="s">
        <v>4859</v>
      </c>
      <c r="F2272" t="s">
        <v>4649</v>
      </c>
      <c r="G2272" t="s">
        <v>4406</v>
      </c>
      <c r="H2272" t="s">
        <v>4596</v>
      </c>
    </row>
    <row r="2273" spans="1:8" x14ac:dyDescent="0.25">
      <c r="A2273" t="s">
        <v>4845</v>
      </c>
      <c r="B2273">
        <v>230</v>
      </c>
      <c r="C2273" t="s">
        <v>5172</v>
      </c>
      <c r="D2273" t="s">
        <v>4612</v>
      </c>
      <c r="E2273" t="s">
        <v>4749</v>
      </c>
      <c r="F2273" t="s">
        <v>4677</v>
      </c>
      <c r="G2273" t="s">
        <v>4626</v>
      </c>
      <c r="H2273" t="s">
        <v>4668</v>
      </c>
    </row>
    <row r="2274" spans="1:8" x14ac:dyDescent="0.25">
      <c r="A2274" t="s">
        <v>4846</v>
      </c>
      <c r="B2274">
        <v>31</v>
      </c>
      <c r="C2274" t="s">
        <v>5111</v>
      </c>
      <c r="D2274" t="s">
        <v>4420</v>
      </c>
      <c r="E2274" t="s">
        <v>4564</v>
      </c>
      <c r="F2274" t="s">
        <v>4858</v>
      </c>
      <c r="G2274" t="s">
        <v>4713</v>
      </c>
      <c r="H2274" t="s">
        <v>4420</v>
      </c>
    </row>
    <row r="2275" spans="1:8" x14ac:dyDescent="0.25">
      <c r="A2275" t="s">
        <v>1296</v>
      </c>
      <c r="B2275">
        <v>297</v>
      </c>
      <c r="C2275" t="s">
        <v>5178</v>
      </c>
      <c r="D2275" t="s">
        <v>5179</v>
      </c>
      <c r="E2275" t="s">
        <v>4856</v>
      </c>
      <c r="F2275" t="s">
        <v>4677</v>
      </c>
      <c r="G2275" t="s">
        <v>4931</v>
      </c>
      <c r="H2275" t="s">
        <v>4706</v>
      </c>
    </row>
    <row r="2277" spans="1:8" x14ac:dyDescent="0.25">
      <c r="A2277" t="s">
        <v>5840</v>
      </c>
    </row>
    <row r="2278" spans="1:8" x14ac:dyDescent="0.25">
      <c r="A2278" t="s">
        <v>906</v>
      </c>
      <c r="B2278" t="s">
        <v>4394</v>
      </c>
      <c r="C2278" t="s">
        <v>4438</v>
      </c>
      <c r="D2278" t="s">
        <v>4439</v>
      </c>
      <c r="E2278" t="s">
        <v>1400</v>
      </c>
      <c r="F2278" t="s">
        <v>1340</v>
      </c>
      <c r="G2278" t="s">
        <v>1426</v>
      </c>
      <c r="H2278" t="s">
        <v>1372</v>
      </c>
    </row>
    <row r="2279" spans="1:8" x14ac:dyDescent="0.25">
      <c r="A2279" t="s">
        <v>1338</v>
      </c>
      <c r="B2279">
        <v>46</v>
      </c>
      <c r="C2279" t="s">
        <v>4755</v>
      </c>
      <c r="D2279" t="s">
        <v>4606</v>
      </c>
      <c r="E2279" t="s">
        <v>4667</v>
      </c>
      <c r="F2279" t="s">
        <v>4863</v>
      </c>
      <c r="G2279" t="s">
        <v>4581</v>
      </c>
      <c r="H2279" t="s">
        <v>5086</v>
      </c>
    </row>
    <row r="2280" spans="1:8" x14ac:dyDescent="0.25">
      <c r="A2280" t="s">
        <v>1370</v>
      </c>
      <c r="B2280">
        <v>33</v>
      </c>
      <c r="C2280" t="s">
        <v>4532</v>
      </c>
      <c r="D2280" t="s">
        <v>4451</v>
      </c>
      <c r="E2280" t="s">
        <v>4539</v>
      </c>
      <c r="F2280" t="s">
        <v>4741</v>
      </c>
      <c r="G2280" t="s">
        <v>4406</v>
      </c>
      <c r="H2280" t="s">
        <v>4863</v>
      </c>
    </row>
    <row r="2281" spans="1:8" x14ac:dyDescent="0.25">
      <c r="A2281" t="s">
        <v>1439</v>
      </c>
      <c r="B2281">
        <v>21</v>
      </c>
      <c r="C2281" t="s">
        <v>4497</v>
      </c>
      <c r="D2281" t="s">
        <v>4450</v>
      </c>
      <c r="E2281" t="s">
        <v>4749</v>
      </c>
      <c r="F2281" t="s">
        <v>4522</v>
      </c>
      <c r="G2281" t="s">
        <v>4749</v>
      </c>
      <c r="H2281" t="s">
        <v>4675</v>
      </c>
    </row>
    <row r="2282" spans="1:8" x14ac:dyDescent="0.25">
      <c r="A2282" t="s">
        <v>1476</v>
      </c>
      <c r="B2282">
        <v>71</v>
      </c>
      <c r="C2282" t="s">
        <v>4533</v>
      </c>
      <c r="D2282" t="s">
        <v>4807</v>
      </c>
      <c r="E2282" t="s">
        <v>4425</v>
      </c>
      <c r="F2282" t="s">
        <v>4750</v>
      </c>
      <c r="G2282" t="s">
        <v>4406</v>
      </c>
      <c r="H2282" t="s">
        <v>4541</v>
      </c>
    </row>
    <row r="2283" spans="1:8" x14ac:dyDescent="0.25">
      <c r="A2283" t="s">
        <v>5476</v>
      </c>
      <c r="B2283">
        <v>6</v>
      </c>
      <c r="C2283" t="s">
        <v>4596</v>
      </c>
      <c r="D2283" t="s">
        <v>4596</v>
      </c>
      <c r="E2283" t="s">
        <v>4406</v>
      </c>
      <c r="F2283" t="s">
        <v>4406</v>
      </c>
      <c r="G2283" t="s">
        <v>4465</v>
      </c>
      <c r="H2283" t="s">
        <v>4465</v>
      </c>
    </row>
    <row r="2284" spans="1:8" x14ac:dyDescent="0.25">
      <c r="A2284" t="s">
        <v>1399</v>
      </c>
      <c r="B2284">
        <v>44</v>
      </c>
      <c r="C2284" t="s">
        <v>4792</v>
      </c>
      <c r="D2284" t="s">
        <v>4405</v>
      </c>
      <c r="E2284" t="s">
        <v>4852</v>
      </c>
      <c r="F2284" t="s">
        <v>4852</v>
      </c>
      <c r="G2284" t="s">
        <v>4691</v>
      </c>
      <c r="H2284" t="s">
        <v>4691</v>
      </c>
    </row>
    <row r="2285" spans="1:8" x14ac:dyDescent="0.25">
      <c r="A2285" t="s">
        <v>1415</v>
      </c>
      <c r="B2285">
        <v>76</v>
      </c>
      <c r="C2285" t="s">
        <v>5180</v>
      </c>
      <c r="D2285" t="s">
        <v>4511</v>
      </c>
      <c r="E2285" t="s">
        <v>4659</v>
      </c>
      <c r="F2285" t="s">
        <v>4527</v>
      </c>
      <c r="G2285" t="s">
        <v>4864</v>
      </c>
      <c r="H2285" t="s">
        <v>4714</v>
      </c>
    </row>
    <row r="2286" spans="1:8" x14ac:dyDescent="0.25">
      <c r="A2286" t="s">
        <v>1296</v>
      </c>
      <c r="B2286">
        <v>297</v>
      </c>
      <c r="C2286" t="s">
        <v>5178</v>
      </c>
      <c r="D2286" t="s">
        <v>5179</v>
      </c>
      <c r="E2286" t="s">
        <v>4856</v>
      </c>
      <c r="F2286" t="s">
        <v>4677</v>
      </c>
      <c r="G2286" t="s">
        <v>4931</v>
      </c>
      <c r="H2286" t="s">
        <v>4706</v>
      </c>
    </row>
    <row r="2288" spans="1:8" x14ac:dyDescent="0.25">
      <c r="A2288" t="s">
        <v>5841</v>
      </c>
    </row>
    <row r="2289" spans="1:8" x14ac:dyDescent="0.25">
      <c r="A2289" t="s">
        <v>907</v>
      </c>
      <c r="B2289" t="s">
        <v>4394</v>
      </c>
      <c r="C2289" t="s">
        <v>4438</v>
      </c>
      <c r="D2289" t="s">
        <v>4439</v>
      </c>
      <c r="E2289" t="s">
        <v>1400</v>
      </c>
      <c r="F2289" t="s">
        <v>1340</v>
      </c>
      <c r="G2289" t="s">
        <v>1426</v>
      </c>
      <c r="H2289" t="s">
        <v>1372</v>
      </c>
    </row>
    <row r="2290" spans="1:8" x14ac:dyDescent="0.25">
      <c r="A2290" t="s">
        <v>109</v>
      </c>
      <c r="B2290">
        <v>257</v>
      </c>
      <c r="C2290" t="s">
        <v>4752</v>
      </c>
      <c r="D2290" t="s">
        <v>4820</v>
      </c>
      <c r="E2290" t="s">
        <v>4742</v>
      </c>
      <c r="F2290" t="s">
        <v>4869</v>
      </c>
      <c r="G2290" t="s">
        <v>4695</v>
      </c>
      <c r="H2290" t="s">
        <v>4600</v>
      </c>
    </row>
    <row r="2291" spans="1:8" x14ac:dyDescent="0.25">
      <c r="A2291" t="s">
        <v>192</v>
      </c>
      <c r="B2291">
        <v>40</v>
      </c>
      <c r="C2291" t="s">
        <v>4761</v>
      </c>
      <c r="D2291" t="s">
        <v>4472</v>
      </c>
      <c r="E2291" t="s">
        <v>4758</v>
      </c>
      <c r="F2291" t="s">
        <v>4758</v>
      </c>
      <c r="G2291" t="s">
        <v>4406</v>
      </c>
      <c r="H2291" t="s">
        <v>4760</v>
      </c>
    </row>
    <row r="2292" spans="1:8" x14ac:dyDescent="0.25">
      <c r="A2292" t="s">
        <v>1296</v>
      </c>
      <c r="B2292">
        <v>297</v>
      </c>
      <c r="C2292" t="s">
        <v>5178</v>
      </c>
      <c r="D2292" t="s">
        <v>5179</v>
      </c>
      <c r="E2292" t="s">
        <v>4856</v>
      </c>
      <c r="F2292" t="s">
        <v>4677</v>
      </c>
      <c r="G2292" t="s">
        <v>4931</v>
      </c>
      <c r="H2292" t="s">
        <v>4706</v>
      </c>
    </row>
    <row r="2294" spans="1:8" x14ac:dyDescent="0.25">
      <c r="A2294" t="s">
        <v>5842</v>
      </c>
    </row>
    <row r="2295" spans="1:8" x14ac:dyDescent="0.25">
      <c r="A2295" t="s">
        <v>1295</v>
      </c>
      <c r="B2295" t="s">
        <v>4394</v>
      </c>
      <c r="C2295" t="s">
        <v>4438</v>
      </c>
      <c r="D2295" t="s">
        <v>4439</v>
      </c>
      <c r="E2295" t="s">
        <v>1400</v>
      </c>
      <c r="F2295" t="s">
        <v>1340</v>
      </c>
      <c r="G2295" t="s">
        <v>1426</v>
      </c>
      <c r="H2295" t="s">
        <v>1372</v>
      </c>
    </row>
    <row r="2296" spans="1:8" x14ac:dyDescent="0.25">
      <c r="A2296" t="s">
        <v>4395</v>
      </c>
      <c r="B2296">
        <v>32</v>
      </c>
      <c r="C2296" t="s">
        <v>4481</v>
      </c>
      <c r="D2296" t="s">
        <v>5173</v>
      </c>
      <c r="E2296" t="s">
        <v>4950</v>
      </c>
      <c r="F2296" t="s">
        <v>4950</v>
      </c>
      <c r="G2296" t="s">
        <v>4950</v>
      </c>
      <c r="H2296" t="s">
        <v>4873</v>
      </c>
    </row>
    <row r="2297" spans="1:8" x14ac:dyDescent="0.25">
      <c r="A2297" t="s">
        <v>4396</v>
      </c>
      <c r="B2297">
        <v>169</v>
      </c>
      <c r="C2297" t="s">
        <v>5101</v>
      </c>
      <c r="D2297" t="s">
        <v>5157</v>
      </c>
      <c r="E2297" t="s">
        <v>4699</v>
      </c>
      <c r="F2297" t="s">
        <v>5064</v>
      </c>
      <c r="G2297" t="s">
        <v>4422</v>
      </c>
      <c r="H2297" t="s">
        <v>4464</v>
      </c>
    </row>
    <row r="2298" spans="1:8" x14ac:dyDescent="0.25">
      <c r="A2298" t="s">
        <v>4397</v>
      </c>
      <c r="B2298">
        <v>2</v>
      </c>
      <c r="C2298" t="s">
        <v>4454</v>
      </c>
      <c r="D2298" t="s">
        <v>4406</v>
      </c>
      <c r="E2298" t="s">
        <v>4406</v>
      </c>
      <c r="F2298" t="s">
        <v>4406</v>
      </c>
      <c r="G2298" t="s">
        <v>4406</v>
      </c>
      <c r="H2298" t="s">
        <v>4406</v>
      </c>
    </row>
    <row r="2299" spans="1:8" x14ac:dyDescent="0.25">
      <c r="A2299" t="s">
        <v>4398</v>
      </c>
      <c r="B2299">
        <v>92</v>
      </c>
      <c r="C2299" t="s">
        <v>5155</v>
      </c>
      <c r="D2299" t="s">
        <v>5181</v>
      </c>
      <c r="E2299" t="s">
        <v>4670</v>
      </c>
      <c r="F2299" t="s">
        <v>5170</v>
      </c>
      <c r="G2299" t="s">
        <v>4651</v>
      </c>
      <c r="H2299" t="s">
        <v>4681</v>
      </c>
    </row>
    <row r="2300" spans="1:8" x14ac:dyDescent="0.25">
      <c r="A2300" t="s">
        <v>4399</v>
      </c>
      <c r="B2300">
        <v>2</v>
      </c>
      <c r="C2300" t="s">
        <v>4468</v>
      </c>
      <c r="D2300" t="s">
        <v>4406</v>
      </c>
      <c r="E2300" t="s">
        <v>4406</v>
      </c>
      <c r="F2300" t="s">
        <v>4406</v>
      </c>
      <c r="G2300" t="s">
        <v>4406</v>
      </c>
      <c r="H2300" t="s">
        <v>4468</v>
      </c>
    </row>
    <row r="2301" spans="1:8" x14ac:dyDescent="0.25">
      <c r="A2301" t="s">
        <v>1296</v>
      </c>
      <c r="B2301">
        <v>297</v>
      </c>
      <c r="C2301" t="s">
        <v>5178</v>
      </c>
      <c r="D2301" t="s">
        <v>5179</v>
      </c>
      <c r="E2301" t="s">
        <v>4856</v>
      </c>
      <c r="F2301" t="s">
        <v>4677</v>
      </c>
      <c r="G2301" t="s">
        <v>4931</v>
      </c>
      <c r="H2301" t="s">
        <v>4706</v>
      </c>
    </row>
    <row r="2303" spans="1:8" x14ac:dyDescent="0.25">
      <c r="A2303" t="s">
        <v>5843</v>
      </c>
    </row>
    <row r="2304" spans="1:8" x14ac:dyDescent="0.25">
      <c r="A2304" t="s">
        <v>910</v>
      </c>
      <c r="B2304" t="s">
        <v>4394</v>
      </c>
      <c r="C2304" t="s">
        <v>4438</v>
      </c>
      <c r="D2304" t="s">
        <v>4439</v>
      </c>
      <c r="E2304" t="s">
        <v>1400</v>
      </c>
      <c r="F2304" t="s">
        <v>1340</v>
      </c>
      <c r="G2304" t="s">
        <v>1426</v>
      </c>
      <c r="H2304" t="s">
        <v>1372</v>
      </c>
    </row>
    <row r="2305" spans="1:8" x14ac:dyDescent="0.25">
      <c r="A2305" t="s">
        <v>1371</v>
      </c>
      <c r="B2305">
        <v>42</v>
      </c>
      <c r="C2305" t="s">
        <v>5285</v>
      </c>
      <c r="D2305" t="s">
        <v>4674</v>
      </c>
      <c r="E2305" t="s">
        <v>4424</v>
      </c>
      <c r="F2305" t="s">
        <v>4406</v>
      </c>
      <c r="G2305" t="s">
        <v>4406</v>
      </c>
      <c r="H2305" t="s">
        <v>4675</v>
      </c>
    </row>
    <row r="2306" spans="1:8" x14ac:dyDescent="0.25">
      <c r="A2306" t="s">
        <v>1452</v>
      </c>
      <c r="B2306">
        <v>18</v>
      </c>
      <c r="C2306" t="s">
        <v>4783</v>
      </c>
      <c r="D2306" t="s">
        <v>4406</v>
      </c>
      <c r="E2306" t="s">
        <v>4406</v>
      </c>
      <c r="F2306" t="s">
        <v>4406</v>
      </c>
      <c r="G2306" t="s">
        <v>4406</v>
      </c>
      <c r="H2306" t="s">
        <v>4596</v>
      </c>
    </row>
    <row r="2307" spans="1:8" x14ac:dyDescent="0.25">
      <c r="A2307" t="s">
        <v>5560</v>
      </c>
      <c r="B2307">
        <v>59</v>
      </c>
      <c r="C2307" t="s">
        <v>5248</v>
      </c>
      <c r="D2307" t="s">
        <v>5257</v>
      </c>
      <c r="E2307" t="s">
        <v>4516</v>
      </c>
      <c r="F2307" t="s">
        <v>4406</v>
      </c>
      <c r="G2307" t="s">
        <v>4627</v>
      </c>
      <c r="H2307" t="s">
        <v>4589</v>
      </c>
    </row>
    <row r="2308" spans="1:8" x14ac:dyDescent="0.25">
      <c r="A2308" t="s">
        <v>1424</v>
      </c>
      <c r="B2308">
        <v>120</v>
      </c>
      <c r="C2308" t="s">
        <v>5129</v>
      </c>
      <c r="D2308" t="s">
        <v>4458</v>
      </c>
      <c r="E2308" t="s">
        <v>4756</v>
      </c>
      <c r="F2308" t="s">
        <v>4406</v>
      </c>
      <c r="G2308" t="s">
        <v>4645</v>
      </c>
      <c r="H2308" t="s">
        <v>4643</v>
      </c>
    </row>
    <row r="2309" spans="1:8" x14ac:dyDescent="0.25">
      <c r="A2309" t="s">
        <v>1340</v>
      </c>
      <c r="B2309">
        <v>31</v>
      </c>
      <c r="C2309" t="s">
        <v>4406</v>
      </c>
      <c r="D2309" t="s">
        <v>4406</v>
      </c>
      <c r="E2309" t="s">
        <v>4406</v>
      </c>
      <c r="F2309" t="s">
        <v>4454</v>
      </c>
      <c r="G2309" t="s">
        <v>4406</v>
      </c>
      <c r="H2309" t="s">
        <v>4406</v>
      </c>
    </row>
    <row r="2310" spans="1:8" x14ac:dyDescent="0.25">
      <c r="A2310" t="s">
        <v>5561</v>
      </c>
      <c r="B2310">
        <v>8</v>
      </c>
      <c r="C2310" t="s">
        <v>4468</v>
      </c>
      <c r="D2310" t="s">
        <v>4479</v>
      </c>
      <c r="E2310" t="s">
        <v>4406</v>
      </c>
      <c r="F2310" t="s">
        <v>4406</v>
      </c>
      <c r="G2310" t="s">
        <v>4462</v>
      </c>
      <c r="H2310" t="s">
        <v>4479</v>
      </c>
    </row>
    <row r="2311" spans="1:8" x14ac:dyDescent="0.25">
      <c r="A2311" t="s">
        <v>1416</v>
      </c>
      <c r="B2311">
        <v>19</v>
      </c>
      <c r="C2311" t="s">
        <v>4973</v>
      </c>
      <c r="D2311" t="s">
        <v>4406</v>
      </c>
      <c r="E2311" t="s">
        <v>4406</v>
      </c>
      <c r="F2311" t="s">
        <v>4406</v>
      </c>
      <c r="G2311" t="s">
        <v>4406</v>
      </c>
      <c r="H2311" t="s">
        <v>4524</v>
      </c>
    </row>
    <row r="2312" spans="1:8" x14ac:dyDescent="0.25">
      <c r="A2312" t="s">
        <v>1296</v>
      </c>
      <c r="B2312">
        <v>297</v>
      </c>
      <c r="C2312" t="s">
        <v>5178</v>
      </c>
      <c r="D2312" t="s">
        <v>5179</v>
      </c>
      <c r="E2312" t="s">
        <v>4856</v>
      </c>
      <c r="F2312" t="s">
        <v>4677</v>
      </c>
      <c r="G2312" t="s">
        <v>4931</v>
      </c>
      <c r="H2312" t="s">
        <v>4706</v>
      </c>
    </row>
    <row r="2314" spans="1:8" x14ac:dyDescent="0.25">
      <c r="A2314" t="s">
        <v>5844</v>
      </c>
    </row>
    <row r="2315" spans="1:8" x14ac:dyDescent="0.25">
      <c r="A2315" t="s">
        <v>903</v>
      </c>
      <c r="B2315" t="s">
        <v>4394</v>
      </c>
      <c r="C2315" t="s">
        <v>4438</v>
      </c>
      <c r="D2315" t="s">
        <v>4439</v>
      </c>
      <c r="E2315" t="s">
        <v>1400</v>
      </c>
      <c r="F2315" t="s">
        <v>1340</v>
      </c>
      <c r="G2315" t="s">
        <v>1426</v>
      </c>
      <c r="H2315" t="s">
        <v>1372</v>
      </c>
    </row>
    <row r="2316" spans="1:8" x14ac:dyDescent="0.25">
      <c r="A2316" t="s">
        <v>70</v>
      </c>
      <c r="B2316">
        <v>85</v>
      </c>
      <c r="C2316" t="s">
        <v>5104</v>
      </c>
      <c r="D2316" t="s">
        <v>4558</v>
      </c>
      <c r="E2316" t="s">
        <v>4757</v>
      </c>
      <c r="F2316" t="s">
        <v>4696</v>
      </c>
      <c r="G2316" t="s">
        <v>4757</v>
      </c>
      <c r="H2316" t="s">
        <v>4619</v>
      </c>
    </row>
    <row r="2317" spans="1:8" x14ac:dyDescent="0.25">
      <c r="A2317" t="s">
        <v>71</v>
      </c>
      <c r="B2317">
        <v>212</v>
      </c>
      <c r="C2317" t="s">
        <v>4661</v>
      </c>
      <c r="D2317" t="s">
        <v>4580</v>
      </c>
      <c r="E2317" t="s">
        <v>4650</v>
      </c>
      <c r="F2317" t="s">
        <v>4869</v>
      </c>
      <c r="G2317" t="s">
        <v>4424</v>
      </c>
      <c r="H2317" t="s">
        <v>4414</v>
      </c>
    </row>
    <row r="2318" spans="1:8" x14ac:dyDescent="0.25">
      <c r="A2318" t="s">
        <v>1296</v>
      </c>
      <c r="B2318">
        <v>297</v>
      </c>
      <c r="C2318" t="s">
        <v>5178</v>
      </c>
      <c r="D2318" t="s">
        <v>5179</v>
      </c>
      <c r="E2318" t="s">
        <v>4856</v>
      </c>
      <c r="F2318" t="s">
        <v>4677</v>
      </c>
      <c r="G2318" t="s">
        <v>4931</v>
      </c>
      <c r="H2318" t="s">
        <v>4706</v>
      </c>
    </row>
    <row r="2320" spans="1:8" x14ac:dyDescent="0.25">
      <c r="A2320" t="s">
        <v>5845</v>
      </c>
    </row>
    <row r="2321" spans="1:4" x14ac:dyDescent="0.25">
      <c r="A2321" t="s">
        <v>1297</v>
      </c>
      <c r="B2321" t="s">
        <v>4394</v>
      </c>
      <c r="C2321" t="s">
        <v>109</v>
      </c>
      <c r="D2321" t="s">
        <v>192</v>
      </c>
    </row>
    <row r="2322" spans="1:4" x14ac:dyDescent="0.25">
      <c r="A2322" t="s">
        <v>5549</v>
      </c>
      <c r="B2322">
        <v>198</v>
      </c>
      <c r="C2322" t="s">
        <v>4882</v>
      </c>
      <c r="D2322" t="s">
        <v>4964</v>
      </c>
    </row>
    <row r="2323" spans="1:4" x14ac:dyDescent="0.25">
      <c r="A2323" t="s">
        <v>1397</v>
      </c>
      <c r="B2323">
        <v>99</v>
      </c>
      <c r="C2323" t="s">
        <v>4731</v>
      </c>
      <c r="D2323" t="s">
        <v>4857</v>
      </c>
    </row>
    <row r="2324" spans="1:4" x14ac:dyDescent="0.25">
      <c r="A2324" t="s">
        <v>1296</v>
      </c>
      <c r="B2324">
        <v>297</v>
      </c>
      <c r="C2324" t="s">
        <v>5182</v>
      </c>
      <c r="D2324" t="s">
        <v>4966</v>
      </c>
    </row>
    <row r="2326" spans="1:4" x14ac:dyDescent="0.25">
      <c r="A2326" t="s">
        <v>5846</v>
      </c>
    </row>
    <row r="2327" spans="1:4" x14ac:dyDescent="0.25">
      <c r="A2327" t="s">
        <v>905</v>
      </c>
      <c r="B2327" t="s">
        <v>4394</v>
      </c>
      <c r="C2327" t="s">
        <v>109</v>
      </c>
      <c r="D2327" t="s">
        <v>192</v>
      </c>
    </row>
    <row r="2328" spans="1:4" x14ac:dyDescent="0.25">
      <c r="A2328" t="s">
        <v>4844</v>
      </c>
      <c r="B2328">
        <v>36</v>
      </c>
      <c r="C2328" t="s">
        <v>4731</v>
      </c>
      <c r="D2328" t="s">
        <v>4857</v>
      </c>
    </row>
    <row r="2329" spans="1:4" x14ac:dyDescent="0.25">
      <c r="A2329" t="s">
        <v>4845</v>
      </c>
      <c r="B2329">
        <v>230</v>
      </c>
      <c r="C2329" t="s">
        <v>4765</v>
      </c>
      <c r="D2329" t="s">
        <v>5036</v>
      </c>
    </row>
    <row r="2330" spans="1:4" x14ac:dyDescent="0.25">
      <c r="A2330" t="s">
        <v>4846</v>
      </c>
      <c r="B2330">
        <v>31</v>
      </c>
      <c r="C2330" t="s">
        <v>4713</v>
      </c>
      <c r="D2330" t="s">
        <v>5414</v>
      </c>
    </row>
    <row r="2331" spans="1:4" x14ac:dyDescent="0.25">
      <c r="A2331" t="s">
        <v>1296</v>
      </c>
      <c r="B2331">
        <v>297</v>
      </c>
      <c r="C2331" t="s">
        <v>5182</v>
      </c>
      <c r="D2331" t="s">
        <v>4966</v>
      </c>
    </row>
    <row r="2333" spans="1:4" x14ac:dyDescent="0.25">
      <c r="A2333" t="s">
        <v>5847</v>
      </c>
    </row>
    <row r="2334" spans="1:4" x14ac:dyDescent="0.25">
      <c r="A2334" t="s">
        <v>906</v>
      </c>
      <c r="B2334" t="s">
        <v>4394</v>
      </c>
      <c r="C2334" t="s">
        <v>109</v>
      </c>
      <c r="D2334" t="s">
        <v>192</v>
      </c>
    </row>
    <row r="2335" spans="1:4" x14ac:dyDescent="0.25">
      <c r="A2335" t="s">
        <v>1338</v>
      </c>
      <c r="B2335">
        <v>46</v>
      </c>
      <c r="C2335" t="s">
        <v>4926</v>
      </c>
      <c r="D2335" t="s">
        <v>5040</v>
      </c>
    </row>
    <row r="2336" spans="1:4" x14ac:dyDescent="0.25">
      <c r="A2336" t="s">
        <v>1370</v>
      </c>
      <c r="B2336">
        <v>33</v>
      </c>
      <c r="C2336" t="s">
        <v>4539</v>
      </c>
      <c r="D2336" t="s">
        <v>4982</v>
      </c>
    </row>
    <row r="2337" spans="1:4" x14ac:dyDescent="0.25">
      <c r="A2337" t="s">
        <v>1439</v>
      </c>
      <c r="B2337">
        <v>21</v>
      </c>
      <c r="C2337" t="s">
        <v>4785</v>
      </c>
      <c r="D2337" t="s">
        <v>4784</v>
      </c>
    </row>
    <row r="2338" spans="1:4" x14ac:dyDescent="0.25">
      <c r="A2338" t="s">
        <v>1476</v>
      </c>
      <c r="B2338">
        <v>71</v>
      </c>
      <c r="C2338" t="s">
        <v>4701</v>
      </c>
      <c r="D2338" t="s">
        <v>5008</v>
      </c>
    </row>
    <row r="2339" spans="1:4" x14ac:dyDescent="0.25">
      <c r="A2339" t="s">
        <v>5476</v>
      </c>
      <c r="B2339">
        <v>6</v>
      </c>
      <c r="C2339" t="s">
        <v>4596</v>
      </c>
      <c r="D2339" t="s">
        <v>4783</v>
      </c>
    </row>
    <row r="2340" spans="1:4" x14ac:dyDescent="0.25">
      <c r="A2340" t="s">
        <v>1399</v>
      </c>
      <c r="B2340">
        <v>44</v>
      </c>
      <c r="C2340" t="s">
        <v>4583</v>
      </c>
      <c r="D2340" t="s">
        <v>4972</v>
      </c>
    </row>
    <row r="2341" spans="1:4" x14ac:dyDescent="0.25">
      <c r="A2341" t="s">
        <v>1415</v>
      </c>
      <c r="B2341">
        <v>76</v>
      </c>
      <c r="C2341" t="s">
        <v>4754</v>
      </c>
      <c r="D2341" t="s">
        <v>5186</v>
      </c>
    </row>
    <row r="2342" spans="1:4" x14ac:dyDescent="0.25">
      <c r="A2342" t="s">
        <v>1296</v>
      </c>
      <c r="B2342">
        <v>297</v>
      </c>
      <c r="C2342" t="s">
        <v>5182</v>
      </c>
      <c r="D2342" t="s">
        <v>4966</v>
      </c>
    </row>
    <row r="2344" spans="1:4" x14ac:dyDescent="0.25">
      <c r="A2344" t="s">
        <v>5848</v>
      </c>
    </row>
    <row r="2345" spans="1:4" x14ac:dyDescent="0.25">
      <c r="A2345" t="s">
        <v>907</v>
      </c>
      <c r="B2345" t="s">
        <v>4394</v>
      </c>
      <c r="C2345" t="s">
        <v>109</v>
      </c>
      <c r="D2345" t="s">
        <v>192</v>
      </c>
    </row>
    <row r="2346" spans="1:4" x14ac:dyDescent="0.25">
      <c r="A2346" t="s">
        <v>109</v>
      </c>
      <c r="B2346">
        <v>257</v>
      </c>
      <c r="C2346" t="s">
        <v>4569</v>
      </c>
      <c r="D2346" t="s">
        <v>5187</v>
      </c>
    </row>
    <row r="2347" spans="1:4" x14ac:dyDescent="0.25">
      <c r="A2347" t="s">
        <v>192</v>
      </c>
      <c r="B2347">
        <v>40</v>
      </c>
      <c r="C2347" t="s">
        <v>4643</v>
      </c>
      <c r="D2347" t="s">
        <v>5012</v>
      </c>
    </row>
    <row r="2348" spans="1:4" x14ac:dyDescent="0.25">
      <c r="A2348" t="s">
        <v>1296</v>
      </c>
      <c r="B2348">
        <v>297</v>
      </c>
      <c r="C2348" t="s">
        <v>5182</v>
      </c>
      <c r="D2348" t="s">
        <v>4966</v>
      </c>
    </row>
    <row r="2350" spans="1:4" x14ac:dyDescent="0.25">
      <c r="A2350" t="s">
        <v>5849</v>
      </c>
    </row>
    <row r="2351" spans="1:4" x14ac:dyDescent="0.25">
      <c r="A2351" t="s">
        <v>910</v>
      </c>
      <c r="B2351" t="s">
        <v>4394</v>
      </c>
      <c r="C2351" t="s">
        <v>109</v>
      </c>
      <c r="D2351" t="s">
        <v>192</v>
      </c>
    </row>
    <row r="2352" spans="1:4" x14ac:dyDescent="0.25">
      <c r="A2352" t="s">
        <v>1371</v>
      </c>
      <c r="B2352">
        <v>42</v>
      </c>
      <c r="C2352" t="s">
        <v>4596</v>
      </c>
      <c r="D2352" t="s">
        <v>4783</v>
      </c>
    </row>
    <row r="2353" spans="1:4" x14ac:dyDescent="0.25">
      <c r="A2353" t="s">
        <v>1452</v>
      </c>
      <c r="B2353">
        <v>18</v>
      </c>
      <c r="C2353" t="s">
        <v>4676</v>
      </c>
      <c r="D2353" t="s">
        <v>5005</v>
      </c>
    </row>
    <row r="2354" spans="1:4" x14ac:dyDescent="0.25">
      <c r="A2354" t="s">
        <v>5560</v>
      </c>
      <c r="B2354">
        <v>59</v>
      </c>
      <c r="C2354" t="s">
        <v>4516</v>
      </c>
      <c r="D2354" t="s">
        <v>4937</v>
      </c>
    </row>
    <row r="2355" spans="1:4" x14ac:dyDescent="0.25">
      <c r="A2355" t="s">
        <v>1424</v>
      </c>
      <c r="B2355">
        <v>120</v>
      </c>
      <c r="C2355" t="s">
        <v>4472</v>
      </c>
      <c r="D2355" t="s">
        <v>4834</v>
      </c>
    </row>
    <row r="2356" spans="1:4" x14ac:dyDescent="0.25">
      <c r="A2356" t="s">
        <v>1340</v>
      </c>
      <c r="B2356">
        <v>31</v>
      </c>
      <c r="C2356" t="s">
        <v>4561</v>
      </c>
      <c r="D2356" t="s">
        <v>4969</v>
      </c>
    </row>
    <row r="2357" spans="1:4" x14ac:dyDescent="0.25">
      <c r="A2357" t="s">
        <v>5561</v>
      </c>
      <c r="B2357">
        <v>8</v>
      </c>
      <c r="C2357" t="s">
        <v>4479</v>
      </c>
      <c r="D2357" t="s">
        <v>4945</v>
      </c>
    </row>
    <row r="2358" spans="1:4" x14ac:dyDescent="0.25">
      <c r="A2358" t="s">
        <v>1416</v>
      </c>
      <c r="B2358">
        <v>19</v>
      </c>
      <c r="C2358" t="s">
        <v>4867</v>
      </c>
      <c r="D2358" t="s">
        <v>5072</v>
      </c>
    </row>
    <row r="2359" spans="1:4" x14ac:dyDescent="0.25">
      <c r="A2359" t="s">
        <v>1296</v>
      </c>
      <c r="B2359">
        <v>297</v>
      </c>
      <c r="C2359" t="s">
        <v>5182</v>
      </c>
      <c r="D2359" t="s">
        <v>4966</v>
      </c>
    </row>
    <row r="2361" spans="1:4" x14ac:dyDescent="0.25">
      <c r="A2361" t="s">
        <v>5850</v>
      </c>
    </row>
    <row r="2362" spans="1:4" x14ac:dyDescent="0.25">
      <c r="A2362" t="s">
        <v>5481</v>
      </c>
      <c r="B2362" t="s">
        <v>4394</v>
      </c>
      <c r="C2362" t="s">
        <v>109</v>
      </c>
      <c r="D2362" t="s">
        <v>192</v>
      </c>
    </row>
    <row r="2363" spans="1:4" x14ac:dyDescent="0.25">
      <c r="A2363" t="s">
        <v>4438</v>
      </c>
      <c r="B2363">
        <v>129</v>
      </c>
      <c r="C2363" t="s">
        <v>5065</v>
      </c>
      <c r="D2363" t="s">
        <v>5274</v>
      </c>
    </row>
    <row r="2364" spans="1:4" x14ac:dyDescent="0.25">
      <c r="A2364" t="s">
        <v>4439</v>
      </c>
      <c r="B2364">
        <v>93</v>
      </c>
      <c r="C2364" t="s">
        <v>4475</v>
      </c>
      <c r="D2364" t="s">
        <v>5141</v>
      </c>
    </row>
    <row r="2365" spans="1:4" x14ac:dyDescent="0.25">
      <c r="A2365" t="s">
        <v>1400</v>
      </c>
      <c r="B2365">
        <v>5</v>
      </c>
      <c r="C2365" t="s">
        <v>4406</v>
      </c>
      <c r="D2365" t="s">
        <v>4454</v>
      </c>
    </row>
    <row r="2366" spans="1:4" x14ac:dyDescent="0.25">
      <c r="A2366" t="s">
        <v>5566</v>
      </c>
      <c r="B2366">
        <v>36</v>
      </c>
      <c r="C2366" t="s">
        <v>4462</v>
      </c>
      <c r="D2366" t="s">
        <v>4793</v>
      </c>
    </row>
    <row r="2367" spans="1:4" x14ac:dyDescent="0.25">
      <c r="A2367" t="s">
        <v>1372</v>
      </c>
      <c r="B2367">
        <v>34</v>
      </c>
      <c r="C2367" t="s">
        <v>4631</v>
      </c>
      <c r="D2367" t="s">
        <v>5441</v>
      </c>
    </row>
    <row r="2368" spans="1:4" x14ac:dyDescent="0.25">
      <c r="A2368" t="s">
        <v>1296</v>
      </c>
      <c r="B2368">
        <v>297</v>
      </c>
      <c r="C2368" t="s">
        <v>5182</v>
      </c>
      <c r="D2368" t="s">
        <v>4966</v>
      </c>
    </row>
    <row r="2370" spans="1:4" x14ac:dyDescent="0.25">
      <c r="A2370" t="s">
        <v>5851</v>
      </c>
    </row>
    <row r="2371" spans="1:4" x14ac:dyDescent="0.25">
      <c r="A2371" t="s">
        <v>5477</v>
      </c>
      <c r="B2371" t="s">
        <v>4394</v>
      </c>
      <c r="C2371" t="s">
        <v>109</v>
      </c>
      <c r="D2371" t="s">
        <v>192</v>
      </c>
    </row>
    <row r="2372" spans="1:4" x14ac:dyDescent="0.25">
      <c r="A2372" t="s">
        <v>4438</v>
      </c>
      <c r="B2372">
        <v>95</v>
      </c>
      <c r="C2372" t="s">
        <v>4675</v>
      </c>
      <c r="D2372" t="s">
        <v>5095</v>
      </c>
    </row>
    <row r="2373" spans="1:4" x14ac:dyDescent="0.25">
      <c r="A2373" t="s">
        <v>4439</v>
      </c>
      <c r="B2373">
        <v>128</v>
      </c>
      <c r="C2373" t="s">
        <v>4451</v>
      </c>
      <c r="D2373" t="s">
        <v>5133</v>
      </c>
    </row>
    <row r="2374" spans="1:4" x14ac:dyDescent="0.25">
      <c r="A2374" t="s">
        <v>1400</v>
      </c>
      <c r="B2374">
        <v>7</v>
      </c>
      <c r="C2374" t="s">
        <v>4522</v>
      </c>
      <c r="D2374" t="s">
        <v>4946</v>
      </c>
    </row>
    <row r="2375" spans="1:4" x14ac:dyDescent="0.25">
      <c r="A2375" t="s">
        <v>5566</v>
      </c>
      <c r="B2375">
        <v>36</v>
      </c>
      <c r="C2375" t="s">
        <v>4462</v>
      </c>
      <c r="D2375" t="s">
        <v>4793</v>
      </c>
    </row>
    <row r="2376" spans="1:4" x14ac:dyDescent="0.25">
      <c r="A2376" t="s">
        <v>1426</v>
      </c>
      <c r="B2376">
        <v>1</v>
      </c>
      <c r="C2376" t="s">
        <v>4406</v>
      </c>
      <c r="D2376" t="s">
        <v>4454</v>
      </c>
    </row>
    <row r="2377" spans="1:4" x14ac:dyDescent="0.25">
      <c r="A2377" t="s">
        <v>1372</v>
      </c>
      <c r="B2377">
        <v>30</v>
      </c>
      <c r="C2377" t="s">
        <v>4472</v>
      </c>
      <c r="D2377" t="s">
        <v>4834</v>
      </c>
    </row>
    <row r="2378" spans="1:4" x14ac:dyDescent="0.25">
      <c r="A2378" t="s">
        <v>1296</v>
      </c>
      <c r="B2378">
        <v>297</v>
      </c>
      <c r="C2378" t="s">
        <v>5182</v>
      </c>
      <c r="D2378" t="s">
        <v>4966</v>
      </c>
    </row>
    <row r="2380" spans="1:4" x14ac:dyDescent="0.25">
      <c r="A2380" t="s">
        <v>5852</v>
      </c>
    </row>
    <row r="2381" spans="1:4" x14ac:dyDescent="0.25">
      <c r="A2381" t="s">
        <v>911</v>
      </c>
      <c r="B2381" t="s">
        <v>4394</v>
      </c>
      <c r="C2381" t="s">
        <v>109</v>
      </c>
      <c r="D2381" t="s">
        <v>192</v>
      </c>
    </row>
    <row r="2382" spans="1:4" x14ac:dyDescent="0.25">
      <c r="A2382" t="s">
        <v>4438</v>
      </c>
      <c r="B2382">
        <v>122</v>
      </c>
      <c r="C2382" t="s">
        <v>5126</v>
      </c>
      <c r="D2382" t="s">
        <v>5390</v>
      </c>
    </row>
    <row r="2383" spans="1:4" x14ac:dyDescent="0.25">
      <c r="A2383" t="s">
        <v>4439</v>
      </c>
      <c r="B2383">
        <v>79</v>
      </c>
      <c r="C2383" t="s">
        <v>4843</v>
      </c>
      <c r="D2383" t="s">
        <v>4988</v>
      </c>
    </row>
    <row r="2384" spans="1:4" x14ac:dyDescent="0.25">
      <c r="A2384" t="s">
        <v>1400</v>
      </c>
      <c r="B2384">
        <v>19</v>
      </c>
      <c r="C2384" t="s">
        <v>4867</v>
      </c>
      <c r="D2384" t="s">
        <v>5072</v>
      </c>
    </row>
    <row r="2385" spans="1:4" x14ac:dyDescent="0.25">
      <c r="A2385" t="s">
        <v>1340</v>
      </c>
      <c r="B2385">
        <v>31</v>
      </c>
      <c r="C2385" t="s">
        <v>4561</v>
      </c>
      <c r="D2385" t="s">
        <v>4969</v>
      </c>
    </row>
    <row r="2386" spans="1:4" x14ac:dyDescent="0.25">
      <c r="A2386" t="s">
        <v>1426</v>
      </c>
      <c r="B2386">
        <v>8</v>
      </c>
      <c r="C2386" t="s">
        <v>4479</v>
      </c>
      <c r="D2386" t="s">
        <v>4945</v>
      </c>
    </row>
    <row r="2387" spans="1:4" x14ac:dyDescent="0.25">
      <c r="A2387" t="s">
        <v>1372</v>
      </c>
      <c r="B2387">
        <v>38</v>
      </c>
      <c r="C2387" t="s">
        <v>4714</v>
      </c>
      <c r="D2387" t="s">
        <v>5099</v>
      </c>
    </row>
    <row r="2388" spans="1:4" x14ac:dyDescent="0.25">
      <c r="A2388" t="s">
        <v>1296</v>
      </c>
      <c r="B2388">
        <v>297</v>
      </c>
      <c r="C2388" t="s">
        <v>5182</v>
      </c>
      <c r="D2388" t="s">
        <v>4966</v>
      </c>
    </row>
    <row r="2390" spans="1:4" x14ac:dyDescent="0.25">
      <c r="A2390" t="s">
        <v>5853</v>
      </c>
    </row>
    <row r="2391" spans="1:4" x14ac:dyDescent="0.25">
      <c r="A2391" t="s">
        <v>912</v>
      </c>
      <c r="B2391" t="s">
        <v>4394</v>
      </c>
      <c r="C2391" t="s">
        <v>109</v>
      </c>
      <c r="D2391" t="s">
        <v>192</v>
      </c>
    </row>
    <row r="2392" spans="1:4" x14ac:dyDescent="0.25">
      <c r="A2392" t="s">
        <v>4438</v>
      </c>
      <c r="B2392">
        <v>80</v>
      </c>
      <c r="C2392" t="s">
        <v>4759</v>
      </c>
      <c r="D2392" t="s">
        <v>5500</v>
      </c>
    </row>
    <row r="2393" spans="1:4" x14ac:dyDescent="0.25">
      <c r="A2393" t="s">
        <v>4439</v>
      </c>
      <c r="B2393">
        <v>106</v>
      </c>
      <c r="C2393" t="s">
        <v>4576</v>
      </c>
      <c r="D2393" t="s">
        <v>5017</v>
      </c>
    </row>
    <row r="2394" spans="1:4" x14ac:dyDescent="0.25">
      <c r="A2394" t="s">
        <v>1400</v>
      </c>
      <c r="B2394">
        <v>30</v>
      </c>
      <c r="C2394" t="s">
        <v>4415</v>
      </c>
      <c r="D2394" t="s">
        <v>5220</v>
      </c>
    </row>
    <row r="2395" spans="1:4" x14ac:dyDescent="0.25">
      <c r="A2395" t="s">
        <v>1340</v>
      </c>
      <c r="B2395">
        <v>31</v>
      </c>
      <c r="C2395" t="s">
        <v>4561</v>
      </c>
      <c r="D2395" t="s">
        <v>4969</v>
      </c>
    </row>
    <row r="2396" spans="1:4" x14ac:dyDescent="0.25">
      <c r="A2396" t="s">
        <v>1426</v>
      </c>
      <c r="B2396">
        <v>15</v>
      </c>
      <c r="C2396" t="s">
        <v>4465</v>
      </c>
      <c r="D2396" t="s">
        <v>4469</v>
      </c>
    </row>
    <row r="2397" spans="1:4" x14ac:dyDescent="0.25">
      <c r="A2397" t="s">
        <v>1372</v>
      </c>
      <c r="B2397">
        <v>35</v>
      </c>
      <c r="C2397" t="s">
        <v>4522</v>
      </c>
      <c r="D2397" t="s">
        <v>4946</v>
      </c>
    </row>
    <row r="2398" spans="1:4" x14ac:dyDescent="0.25">
      <c r="A2398" t="s">
        <v>1296</v>
      </c>
      <c r="B2398">
        <v>297</v>
      </c>
      <c r="C2398" t="s">
        <v>5182</v>
      </c>
      <c r="D2398" t="s">
        <v>4966</v>
      </c>
    </row>
    <row r="2400" spans="1:4" x14ac:dyDescent="0.25">
      <c r="A2400" t="s">
        <v>5854</v>
      </c>
    </row>
    <row r="2401" spans="1:4" x14ac:dyDescent="0.25">
      <c r="A2401" t="s">
        <v>920</v>
      </c>
      <c r="B2401" t="s">
        <v>4394</v>
      </c>
      <c r="C2401" t="s">
        <v>109</v>
      </c>
      <c r="D2401" t="s">
        <v>192</v>
      </c>
    </row>
    <row r="2402" spans="1:4" x14ac:dyDescent="0.25">
      <c r="A2402" t="s">
        <v>1343</v>
      </c>
      <c r="B2402">
        <v>170</v>
      </c>
      <c r="C2402" t="s">
        <v>5118</v>
      </c>
      <c r="D2402" t="s">
        <v>5002</v>
      </c>
    </row>
    <row r="2403" spans="1:4" x14ac:dyDescent="0.25">
      <c r="A2403" t="s">
        <v>1345</v>
      </c>
      <c r="B2403">
        <v>75</v>
      </c>
      <c r="C2403" t="s">
        <v>4657</v>
      </c>
      <c r="D2403" t="s">
        <v>5028</v>
      </c>
    </row>
    <row r="2404" spans="1:4" x14ac:dyDescent="0.25">
      <c r="A2404" t="s">
        <v>1466</v>
      </c>
      <c r="B2404">
        <v>50</v>
      </c>
      <c r="C2404" t="s">
        <v>4921</v>
      </c>
      <c r="D2404" t="s">
        <v>4996</v>
      </c>
    </row>
    <row r="2405" spans="1:4" x14ac:dyDescent="0.25">
      <c r="A2405" t="s">
        <v>5554</v>
      </c>
      <c r="B2405">
        <v>2</v>
      </c>
      <c r="C2405" t="s">
        <v>4468</v>
      </c>
      <c r="D2405" t="s">
        <v>4468</v>
      </c>
    </row>
    <row r="2406" spans="1:4" x14ac:dyDescent="0.25">
      <c r="A2406" t="s">
        <v>1296</v>
      </c>
      <c r="B2406">
        <v>297</v>
      </c>
      <c r="C2406" t="s">
        <v>5182</v>
      </c>
      <c r="D2406" t="s">
        <v>4966</v>
      </c>
    </row>
    <row r="2408" spans="1:4" x14ac:dyDescent="0.25">
      <c r="A2408" t="s">
        <v>5855</v>
      </c>
    </row>
    <row r="2409" spans="1:4" x14ac:dyDescent="0.25">
      <c r="A2409" t="s">
        <v>924</v>
      </c>
      <c r="B2409" t="s">
        <v>4394</v>
      </c>
      <c r="C2409" t="s">
        <v>109</v>
      </c>
      <c r="D2409" t="s">
        <v>192</v>
      </c>
    </row>
    <row r="2410" spans="1:4" x14ac:dyDescent="0.25">
      <c r="A2410" t="s">
        <v>1345</v>
      </c>
      <c r="B2410">
        <v>69</v>
      </c>
      <c r="C2410" t="s">
        <v>5183</v>
      </c>
      <c r="D2410" t="s">
        <v>5184</v>
      </c>
    </row>
    <row r="2411" spans="1:4" x14ac:dyDescent="0.25">
      <c r="A2411" t="s">
        <v>1441</v>
      </c>
      <c r="B2411">
        <v>123</v>
      </c>
      <c r="C2411" t="s">
        <v>4524</v>
      </c>
      <c r="D2411" t="s">
        <v>4973</v>
      </c>
    </row>
    <row r="2412" spans="1:4" x14ac:dyDescent="0.25">
      <c r="A2412" t="s">
        <v>1461</v>
      </c>
      <c r="B2412">
        <v>95</v>
      </c>
      <c r="C2412" t="s">
        <v>4849</v>
      </c>
      <c r="D2412" t="s">
        <v>5185</v>
      </c>
    </row>
    <row r="2413" spans="1:4" x14ac:dyDescent="0.25">
      <c r="A2413" t="s">
        <v>5554</v>
      </c>
      <c r="B2413">
        <v>10</v>
      </c>
      <c r="C2413" t="s">
        <v>4472</v>
      </c>
      <c r="D2413" t="s">
        <v>4834</v>
      </c>
    </row>
    <row r="2414" spans="1:4" x14ac:dyDescent="0.25">
      <c r="A2414" t="s">
        <v>1296</v>
      </c>
      <c r="B2414">
        <v>297</v>
      </c>
      <c r="C2414" t="s">
        <v>5182</v>
      </c>
      <c r="D2414" t="s">
        <v>4966</v>
      </c>
    </row>
    <row r="2416" spans="1:4" x14ac:dyDescent="0.25">
      <c r="A2416" t="s">
        <v>5856</v>
      </c>
    </row>
    <row r="2417" spans="1:14" x14ac:dyDescent="0.25">
      <c r="A2417" t="s">
        <v>903</v>
      </c>
      <c r="B2417" t="s">
        <v>4394</v>
      </c>
      <c r="C2417" t="s">
        <v>109</v>
      </c>
      <c r="D2417" t="s">
        <v>192</v>
      </c>
    </row>
    <row r="2418" spans="1:14" x14ac:dyDescent="0.25">
      <c r="A2418" t="s">
        <v>70</v>
      </c>
      <c r="B2418">
        <v>85</v>
      </c>
      <c r="C2418" t="s">
        <v>4959</v>
      </c>
      <c r="D2418" t="s">
        <v>5088</v>
      </c>
    </row>
    <row r="2419" spans="1:14" x14ac:dyDescent="0.25">
      <c r="A2419" t="s">
        <v>71</v>
      </c>
      <c r="B2419">
        <v>212</v>
      </c>
      <c r="C2419" t="s">
        <v>4874</v>
      </c>
      <c r="D2419" t="s">
        <v>5188</v>
      </c>
    </row>
    <row r="2420" spans="1:14" x14ac:dyDescent="0.25">
      <c r="A2420" t="s">
        <v>1296</v>
      </c>
      <c r="B2420">
        <v>297</v>
      </c>
      <c r="C2420" t="s">
        <v>5182</v>
      </c>
      <c r="D2420" t="s">
        <v>4966</v>
      </c>
    </row>
    <row r="2422" spans="1:14" x14ac:dyDescent="0.25">
      <c r="A2422" t="s">
        <v>5857</v>
      </c>
    </row>
    <row r="2423" spans="1:14" x14ac:dyDescent="0.25">
      <c r="A2423" t="s">
        <v>1297</v>
      </c>
      <c r="B2423" t="s">
        <v>4394</v>
      </c>
      <c r="C2423" t="s">
        <v>5189</v>
      </c>
      <c r="D2423" t="s">
        <v>5190</v>
      </c>
      <c r="E2423" t="s">
        <v>5191</v>
      </c>
      <c r="F2423" t="s">
        <v>4732</v>
      </c>
      <c r="G2423" t="s">
        <v>5192</v>
      </c>
      <c r="H2423" t="s">
        <v>5193</v>
      </c>
      <c r="I2423" t="s">
        <v>5194</v>
      </c>
      <c r="J2423" t="s">
        <v>5195</v>
      </c>
      <c r="K2423" t="s">
        <v>4736</v>
      </c>
      <c r="L2423" t="s">
        <v>4737</v>
      </c>
      <c r="M2423" t="s">
        <v>5196</v>
      </c>
      <c r="N2423" t="s">
        <v>5197</v>
      </c>
    </row>
    <row r="2424" spans="1:14" x14ac:dyDescent="0.25">
      <c r="A2424" t="s">
        <v>5549</v>
      </c>
      <c r="B2424">
        <v>96</v>
      </c>
      <c r="C2424" t="s">
        <v>4402</v>
      </c>
      <c r="D2424" t="s">
        <v>4477</v>
      </c>
      <c r="E2424" t="s">
        <v>4673</v>
      </c>
      <c r="F2424" t="s">
        <v>4406</v>
      </c>
      <c r="G2424" t="s">
        <v>4673</v>
      </c>
      <c r="H2424" t="s">
        <v>5188</v>
      </c>
      <c r="I2424" t="s">
        <v>5198</v>
      </c>
      <c r="J2424" t="s">
        <v>4479</v>
      </c>
      <c r="K2424" t="s">
        <v>4406</v>
      </c>
      <c r="L2424" t="s">
        <v>4406</v>
      </c>
      <c r="M2424" t="s">
        <v>5116</v>
      </c>
      <c r="N2424" t="s">
        <v>4950</v>
      </c>
    </row>
    <row r="2425" spans="1:14" x14ac:dyDescent="0.25">
      <c r="A2425" t="s">
        <v>1397</v>
      </c>
      <c r="B2425">
        <v>56</v>
      </c>
      <c r="C2425" t="s">
        <v>4406</v>
      </c>
      <c r="D2425" t="s">
        <v>5199</v>
      </c>
      <c r="E2425" t="s">
        <v>4406</v>
      </c>
      <c r="F2425" t="s">
        <v>4406</v>
      </c>
      <c r="G2425" t="s">
        <v>4406</v>
      </c>
      <c r="H2425" t="s">
        <v>4946</v>
      </c>
      <c r="I2425" t="s">
        <v>5178</v>
      </c>
      <c r="J2425" t="s">
        <v>4479</v>
      </c>
      <c r="K2425" t="s">
        <v>4406</v>
      </c>
      <c r="L2425" t="s">
        <v>4406</v>
      </c>
      <c r="M2425" t="s">
        <v>4905</v>
      </c>
      <c r="N2425" t="s">
        <v>4905</v>
      </c>
    </row>
    <row r="2426" spans="1:14" x14ac:dyDescent="0.25">
      <c r="A2426" t="s">
        <v>1296</v>
      </c>
      <c r="B2426">
        <v>152</v>
      </c>
      <c r="C2426" t="s">
        <v>4410</v>
      </c>
      <c r="D2426" t="s">
        <v>5104</v>
      </c>
      <c r="E2426" t="s">
        <v>4659</v>
      </c>
      <c r="F2426" t="s">
        <v>4406</v>
      </c>
      <c r="G2426" t="s">
        <v>4659</v>
      </c>
      <c r="H2426" t="s">
        <v>4985</v>
      </c>
      <c r="I2426" t="s">
        <v>4468</v>
      </c>
      <c r="J2426" t="s">
        <v>4479</v>
      </c>
      <c r="K2426" t="s">
        <v>4406</v>
      </c>
      <c r="L2426" t="s">
        <v>4406</v>
      </c>
      <c r="M2426" t="s">
        <v>4425</v>
      </c>
      <c r="N2426" t="s">
        <v>4742</v>
      </c>
    </row>
    <row r="2428" spans="1:14" x14ac:dyDescent="0.25">
      <c r="A2428" t="s">
        <v>5858</v>
      </c>
    </row>
    <row r="2429" spans="1:14" x14ac:dyDescent="0.25">
      <c r="A2429" t="s">
        <v>905</v>
      </c>
      <c r="B2429" t="s">
        <v>4394</v>
      </c>
      <c r="C2429" t="s">
        <v>5189</v>
      </c>
      <c r="D2429" t="s">
        <v>5190</v>
      </c>
      <c r="E2429" t="s">
        <v>5191</v>
      </c>
      <c r="F2429" t="s">
        <v>4732</v>
      </c>
      <c r="G2429" t="s">
        <v>5192</v>
      </c>
      <c r="H2429" t="s">
        <v>5193</v>
      </c>
      <c r="I2429" t="s">
        <v>5194</v>
      </c>
      <c r="J2429" t="s">
        <v>5195</v>
      </c>
      <c r="K2429" t="s">
        <v>4736</v>
      </c>
      <c r="L2429" t="s">
        <v>4737</v>
      </c>
      <c r="M2429" t="s">
        <v>5196</v>
      </c>
      <c r="N2429" t="s">
        <v>5197</v>
      </c>
    </row>
    <row r="2430" spans="1:14" x14ac:dyDescent="0.25">
      <c r="A2430" t="s">
        <v>4844</v>
      </c>
      <c r="B2430">
        <v>18</v>
      </c>
      <c r="C2430" t="s">
        <v>4406</v>
      </c>
      <c r="D2430" t="s">
        <v>4465</v>
      </c>
      <c r="E2430" t="s">
        <v>4406</v>
      </c>
      <c r="F2430" t="s">
        <v>4406</v>
      </c>
      <c r="G2430" t="s">
        <v>4406</v>
      </c>
      <c r="H2430" t="s">
        <v>5165</v>
      </c>
      <c r="I2430" t="s">
        <v>4469</v>
      </c>
      <c r="J2430" t="s">
        <v>4406</v>
      </c>
      <c r="K2430" t="s">
        <v>4406</v>
      </c>
      <c r="L2430" t="s">
        <v>4406</v>
      </c>
      <c r="M2430" t="s">
        <v>4406</v>
      </c>
      <c r="N2430" t="s">
        <v>4676</v>
      </c>
    </row>
    <row r="2431" spans="1:14" x14ac:dyDescent="0.25">
      <c r="A2431" t="s">
        <v>4845</v>
      </c>
      <c r="B2431">
        <v>117</v>
      </c>
      <c r="C2431" t="s">
        <v>4902</v>
      </c>
      <c r="D2431" t="s">
        <v>4827</v>
      </c>
      <c r="E2431" t="s">
        <v>4419</v>
      </c>
      <c r="F2431" t="s">
        <v>4406</v>
      </c>
      <c r="G2431" t="s">
        <v>4419</v>
      </c>
      <c r="H2431" t="s">
        <v>4984</v>
      </c>
      <c r="I2431" t="s">
        <v>5114</v>
      </c>
      <c r="J2431" t="s">
        <v>4671</v>
      </c>
      <c r="K2431" t="s">
        <v>4406</v>
      </c>
      <c r="L2431" t="s">
        <v>4406</v>
      </c>
      <c r="M2431" t="s">
        <v>4707</v>
      </c>
      <c r="N2431" t="s">
        <v>4559</v>
      </c>
    </row>
    <row r="2432" spans="1:14" x14ac:dyDescent="0.25">
      <c r="A2432" t="s">
        <v>4846</v>
      </c>
      <c r="B2432">
        <v>17</v>
      </c>
      <c r="C2432" t="s">
        <v>4406</v>
      </c>
      <c r="D2432" t="s">
        <v>4515</v>
      </c>
      <c r="E2432" t="s">
        <v>4406</v>
      </c>
      <c r="F2432" t="s">
        <v>4406</v>
      </c>
      <c r="G2432" t="s">
        <v>4406</v>
      </c>
      <c r="H2432" t="s">
        <v>4835</v>
      </c>
      <c r="I2432" t="s">
        <v>4619</v>
      </c>
      <c r="J2432" t="s">
        <v>4616</v>
      </c>
      <c r="K2432" t="s">
        <v>4406</v>
      </c>
      <c r="L2432" t="s">
        <v>4406</v>
      </c>
      <c r="M2432" t="s">
        <v>4699</v>
      </c>
      <c r="N2432" t="s">
        <v>4699</v>
      </c>
    </row>
    <row r="2433" spans="1:14" x14ac:dyDescent="0.25">
      <c r="A2433" t="s">
        <v>1296</v>
      </c>
      <c r="B2433">
        <v>152</v>
      </c>
      <c r="C2433" t="s">
        <v>4410</v>
      </c>
      <c r="D2433" t="s">
        <v>5104</v>
      </c>
      <c r="E2433" t="s">
        <v>4659</v>
      </c>
      <c r="F2433" t="s">
        <v>4406</v>
      </c>
      <c r="G2433" t="s">
        <v>4659</v>
      </c>
      <c r="H2433" t="s">
        <v>4985</v>
      </c>
      <c r="I2433" t="s">
        <v>4468</v>
      </c>
      <c r="J2433" t="s">
        <v>4479</v>
      </c>
      <c r="K2433" t="s">
        <v>4406</v>
      </c>
      <c r="L2433" t="s">
        <v>4406</v>
      </c>
      <c r="M2433" t="s">
        <v>4425</v>
      </c>
      <c r="N2433" t="s">
        <v>4742</v>
      </c>
    </row>
    <row r="2435" spans="1:14" x14ac:dyDescent="0.25">
      <c r="A2435" t="s">
        <v>5859</v>
      </c>
    </row>
    <row r="2436" spans="1:14" x14ac:dyDescent="0.25">
      <c r="A2436" t="s">
        <v>906</v>
      </c>
      <c r="B2436" t="s">
        <v>4394</v>
      </c>
      <c r="C2436" t="s">
        <v>5189</v>
      </c>
      <c r="D2436" t="s">
        <v>5190</v>
      </c>
      <c r="E2436" t="s">
        <v>5191</v>
      </c>
      <c r="F2436" t="s">
        <v>4732</v>
      </c>
      <c r="G2436" t="s">
        <v>5192</v>
      </c>
      <c r="H2436" t="s">
        <v>5193</v>
      </c>
      <c r="I2436" t="s">
        <v>5194</v>
      </c>
      <c r="J2436" t="s">
        <v>5195</v>
      </c>
      <c r="K2436" t="s">
        <v>4736</v>
      </c>
      <c r="L2436" t="s">
        <v>4737</v>
      </c>
      <c r="M2436" t="s">
        <v>5196</v>
      </c>
      <c r="N2436" t="s">
        <v>5197</v>
      </c>
    </row>
    <row r="2437" spans="1:14" x14ac:dyDescent="0.25">
      <c r="A2437" t="s">
        <v>1338</v>
      </c>
      <c r="B2437">
        <v>12</v>
      </c>
      <c r="C2437" t="s">
        <v>4406</v>
      </c>
      <c r="D2437" t="s">
        <v>4702</v>
      </c>
      <c r="E2437" t="s">
        <v>4943</v>
      </c>
      <c r="F2437" t="s">
        <v>4406</v>
      </c>
      <c r="G2437" t="s">
        <v>4406</v>
      </c>
      <c r="H2437" t="s">
        <v>4793</v>
      </c>
      <c r="I2437" t="s">
        <v>4793</v>
      </c>
      <c r="J2437" t="s">
        <v>4462</v>
      </c>
      <c r="K2437" t="s">
        <v>4406</v>
      </c>
      <c r="L2437" t="s">
        <v>4406</v>
      </c>
      <c r="M2437" t="s">
        <v>4596</v>
      </c>
      <c r="N2437" t="s">
        <v>4943</v>
      </c>
    </row>
    <row r="2438" spans="1:14" x14ac:dyDescent="0.25">
      <c r="A2438" t="s">
        <v>1370</v>
      </c>
      <c r="B2438">
        <v>24</v>
      </c>
      <c r="C2438" t="s">
        <v>4751</v>
      </c>
      <c r="D2438" t="s">
        <v>4517</v>
      </c>
      <c r="E2438" t="s">
        <v>4406</v>
      </c>
      <c r="F2438" t="s">
        <v>4406</v>
      </c>
      <c r="G2438" t="s">
        <v>4406</v>
      </c>
      <c r="H2438" t="s">
        <v>4793</v>
      </c>
      <c r="I2438" t="s">
        <v>4462</v>
      </c>
      <c r="J2438" t="s">
        <v>4596</v>
      </c>
      <c r="K2438" t="s">
        <v>4406</v>
      </c>
      <c r="L2438" t="s">
        <v>4406</v>
      </c>
      <c r="M2438" t="s">
        <v>4751</v>
      </c>
      <c r="N2438" t="s">
        <v>4751</v>
      </c>
    </row>
    <row r="2439" spans="1:14" x14ac:dyDescent="0.25">
      <c r="A2439" t="s">
        <v>1439</v>
      </c>
      <c r="B2439">
        <v>14</v>
      </c>
      <c r="C2439" t="s">
        <v>4406</v>
      </c>
      <c r="D2439" t="s">
        <v>4604</v>
      </c>
      <c r="E2439" t="s">
        <v>4400</v>
      </c>
      <c r="F2439" t="s">
        <v>4406</v>
      </c>
      <c r="G2439" t="s">
        <v>4406</v>
      </c>
      <c r="H2439" t="s">
        <v>4454</v>
      </c>
      <c r="I2439" t="s">
        <v>4814</v>
      </c>
      <c r="J2439" t="s">
        <v>4400</v>
      </c>
      <c r="K2439" t="s">
        <v>4406</v>
      </c>
      <c r="L2439" t="s">
        <v>4406</v>
      </c>
      <c r="M2439" t="s">
        <v>4522</v>
      </c>
      <c r="N2439" t="s">
        <v>4406</v>
      </c>
    </row>
    <row r="2440" spans="1:14" x14ac:dyDescent="0.25">
      <c r="A2440" t="s">
        <v>1476</v>
      </c>
      <c r="B2440">
        <v>46</v>
      </c>
      <c r="C2440" t="s">
        <v>4406</v>
      </c>
      <c r="D2440" t="s">
        <v>4682</v>
      </c>
      <c r="E2440" t="s">
        <v>4406</v>
      </c>
      <c r="F2440" t="s">
        <v>4406</v>
      </c>
      <c r="G2440" t="s">
        <v>4406</v>
      </c>
      <c r="H2440" t="s">
        <v>5204</v>
      </c>
      <c r="I2440" t="s">
        <v>4579</v>
      </c>
      <c r="J2440" t="s">
        <v>4667</v>
      </c>
      <c r="K2440" t="s">
        <v>4406</v>
      </c>
      <c r="L2440" t="s">
        <v>4406</v>
      </c>
      <c r="M2440" t="s">
        <v>4681</v>
      </c>
      <c r="N2440" t="s">
        <v>4667</v>
      </c>
    </row>
    <row r="2441" spans="1:14" x14ac:dyDescent="0.25">
      <c r="A2441" t="s">
        <v>5476</v>
      </c>
      <c r="B2441">
        <v>4</v>
      </c>
      <c r="C2441" t="s">
        <v>4406</v>
      </c>
      <c r="D2441" t="s">
        <v>4793</v>
      </c>
      <c r="E2441" t="s">
        <v>4406</v>
      </c>
      <c r="F2441" t="s">
        <v>4406</v>
      </c>
      <c r="G2441" t="s">
        <v>4406</v>
      </c>
      <c r="H2441" t="s">
        <v>4454</v>
      </c>
      <c r="I2441" t="s">
        <v>4468</v>
      </c>
      <c r="J2441" t="s">
        <v>4462</v>
      </c>
      <c r="K2441" t="s">
        <v>4406</v>
      </c>
      <c r="L2441" t="s">
        <v>4406</v>
      </c>
      <c r="M2441" t="s">
        <v>4406</v>
      </c>
      <c r="N2441" t="s">
        <v>4462</v>
      </c>
    </row>
    <row r="2442" spans="1:14" x14ac:dyDescent="0.25">
      <c r="A2442" t="s">
        <v>1399</v>
      </c>
      <c r="B2442">
        <v>24</v>
      </c>
      <c r="C2442" t="s">
        <v>4406</v>
      </c>
      <c r="D2442" t="s">
        <v>5205</v>
      </c>
      <c r="E2442" t="s">
        <v>4406</v>
      </c>
      <c r="F2442" t="s">
        <v>4406</v>
      </c>
      <c r="G2442" t="s">
        <v>4406</v>
      </c>
      <c r="H2442" t="s">
        <v>4783</v>
      </c>
      <c r="I2442" t="s">
        <v>4471</v>
      </c>
      <c r="J2442" t="s">
        <v>4943</v>
      </c>
      <c r="K2442" t="s">
        <v>4406</v>
      </c>
      <c r="L2442" t="s">
        <v>4406</v>
      </c>
      <c r="M2442" t="s">
        <v>4943</v>
      </c>
      <c r="N2442" t="s">
        <v>4406</v>
      </c>
    </row>
    <row r="2443" spans="1:14" x14ac:dyDescent="0.25">
      <c r="A2443" t="s">
        <v>1415</v>
      </c>
      <c r="B2443">
        <v>28</v>
      </c>
      <c r="C2443" t="s">
        <v>4406</v>
      </c>
      <c r="D2443" t="s">
        <v>4449</v>
      </c>
      <c r="E2443" t="s">
        <v>4406</v>
      </c>
      <c r="F2443" t="s">
        <v>4406</v>
      </c>
      <c r="G2443" t="s">
        <v>4400</v>
      </c>
      <c r="H2443" t="s">
        <v>5100</v>
      </c>
      <c r="I2443" t="s">
        <v>4449</v>
      </c>
      <c r="J2443" t="s">
        <v>4604</v>
      </c>
      <c r="K2443" t="s">
        <v>4406</v>
      </c>
      <c r="L2443" t="s">
        <v>4406</v>
      </c>
      <c r="M2443" t="s">
        <v>4987</v>
      </c>
      <c r="N2443" t="s">
        <v>4584</v>
      </c>
    </row>
    <row r="2444" spans="1:14" x14ac:dyDescent="0.25">
      <c r="A2444" t="s">
        <v>1296</v>
      </c>
      <c r="B2444">
        <v>152</v>
      </c>
      <c r="C2444" t="s">
        <v>4410</v>
      </c>
      <c r="D2444" t="s">
        <v>5104</v>
      </c>
      <c r="E2444" t="s">
        <v>4659</v>
      </c>
      <c r="F2444" t="s">
        <v>4406</v>
      </c>
      <c r="G2444" t="s">
        <v>4659</v>
      </c>
      <c r="H2444" t="s">
        <v>4985</v>
      </c>
      <c r="I2444" t="s">
        <v>4468</v>
      </c>
      <c r="J2444" t="s">
        <v>4479</v>
      </c>
      <c r="K2444" t="s">
        <v>4406</v>
      </c>
      <c r="L2444" t="s">
        <v>4406</v>
      </c>
      <c r="M2444" t="s">
        <v>4425</v>
      </c>
      <c r="N2444" t="s">
        <v>4742</v>
      </c>
    </row>
    <row r="2446" spans="1:14" x14ac:dyDescent="0.25">
      <c r="A2446" t="s">
        <v>5860</v>
      </c>
    </row>
    <row r="2447" spans="1:14" x14ac:dyDescent="0.25">
      <c r="A2447" t="s">
        <v>907</v>
      </c>
      <c r="B2447" t="s">
        <v>4394</v>
      </c>
      <c r="C2447" t="s">
        <v>5189</v>
      </c>
      <c r="D2447" t="s">
        <v>5190</v>
      </c>
      <c r="E2447" t="s">
        <v>5191</v>
      </c>
      <c r="F2447" t="s">
        <v>4732</v>
      </c>
      <c r="G2447" t="s">
        <v>5192</v>
      </c>
      <c r="H2447" t="s">
        <v>5193</v>
      </c>
      <c r="I2447" t="s">
        <v>5194</v>
      </c>
      <c r="J2447" t="s">
        <v>5195</v>
      </c>
      <c r="K2447" t="s">
        <v>4736</v>
      </c>
      <c r="L2447" t="s">
        <v>4737</v>
      </c>
      <c r="M2447" t="s">
        <v>5196</v>
      </c>
      <c r="N2447" t="s">
        <v>5197</v>
      </c>
    </row>
    <row r="2448" spans="1:14" x14ac:dyDescent="0.25">
      <c r="A2448" t="s">
        <v>109</v>
      </c>
      <c r="B2448">
        <v>123</v>
      </c>
      <c r="C2448" t="s">
        <v>4417</v>
      </c>
      <c r="D2448" t="s">
        <v>4630</v>
      </c>
      <c r="E2448" t="s">
        <v>4635</v>
      </c>
      <c r="F2448" t="s">
        <v>4406</v>
      </c>
      <c r="G2448" t="s">
        <v>4635</v>
      </c>
      <c r="H2448" t="s">
        <v>4991</v>
      </c>
      <c r="I2448" t="s">
        <v>4908</v>
      </c>
      <c r="J2448" t="s">
        <v>4470</v>
      </c>
      <c r="K2448" t="s">
        <v>4406</v>
      </c>
      <c r="L2448" t="s">
        <v>4406</v>
      </c>
      <c r="M2448" t="s">
        <v>4668</v>
      </c>
      <c r="N2448" t="s">
        <v>5206</v>
      </c>
    </row>
    <row r="2449" spans="1:14" x14ac:dyDescent="0.25">
      <c r="A2449" t="s">
        <v>192</v>
      </c>
      <c r="B2449">
        <v>29</v>
      </c>
      <c r="C2449" t="s">
        <v>4406</v>
      </c>
      <c r="D2449" t="s">
        <v>5074</v>
      </c>
      <c r="E2449" t="s">
        <v>4406</v>
      </c>
      <c r="F2449" t="s">
        <v>4406</v>
      </c>
      <c r="G2449" t="s">
        <v>4406</v>
      </c>
      <c r="H2449" t="s">
        <v>5207</v>
      </c>
      <c r="I2449" t="s">
        <v>5208</v>
      </c>
      <c r="J2449" t="s">
        <v>4887</v>
      </c>
      <c r="K2449" t="s">
        <v>4406</v>
      </c>
      <c r="L2449" t="s">
        <v>4406</v>
      </c>
      <c r="M2449" t="s">
        <v>4406</v>
      </c>
      <c r="N2449" t="s">
        <v>4888</v>
      </c>
    </row>
    <row r="2450" spans="1:14" x14ac:dyDescent="0.25">
      <c r="A2450" t="s">
        <v>1296</v>
      </c>
      <c r="B2450">
        <v>152</v>
      </c>
      <c r="C2450" t="s">
        <v>4410</v>
      </c>
      <c r="D2450" t="s">
        <v>5104</v>
      </c>
      <c r="E2450" t="s">
        <v>4659</v>
      </c>
      <c r="F2450" t="s">
        <v>4406</v>
      </c>
      <c r="G2450" t="s">
        <v>4659</v>
      </c>
      <c r="H2450" t="s">
        <v>4985</v>
      </c>
      <c r="I2450" t="s">
        <v>4468</v>
      </c>
      <c r="J2450" t="s">
        <v>4479</v>
      </c>
      <c r="K2450" t="s">
        <v>4406</v>
      </c>
      <c r="L2450" t="s">
        <v>4406</v>
      </c>
      <c r="M2450" t="s">
        <v>4425</v>
      </c>
      <c r="N2450" t="s">
        <v>4742</v>
      </c>
    </row>
    <row r="2452" spans="1:14" x14ac:dyDescent="0.25">
      <c r="A2452" t="s">
        <v>5861</v>
      </c>
    </row>
    <row r="2453" spans="1:14" x14ac:dyDescent="0.25">
      <c r="A2453" t="s">
        <v>910</v>
      </c>
      <c r="B2453" t="s">
        <v>4394</v>
      </c>
      <c r="C2453" t="s">
        <v>5189</v>
      </c>
      <c r="D2453" t="s">
        <v>5190</v>
      </c>
      <c r="E2453" t="s">
        <v>5191</v>
      </c>
      <c r="F2453" t="s">
        <v>4732</v>
      </c>
      <c r="G2453" t="s">
        <v>5192</v>
      </c>
      <c r="H2453" t="s">
        <v>5193</v>
      </c>
      <c r="I2453" t="s">
        <v>5194</v>
      </c>
      <c r="J2453" t="s">
        <v>5195</v>
      </c>
      <c r="K2453" t="s">
        <v>4736</v>
      </c>
      <c r="L2453" t="s">
        <v>4737</v>
      </c>
      <c r="M2453" t="s">
        <v>5196</v>
      </c>
      <c r="N2453" t="s">
        <v>5197</v>
      </c>
    </row>
    <row r="2454" spans="1:14" x14ac:dyDescent="0.25">
      <c r="A2454" t="s">
        <v>1371</v>
      </c>
      <c r="B2454">
        <v>23</v>
      </c>
      <c r="C2454" t="s">
        <v>4406</v>
      </c>
      <c r="D2454" t="s">
        <v>4787</v>
      </c>
      <c r="E2454" t="s">
        <v>4667</v>
      </c>
      <c r="F2454" t="s">
        <v>4406</v>
      </c>
      <c r="G2454" t="s">
        <v>4406</v>
      </c>
      <c r="H2454" t="s">
        <v>4923</v>
      </c>
      <c r="I2454" t="s">
        <v>4664</v>
      </c>
      <c r="J2454" t="s">
        <v>4606</v>
      </c>
      <c r="K2454" t="s">
        <v>4406</v>
      </c>
      <c r="L2454" t="s">
        <v>4406</v>
      </c>
      <c r="M2454" t="s">
        <v>4684</v>
      </c>
      <c r="N2454" t="s">
        <v>4663</v>
      </c>
    </row>
    <row r="2455" spans="1:14" x14ac:dyDescent="0.25">
      <c r="A2455" t="s">
        <v>1452</v>
      </c>
      <c r="B2455">
        <v>7</v>
      </c>
      <c r="C2455" t="s">
        <v>4406</v>
      </c>
      <c r="D2455" t="s">
        <v>4450</v>
      </c>
      <c r="E2455" t="s">
        <v>4406</v>
      </c>
      <c r="F2455" t="s">
        <v>4406</v>
      </c>
      <c r="G2455" t="s">
        <v>4406</v>
      </c>
      <c r="H2455" t="s">
        <v>4814</v>
      </c>
      <c r="I2455" t="s">
        <v>4406</v>
      </c>
      <c r="J2455" t="s">
        <v>4522</v>
      </c>
      <c r="K2455" t="s">
        <v>4406</v>
      </c>
      <c r="L2455" t="s">
        <v>4406</v>
      </c>
      <c r="M2455" t="s">
        <v>4522</v>
      </c>
      <c r="N2455" t="s">
        <v>4522</v>
      </c>
    </row>
    <row r="2456" spans="1:14" x14ac:dyDescent="0.25">
      <c r="A2456" t="s">
        <v>5560</v>
      </c>
      <c r="B2456">
        <v>40</v>
      </c>
      <c r="C2456" t="s">
        <v>4406</v>
      </c>
      <c r="D2456" t="s">
        <v>4489</v>
      </c>
      <c r="E2456" t="s">
        <v>4406</v>
      </c>
      <c r="F2456" t="s">
        <v>4406</v>
      </c>
      <c r="G2456" t="s">
        <v>4406</v>
      </c>
      <c r="H2456" t="s">
        <v>4945</v>
      </c>
      <c r="I2456" t="s">
        <v>5363</v>
      </c>
      <c r="J2456" t="s">
        <v>4645</v>
      </c>
      <c r="K2456" t="s">
        <v>4406</v>
      </c>
      <c r="L2456" t="s">
        <v>4406</v>
      </c>
      <c r="M2456" t="s">
        <v>4758</v>
      </c>
      <c r="N2456" t="s">
        <v>4758</v>
      </c>
    </row>
    <row r="2457" spans="1:14" x14ac:dyDescent="0.25">
      <c r="A2457" t="s">
        <v>1424</v>
      </c>
      <c r="B2457">
        <v>65</v>
      </c>
      <c r="C2457" t="s">
        <v>4680</v>
      </c>
      <c r="D2457" t="s">
        <v>4458</v>
      </c>
      <c r="E2457" t="s">
        <v>4680</v>
      </c>
      <c r="F2457" t="s">
        <v>4406</v>
      </c>
      <c r="G2457" t="s">
        <v>4695</v>
      </c>
      <c r="H2457" t="s">
        <v>4981</v>
      </c>
      <c r="I2457" t="s">
        <v>4457</v>
      </c>
      <c r="J2457" t="s">
        <v>4470</v>
      </c>
      <c r="K2457" t="s">
        <v>4406</v>
      </c>
      <c r="L2457" t="s">
        <v>4406</v>
      </c>
      <c r="M2457" t="s">
        <v>4470</v>
      </c>
      <c r="N2457" t="s">
        <v>4910</v>
      </c>
    </row>
    <row r="2458" spans="1:14" x14ac:dyDescent="0.25">
      <c r="A2458" t="s">
        <v>1340</v>
      </c>
      <c r="B2458">
        <v>8</v>
      </c>
      <c r="C2458" t="s">
        <v>4406</v>
      </c>
      <c r="D2458" t="s">
        <v>4479</v>
      </c>
      <c r="E2458" t="s">
        <v>4406</v>
      </c>
      <c r="F2458" t="s">
        <v>4406</v>
      </c>
      <c r="G2458" t="s">
        <v>4406</v>
      </c>
      <c r="H2458" t="s">
        <v>4945</v>
      </c>
      <c r="I2458" t="s">
        <v>4481</v>
      </c>
      <c r="J2458" t="s">
        <v>4462</v>
      </c>
      <c r="K2458" t="s">
        <v>4406</v>
      </c>
      <c r="L2458" t="s">
        <v>4406</v>
      </c>
      <c r="M2458" t="s">
        <v>4406</v>
      </c>
      <c r="N2458" t="s">
        <v>4406</v>
      </c>
    </row>
    <row r="2459" spans="1:14" x14ac:dyDescent="0.25">
      <c r="A2459" t="s">
        <v>5561</v>
      </c>
      <c r="B2459">
        <v>6</v>
      </c>
      <c r="C2459" t="s">
        <v>4406</v>
      </c>
      <c r="D2459" t="s">
        <v>4783</v>
      </c>
      <c r="E2459" t="s">
        <v>4406</v>
      </c>
      <c r="F2459" t="s">
        <v>4406</v>
      </c>
      <c r="G2459" t="s">
        <v>4406</v>
      </c>
      <c r="H2459" t="s">
        <v>4783</v>
      </c>
      <c r="I2459" t="s">
        <v>4465</v>
      </c>
      <c r="J2459" t="s">
        <v>4406</v>
      </c>
      <c r="K2459" t="s">
        <v>4406</v>
      </c>
      <c r="L2459" t="s">
        <v>4406</v>
      </c>
      <c r="M2459" t="s">
        <v>4406</v>
      </c>
      <c r="N2459" t="s">
        <v>4596</v>
      </c>
    </row>
    <row r="2460" spans="1:14" x14ac:dyDescent="0.25">
      <c r="A2460" t="s">
        <v>1416</v>
      </c>
      <c r="B2460">
        <v>3</v>
      </c>
      <c r="C2460" t="s">
        <v>4406</v>
      </c>
      <c r="D2460" t="s">
        <v>4406</v>
      </c>
      <c r="E2460" t="s">
        <v>4406</v>
      </c>
      <c r="F2460" t="s">
        <v>4406</v>
      </c>
      <c r="G2460" t="s">
        <v>4406</v>
      </c>
      <c r="H2460" t="s">
        <v>4469</v>
      </c>
      <c r="I2460" t="s">
        <v>4465</v>
      </c>
      <c r="J2460" t="s">
        <v>4465</v>
      </c>
      <c r="K2460" t="s">
        <v>4406</v>
      </c>
      <c r="L2460" t="s">
        <v>4406</v>
      </c>
      <c r="M2460" t="s">
        <v>4465</v>
      </c>
      <c r="N2460" t="s">
        <v>4406</v>
      </c>
    </row>
    <row r="2461" spans="1:14" x14ac:dyDescent="0.25">
      <c r="A2461" t="s">
        <v>1296</v>
      </c>
      <c r="B2461">
        <v>152</v>
      </c>
      <c r="C2461" t="s">
        <v>4410</v>
      </c>
      <c r="D2461" t="s">
        <v>5104</v>
      </c>
      <c r="E2461" t="s">
        <v>4659</v>
      </c>
      <c r="F2461" t="s">
        <v>4406</v>
      </c>
      <c r="G2461" t="s">
        <v>4659</v>
      </c>
      <c r="H2461" t="s">
        <v>4985</v>
      </c>
      <c r="I2461" t="s">
        <v>4468</v>
      </c>
      <c r="J2461" t="s">
        <v>4479</v>
      </c>
      <c r="K2461" t="s">
        <v>4406</v>
      </c>
      <c r="L2461" t="s">
        <v>4406</v>
      </c>
      <c r="M2461" t="s">
        <v>4425</v>
      </c>
      <c r="N2461" t="s">
        <v>4742</v>
      </c>
    </row>
    <row r="2463" spans="1:14" x14ac:dyDescent="0.25">
      <c r="A2463" t="s">
        <v>5862</v>
      </c>
    </row>
    <row r="2464" spans="1:14" x14ac:dyDescent="0.25">
      <c r="A2464" t="s">
        <v>5481</v>
      </c>
      <c r="B2464" t="s">
        <v>4394</v>
      </c>
      <c r="C2464" t="s">
        <v>5189</v>
      </c>
      <c r="D2464" t="s">
        <v>5190</v>
      </c>
      <c r="E2464" t="s">
        <v>5191</v>
      </c>
      <c r="F2464" t="s">
        <v>4732</v>
      </c>
      <c r="G2464" t="s">
        <v>5192</v>
      </c>
      <c r="H2464" t="s">
        <v>5193</v>
      </c>
      <c r="I2464" t="s">
        <v>5194</v>
      </c>
      <c r="J2464" t="s">
        <v>5195</v>
      </c>
      <c r="K2464" t="s">
        <v>4736</v>
      </c>
      <c r="L2464" t="s">
        <v>4737</v>
      </c>
      <c r="M2464" t="s">
        <v>5196</v>
      </c>
      <c r="N2464" t="s">
        <v>5197</v>
      </c>
    </row>
    <row r="2465" spans="1:14" x14ac:dyDescent="0.25">
      <c r="A2465" t="s">
        <v>4438</v>
      </c>
      <c r="B2465">
        <v>67</v>
      </c>
      <c r="C2465" t="s">
        <v>4680</v>
      </c>
      <c r="D2465" t="s">
        <v>4512</v>
      </c>
      <c r="E2465" t="s">
        <v>4680</v>
      </c>
      <c r="F2465" t="s">
        <v>4406</v>
      </c>
      <c r="G2465" t="s">
        <v>4406</v>
      </c>
      <c r="H2465" t="s">
        <v>5038</v>
      </c>
      <c r="I2465" t="s">
        <v>5198</v>
      </c>
      <c r="J2465" t="s">
        <v>4979</v>
      </c>
      <c r="K2465" t="s">
        <v>4406</v>
      </c>
      <c r="L2465" t="s">
        <v>4406</v>
      </c>
      <c r="M2465" t="s">
        <v>4573</v>
      </c>
      <c r="N2465" t="s">
        <v>4677</v>
      </c>
    </row>
    <row r="2466" spans="1:14" x14ac:dyDescent="0.25">
      <c r="A2466" t="s">
        <v>4439</v>
      </c>
      <c r="B2466">
        <v>56</v>
      </c>
      <c r="C2466" t="s">
        <v>4406</v>
      </c>
      <c r="D2466" t="s">
        <v>5178</v>
      </c>
      <c r="E2466" t="s">
        <v>4406</v>
      </c>
      <c r="F2466" t="s">
        <v>4406</v>
      </c>
      <c r="G2466" t="s">
        <v>5076</v>
      </c>
      <c r="H2466" t="s">
        <v>4995</v>
      </c>
      <c r="I2466" t="s">
        <v>4904</v>
      </c>
      <c r="J2466" t="s">
        <v>4522</v>
      </c>
      <c r="K2466" t="s">
        <v>4406</v>
      </c>
      <c r="L2466" t="s">
        <v>4406</v>
      </c>
      <c r="M2466" t="s">
        <v>4746</v>
      </c>
      <c r="N2466" t="s">
        <v>4746</v>
      </c>
    </row>
    <row r="2467" spans="1:14" x14ac:dyDescent="0.25">
      <c r="A2467" t="s">
        <v>1400</v>
      </c>
      <c r="B2467">
        <v>2</v>
      </c>
      <c r="C2467" t="s">
        <v>4406</v>
      </c>
      <c r="D2467" t="s">
        <v>4406</v>
      </c>
      <c r="E2467" t="s">
        <v>4406</v>
      </c>
      <c r="F2467" t="s">
        <v>4406</v>
      </c>
      <c r="G2467" t="s">
        <v>4406</v>
      </c>
      <c r="H2467" t="s">
        <v>4454</v>
      </c>
      <c r="I2467" t="s">
        <v>4406</v>
      </c>
      <c r="J2467" t="s">
        <v>4406</v>
      </c>
      <c r="K2467" t="s">
        <v>4406</v>
      </c>
      <c r="L2467" t="s">
        <v>4406</v>
      </c>
      <c r="M2467" t="s">
        <v>4406</v>
      </c>
      <c r="N2467" t="s">
        <v>4406</v>
      </c>
    </row>
    <row r="2468" spans="1:14" x14ac:dyDescent="0.25">
      <c r="A2468" t="s">
        <v>5566</v>
      </c>
      <c r="B2468">
        <v>11</v>
      </c>
      <c r="C2468" t="s">
        <v>4406</v>
      </c>
      <c r="D2468" t="s">
        <v>4726</v>
      </c>
      <c r="E2468" t="s">
        <v>4852</v>
      </c>
      <c r="F2468" t="s">
        <v>4406</v>
      </c>
      <c r="G2468" t="s">
        <v>4406</v>
      </c>
      <c r="H2468" t="s">
        <v>5009</v>
      </c>
      <c r="I2468" t="s">
        <v>4452</v>
      </c>
      <c r="J2468" t="s">
        <v>4405</v>
      </c>
      <c r="K2468" t="s">
        <v>4406</v>
      </c>
      <c r="L2468" t="s">
        <v>4406</v>
      </c>
      <c r="M2468" t="s">
        <v>4852</v>
      </c>
      <c r="N2468" t="s">
        <v>4406</v>
      </c>
    </row>
    <row r="2469" spans="1:14" x14ac:dyDescent="0.25">
      <c r="A2469" t="s">
        <v>1372</v>
      </c>
      <c r="B2469">
        <v>16</v>
      </c>
      <c r="C2469" t="s">
        <v>4406</v>
      </c>
      <c r="D2469" t="s">
        <v>4462</v>
      </c>
      <c r="E2469" t="s">
        <v>4406</v>
      </c>
      <c r="F2469" t="s">
        <v>4406</v>
      </c>
      <c r="G2469" t="s">
        <v>4406</v>
      </c>
      <c r="H2469" t="s">
        <v>4945</v>
      </c>
      <c r="I2469" t="s">
        <v>4916</v>
      </c>
      <c r="J2469" t="s">
        <v>4406</v>
      </c>
      <c r="K2469" t="s">
        <v>4406</v>
      </c>
      <c r="L2469" t="s">
        <v>4406</v>
      </c>
      <c r="M2469" t="s">
        <v>4406</v>
      </c>
      <c r="N2469" t="s">
        <v>4406</v>
      </c>
    </row>
    <row r="2470" spans="1:14" x14ac:dyDescent="0.25">
      <c r="A2470" t="s">
        <v>1296</v>
      </c>
      <c r="B2470">
        <v>152</v>
      </c>
      <c r="C2470" t="s">
        <v>4410</v>
      </c>
      <c r="D2470" t="s">
        <v>5104</v>
      </c>
      <c r="E2470" t="s">
        <v>4659</v>
      </c>
      <c r="F2470" t="s">
        <v>4406</v>
      </c>
      <c r="G2470" t="s">
        <v>4659</v>
      </c>
      <c r="H2470" t="s">
        <v>4985</v>
      </c>
      <c r="I2470" t="s">
        <v>4468</v>
      </c>
      <c r="J2470" t="s">
        <v>4479</v>
      </c>
      <c r="K2470" t="s">
        <v>4406</v>
      </c>
      <c r="L2470" t="s">
        <v>4406</v>
      </c>
      <c r="M2470" t="s">
        <v>4425</v>
      </c>
      <c r="N2470" t="s">
        <v>4742</v>
      </c>
    </row>
    <row r="2472" spans="1:14" x14ac:dyDescent="0.25">
      <c r="A2472" t="s">
        <v>5863</v>
      </c>
    </row>
    <row r="2473" spans="1:14" x14ac:dyDescent="0.25">
      <c r="A2473" t="s">
        <v>5477</v>
      </c>
      <c r="B2473" t="s">
        <v>4394</v>
      </c>
      <c r="C2473" t="s">
        <v>5189</v>
      </c>
      <c r="D2473" t="s">
        <v>5190</v>
      </c>
      <c r="E2473" t="s">
        <v>5191</v>
      </c>
      <c r="F2473" t="s">
        <v>4732</v>
      </c>
      <c r="G2473" t="s">
        <v>5192</v>
      </c>
      <c r="H2473" t="s">
        <v>5193</v>
      </c>
      <c r="I2473" t="s">
        <v>5194</v>
      </c>
      <c r="J2473" t="s">
        <v>5195</v>
      </c>
      <c r="K2473" t="s">
        <v>4736</v>
      </c>
      <c r="L2473" t="s">
        <v>4737</v>
      </c>
      <c r="M2473" t="s">
        <v>5196</v>
      </c>
      <c r="N2473" t="s">
        <v>5197</v>
      </c>
    </row>
    <row r="2474" spans="1:14" x14ac:dyDescent="0.25">
      <c r="A2474" t="s">
        <v>4438</v>
      </c>
      <c r="B2474">
        <v>47</v>
      </c>
      <c r="C2474" t="s">
        <v>4406</v>
      </c>
      <c r="D2474" t="s">
        <v>4639</v>
      </c>
      <c r="E2474" t="s">
        <v>4406</v>
      </c>
      <c r="F2474" t="s">
        <v>4406</v>
      </c>
      <c r="G2474" t="s">
        <v>4406</v>
      </c>
      <c r="H2474" t="s">
        <v>5091</v>
      </c>
      <c r="I2474" t="s">
        <v>4947</v>
      </c>
      <c r="J2474" t="s">
        <v>4423</v>
      </c>
      <c r="K2474" t="s">
        <v>4406</v>
      </c>
      <c r="L2474" t="s">
        <v>4406</v>
      </c>
      <c r="M2474" t="s">
        <v>4423</v>
      </c>
      <c r="N2474" t="s">
        <v>4706</v>
      </c>
    </row>
    <row r="2475" spans="1:14" x14ac:dyDescent="0.25">
      <c r="A2475" t="s">
        <v>4439</v>
      </c>
      <c r="B2475">
        <v>76</v>
      </c>
      <c r="C2475" t="s">
        <v>4659</v>
      </c>
      <c r="D2475" t="s">
        <v>4491</v>
      </c>
      <c r="E2475" t="s">
        <v>4659</v>
      </c>
      <c r="F2475" t="s">
        <v>4406</v>
      </c>
      <c r="G2475" t="s">
        <v>4864</v>
      </c>
      <c r="H2475" t="s">
        <v>4973</v>
      </c>
      <c r="I2475" t="s">
        <v>4842</v>
      </c>
      <c r="J2475" t="s">
        <v>4715</v>
      </c>
      <c r="K2475" t="s">
        <v>4406</v>
      </c>
      <c r="L2475" t="s">
        <v>4406</v>
      </c>
      <c r="M2475" t="s">
        <v>4617</v>
      </c>
      <c r="N2475" t="s">
        <v>4692</v>
      </c>
    </row>
    <row r="2476" spans="1:14" x14ac:dyDescent="0.25">
      <c r="A2476" t="s">
        <v>1400</v>
      </c>
      <c r="B2476">
        <v>4</v>
      </c>
      <c r="C2476" t="s">
        <v>4406</v>
      </c>
      <c r="D2476" t="s">
        <v>4462</v>
      </c>
      <c r="E2476" t="s">
        <v>4406</v>
      </c>
      <c r="F2476" t="s">
        <v>4406</v>
      </c>
      <c r="G2476" t="s">
        <v>4406</v>
      </c>
      <c r="H2476" t="s">
        <v>4793</v>
      </c>
      <c r="I2476" t="s">
        <v>4462</v>
      </c>
      <c r="J2476" t="s">
        <v>4406</v>
      </c>
      <c r="K2476" t="s">
        <v>4406</v>
      </c>
      <c r="L2476" t="s">
        <v>4406</v>
      </c>
      <c r="M2476" t="s">
        <v>4406</v>
      </c>
      <c r="N2476" t="s">
        <v>4406</v>
      </c>
    </row>
    <row r="2477" spans="1:14" x14ac:dyDescent="0.25">
      <c r="A2477" t="s">
        <v>5566</v>
      </c>
      <c r="B2477">
        <v>11</v>
      </c>
      <c r="C2477" t="s">
        <v>4406</v>
      </c>
      <c r="D2477" t="s">
        <v>4726</v>
      </c>
      <c r="E2477" t="s">
        <v>4852</v>
      </c>
      <c r="F2477" t="s">
        <v>4406</v>
      </c>
      <c r="G2477" t="s">
        <v>4406</v>
      </c>
      <c r="H2477" t="s">
        <v>5009</v>
      </c>
      <c r="I2477" t="s">
        <v>4452</v>
      </c>
      <c r="J2477" t="s">
        <v>4405</v>
      </c>
      <c r="K2477" t="s">
        <v>4406</v>
      </c>
      <c r="L2477" t="s">
        <v>4406</v>
      </c>
      <c r="M2477" t="s">
        <v>4852</v>
      </c>
      <c r="N2477" t="s">
        <v>4406</v>
      </c>
    </row>
    <row r="2478" spans="1:14" x14ac:dyDescent="0.25">
      <c r="A2478" t="s">
        <v>1372</v>
      </c>
      <c r="B2478">
        <v>14</v>
      </c>
      <c r="C2478" t="s">
        <v>4406</v>
      </c>
      <c r="D2478" t="s">
        <v>4449</v>
      </c>
      <c r="E2478" t="s">
        <v>4406</v>
      </c>
      <c r="F2478" t="s">
        <v>4406</v>
      </c>
      <c r="G2478" t="s">
        <v>4406</v>
      </c>
      <c r="H2478" t="s">
        <v>5029</v>
      </c>
      <c r="I2478" t="s">
        <v>4468</v>
      </c>
      <c r="J2478" t="s">
        <v>4522</v>
      </c>
      <c r="K2478" t="s">
        <v>4406</v>
      </c>
      <c r="L2478" t="s">
        <v>4406</v>
      </c>
      <c r="M2478" t="s">
        <v>4406</v>
      </c>
      <c r="N2478" t="s">
        <v>4400</v>
      </c>
    </row>
    <row r="2479" spans="1:14" x14ac:dyDescent="0.25">
      <c r="A2479" t="s">
        <v>1296</v>
      </c>
      <c r="B2479">
        <v>152</v>
      </c>
      <c r="C2479" t="s">
        <v>4410</v>
      </c>
      <c r="D2479" t="s">
        <v>5104</v>
      </c>
      <c r="E2479" t="s">
        <v>4659</v>
      </c>
      <c r="F2479" t="s">
        <v>4406</v>
      </c>
      <c r="G2479" t="s">
        <v>4659</v>
      </c>
      <c r="H2479" t="s">
        <v>4985</v>
      </c>
      <c r="I2479" t="s">
        <v>4468</v>
      </c>
      <c r="J2479" t="s">
        <v>4479</v>
      </c>
      <c r="K2479" t="s">
        <v>4406</v>
      </c>
      <c r="L2479" t="s">
        <v>4406</v>
      </c>
      <c r="M2479" t="s">
        <v>4425</v>
      </c>
      <c r="N2479" t="s">
        <v>4742</v>
      </c>
    </row>
    <row r="2481" spans="1:14" x14ac:dyDescent="0.25">
      <c r="A2481" t="s">
        <v>5864</v>
      </c>
    </row>
    <row r="2482" spans="1:14" x14ac:dyDescent="0.25">
      <c r="A2482" t="s">
        <v>911</v>
      </c>
      <c r="B2482" t="s">
        <v>4394</v>
      </c>
      <c r="C2482" t="s">
        <v>5189</v>
      </c>
      <c r="D2482" t="s">
        <v>5190</v>
      </c>
      <c r="E2482" t="s">
        <v>5191</v>
      </c>
      <c r="F2482" t="s">
        <v>4732</v>
      </c>
      <c r="G2482" t="s">
        <v>5192</v>
      </c>
      <c r="H2482" t="s">
        <v>5193</v>
      </c>
      <c r="I2482" t="s">
        <v>5194</v>
      </c>
      <c r="J2482" t="s">
        <v>5195</v>
      </c>
      <c r="K2482" t="s">
        <v>4736</v>
      </c>
      <c r="L2482" t="s">
        <v>4737</v>
      </c>
      <c r="M2482" t="s">
        <v>5196</v>
      </c>
      <c r="N2482" t="s">
        <v>5197</v>
      </c>
    </row>
    <row r="2483" spans="1:14" x14ac:dyDescent="0.25">
      <c r="A2483" t="s">
        <v>4438</v>
      </c>
      <c r="B2483">
        <v>66</v>
      </c>
      <c r="C2483" t="s">
        <v>4680</v>
      </c>
      <c r="D2483" t="s">
        <v>4452</v>
      </c>
      <c r="E2483" t="s">
        <v>4626</v>
      </c>
      <c r="F2483" t="s">
        <v>4406</v>
      </c>
      <c r="G2483" t="s">
        <v>4406</v>
      </c>
      <c r="H2483" t="s">
        <v>5002</v>
      </c>
      <c r="I2483" t="s">
        <v>5393</v>
      </c>
      <c r="J2483" t="s">
        <v>4754</v>
      </c>
      <c r="K2483" t="s">
        <v>4406</v>
      </c>
      <c r="L2483" t="s">
        <v>4406</v>
      </c>
      <c r="M2483" t="s">
        <v>4863</v>
      </c>
      <c r="N2483" t="s">
        <v>4852</v>
      </c>
    </row>
    <row r="2484" spans="1:14" x14ac:dyDescent="0.25">
      <c r="A2484" t="s">
        <v>4439</v>
      </c>
      <c r="B2484">
        <v>42</v>
      </c>
      <c r="C2484" t="s">
        <v>4406</v>
      </c>
      <c r="D2484" t="s">
        <v>4449</v>
      </c>
      <c r="E2484" t="s">
        <v>4406</v>
      </c>
      <c r="F2484" t="s">
        <v>4406</v>
      </c>
      <c r="G2484" t="s">
        <v>4749</v>
      </c>
      <c r="H2484" t="s">
        <v>4784</v>
      </c>
      <c r="I2484" t="s">
        <v>4469</v>
      </c>
      <c r="J2484" t="s">
        <v>4400</v>
      </c>
      <c r="K2484" t="s">
        <v>4406</v>
      </c>
      <c r="L2484" t="s">
        <v>4406</v>
      </c>
      <c r="M2484" t="s">
        <v>4675</v>
      </c>
      <c r="N2484" t="s">
        <v>4400</v>
      </c>
    </row>
    <row r="2485" spans="1:14" x14ac:dyDescent="0.25">
      <c r="A2485" t="s">
        <v>1400</v>
      </c>
      <c r="B2485">
        <v>11</v>
      </c>
      <c r="C2485" t="s">
        <v>4406</v>
      </c>
      <c r="D2485" t="s">
        <v>4726</v>
      </c>
      <c r="E2485" t="s">
        <v>4406</v>
      </c>
      <c r="F2485" t="s">
        <v>4406</v>
      </c>
      <c r="G2485" t="s">
        <v>4406</v>
      </c>
      <c r="H2485" t="s">
        <v>5009</v>
      </c>
      <c r="I2485" t="s">
        <v>4452</v>
      </c>
      <c r="J2485" t="s">
        <v>4406</v>
      </c>
      <c r="K2485" t="s">
        <v>4406</v>
      </c>
      <c r="L2485" t="s">
        <v>4406</v>
      </c>
      <c r="M2485" t="s">
        <v>4406</v>
      </c>
      <c r="N2485" t="s">
        <v>4852</v>
      </c>
    </row>
    <row r="2486" spans="1:14" x14ac:dyDescent="0.25">
      <c r="A2486" t="s">
        <v>1340</v>
      </c>
      <c r="B2486">
        <v>8</v>
      </c>
      <c r="C2486" t="s">
        <v>4406</v>
      </c>
      <c r="D2486" t="s">
        <v>4479</v>
      </c>
      <c r="E2486" t="s">
        <v>4406</v>
      </c>
      <c r="F2486" t="s">
        <v>4406</v>
      </c>
      <c r="G2486" t="s">
        <v>4406</v>
      </c>
      <c r="H2486" t="s">
        <v>4945</v>
      </c>
      <c r="I2486" t="s">
        <v>4481</v>
      </c>
      <c r="J2486" t="s">
        <v>4462</v>
      </c>
      <c r="K2486" t="s">
        <v>4406</v>
      </c>
      <c r="L2486" t="s">
        <v>4406</v>
      </c>
      <c r="M2486" t="s">
        <v>4406</v>
      </c>
      <c r="N2486" t="s">
        <v>4406</v>
      </c>
    </row>
    <row r="2487" spans="1:14" x14ac:dyDescent="0.25">
      <c r="A2487" t="s">
        <v>1426</v>
      </c>
      <c r="B2487">
        <v>5</v>
      </c>
      <c r="C2487" t="s">
        <v>4406</v>
      </c>
      <c r="D2487" t="s">
        <v>4834</v>
      </c>
      <c r="E2487" t="s">
        <v>4406</v>
      </c>
      <c r="F2487" t="s">
        <v>4406</v>
      </c>
      <c r="G2487" t="s">
        <v>4406</v>
      </c>
      <c r="H2487" t="s">
        <v>4454</v>
      </c>
      <c r="I2487" t="s">
        <v>4406</v>
      </c>
      <c r="J2487" t="s">
        <v>4472</v>
      </c>
      <c r="K2487" t="s">
        <v>4406</v>
      </c>
      <c r="L2487" t="s">
        <v>4406</v>
      </c>
      <c r="M2487" t="s">
        <v>4406</v>
      </c>
      <c r="N2487" t="s">
        <v>4406</v>
      </c>
    </row>
    <row r="2488" spans="1:14" x14ac:dyDescent="0.25">
      <c r="A2488" t="s">
        <v>1372</v>
      </c>
      <c r="B2488">
        <v>20</v>
      </c>
      <c r="C2488" t="s">
        <v>4406</v>
      </c>
      <c r="D2488" t="s">
        <v>4489</v>
      </c>
      <c r="E2488" t="s">
        <v>4406</v>
      </c>
      <c r="F2488" t="s">
        <v>4406</v>
      </c>
      <c r="G2488" t="s">
        <v>4406</v>
      </c>
      <c r="H2488" t="s">
        <v>5012</v>
      </c>
      <c r="I2488" t="s">
        <v>4594</v>
      </c>
      <c r="J2488" t="s">
        <v>4406</v>
      </c>
      <c r="K2488" t="s">
        <v>4406</v>
      </c>
      <c r="L2488" t="s">
        <v>4406</v>
      </c>
      <c r="M2488" t="s">
        <v>4758</v>
      </c>
      <c r="N2488" t="s">
        <v>4406</v>
      </c>
    </row>
    <row r="2489" spans="1:14" x14ac:dyDescent="0.25">
      <c r="A2489" t="s">
        <v>1296</v>
      </c>
      <c r="B2489">
        <v>152</v>
      </c>
      <c r="C2489" t="s">
        <v>4410</v>
      </c>
      <c r="D2489" t="s">
        <v>5104</v>
      </c>
      <c r="E2489" t="s">
        <v>4659</v>
      </c>
      <c r="F2489" t="s">
        <v>4406</v>
      </c>
      <c r="G2489" t="s">
        <v>4659</v>
      </c>
      <c r="H2489" t="s">
        <v>4985</v>
      </c>
      <c r="I2489" t="s">
        <v>4468</v>
      </c>
      <c r="J2489" t="s">
        <v>4479</v>
      </c>
      <c r="K2489" t="s">
        <v>4406</v>
      </c>
      <c r="L2489" t="s">
        <v>4406</v>
      </c>
      <c r="M2489" t="s">
        <v>4425</v>
      </c>
      <c r="N2489" t="s">
        <v>4742</v>
      </c>
    </row>
    <row r="2491" spans="1:14" x14ac:dyDescent="0.25">
      <c r="A2491" t="s">
        <v>5865</v>
      </c>
    </row>
    <row r="2492" spans="1:14" x14ac:dyDescent="0.25">
      <c r="A2492" t="s">
        <v>912</v>
      </c>
      <c r="B2492" t="s">
        <v>4394</v>
      </c>
      <c r="C2492" t="s">
        <v>5189</v>
      </c>
      <c r="D2492" t="s">
        <v>5190</v>
      </c>
      <c r="E2492" t="s">
        <v>5191</v>
      </c>
      <c r="F2492" t="s">
        <v>4732</v>
      </c>
      <c r="G2492" t="s">
        <v>5192</v>
      </c>
      <c r="H2492" t="s">
        <v>5193</v>
      </c>
      <c r="I2492" t="s">
        <v>5194</v>
      </c>
      <c r="J2492" t="s">
        <v>5195</v>
      </c>
      <c r="K2492" t="s">
        <v>4736</v>
      </c>
      <c r="L2492" t="s">
        <v>4737</v>
      </c>
      <c r="M2492" t="s">
        <v>5196</v>
      </c>
      <c r="N2492" t="s">
        <v>5197</v>
      </c>
    </row>
    <row r="2493" spans="1:14" x14ac:dyDescent="0.25">
      <c r="A2493" t="s">
        <v>4438</v>
      </c>
      <c r="B2493">
        <v>34</v>
      </c>
      <c r="C2493" t="s">
        <v>4406</v>
      </c>
      <c r="D2493" t="s">
        <v>4534</v>
      </c>
      <c r="E2493" t="s">
        <v>4406</v>
      </c>
      <c r="F2493" t="s">
        <v>4406</v>
      </c>
      <c r="G2493" t="s">
        <v>4406</v>
      </c>
      <c r="H2493" t="s">
        <v>5284</v>
      </c>
      <c r="I2493" t="s">
        <v>5328</v>
      </c>
      <c r="J2493" t="s">
        <v>4617</v>
      </c>
      <c r="K2493" t="s">
        <v>4406</v>
      </c>
      <c r="L2493" t="s">
        <v>4406</v>
      </c>
      <c r="M2493" t="s">
        <v>4617</v>
      </c>
      <c r="N2493" t="s">
        <v>4617</v>
      </c>
    </row>
    <row r="2494" spans="1:14" x14ac:dyDescent="0.25">
      <c r="A2494" t="s">
        <v>4439</v>
      </c>
      <c r="B2494">
        <v>62</v>
      </c>
      <c r="C2494" t="s">
        <v>4635</v>
      </c>
      <c r="D2494" t="s">
        <v>5111</v>
      </c>
      <c r="E2494" t="s">
        <v>4713</v>
      </c>
      <c r="F2494" t="s">
        <v>4406</v>
      </c>
      <c r="G2494" t="s">
        <v>4406</v>
      </c>
      <c r="H2494" t="s">
        <v>4969</v>
      </c>
      <c r="I2494" t="s">
        <v>4608</v>
      </c>
      <c r="J2494" t="s">
        <v>4641</v>
      </c>
      <c r="K2494" t="s">
        <v>4406</v>
      </c>
      <c r="L2494" t="s">
        <v>4406</v>
      </c>
      <c r="M2494" t="s">
        <v>4420</v>
      </c>
      <c r="N2494" t="s">
        <v>4713</v>
      </c>
    </row>
    <row r="2495" spans="1:14" x14ac:dyDescent="0.25">
      <c r="A2495" t="s">
        <v>1400</v>
      </c>
      <c r="B2495">
        <v>21</v>
      </c>
      <c r="C2495" t="s">
        <v>4406</v>
      </c>
      <c r="D2495" t="s">
        <v>4450</v>
      </c>
      <c r="E2495" t="s">
        <v>4406</v>
      </c>
      <c r="F2495" t="s">
        <v>4406</v>
      </c>
      <c r="G2495" t="s">
        <v>4675</v>
      </c>
      <c r="H2495" t="s">
        <v>4946</v>
      </c>
      <c r="I2495" t="s">
        <v>5285</v>
      </c>
      <c r="J2495" t="s">
        <v>4406</v>
      </c>
      <c r="K2495" t="s">
        <v>4406</v>
      </c>
      <c r="L2495" t="s">
        <v>4406</v>
      </c>
      <c r="M2495" t="s">
        <v>4675</v>
      </c>
      <c r="N2495" t="s">
        <v>4522</v>
      </c>
    </row>
    <row r="2496" spans="1:14" x14ac:dyDescent="0.25">
      <c r="A2496" t="s">
        <v>1340</v>
      </c>
      <c r="B2496">
        <v>8</v>
      </c>
      <c r="C2496" t="s">
        <v>4406</v>
      </c>
      <c r="D2496" t="s">
        <v>4479</v>
      </c>
      <c r="E2496" t="s">
        <v>4406</v>
      </c>
      <c r="F2496" t="s">
        <v>4406</v>
      </c>
      <c r="G2496" t="s">
        <v>4406</v>
      </c>
      <c r="H2496" t="s">
        <v>4945</v>
      </c>
      <c r="I2496" t="s">
        <v>4481</v>
      </c>
      <c r="J2496" t="s">
        <v>4462</v>
      </c>
      <c r="K2496" t="s">
        <v>4406</v>
      </c>
      <c r="L2496" t="s">
        <v>4406</v>
      </c>
      <c r="M2496" t="s">
        <v>4406</v>
      </c>
      <c r="N2496" t="s">
        <v>4406</v>
      </c>
    </row>
    <row r="2497" spans="1:14" x14ac:dyDescent="0.25">
      <c r="A2497" t="s">
        <v>1426</v>
      </c>
      <c r="B2497">
        <v>10</v>
      </c>
      <c r="C2497" t="s">
        <v>4406</v>
      </c>
      <c r="D2497" t="s">
        <v>4468</v>
      </c>
      <c r="E2497" t="s">
        <v>4406</v>
      </c>
      <c r="F2497" t="s">
        <v>4406</v>
      </c>
      <c r="G2497" t="s">
        <v>4406</v>
      </c>
      <c r="H2497" t="s">
        <v>5027</v>
      </c>
      <c r="I2497" t="s">
        <v>4458</v>
      </c>
      <c r="J2497" t="s">
        <v>4646</v>
      </c>
      <c r="K2497" t="s">
        <v>4406</v>
      </c>
      <c r="L2497" t="s">
        <v>4406</v>
      </c>
      <c r="M2497" t="s">
        <v>4406</v>
      </c>
      <c r="N2497" t="s">
        <v>4406</v>
      </c>
    </row>
    <row r="2498" spans="1:14" x14ac:dyDescent="0.25">
      <c r="A2498" t="s">
        <v>1372</v>
      </c>
      <c r="B2498">
        <v>17</v>
      </c>
      <c r="C2498" t="s">
        <v>4406</v>
      </c>
      <c r="D2498" t="s">
        <v>4655</v>
      </c>
      <c r="E2498" t="s">
        <v>4406</v>
      </c>
      <c r="F2498" t="s">
        <v>4406</v>
      </c>
      <c r="G2498" t="s">
        <v>4406</v>
      </c>
      <c r="H2498" t="s">
        <v>4454</v>
      </c>
      <c r="I2498" t="s">
        <v>5164</v>
      </c>
      <c r="J2498" t="s">
        <v>4617</v>
      </c>
      <c r="K2498" t="s">
        <v>4406</v>
      </c>
      <c r="L2498" t="s">
        <v>4406</v>
      </c>
      <c r="M2498" t="s">
        <v>4699</v>
      </c>
      <c r="N2498" t="s">
        <v>4699</v>
      </c>
    </row>
    <row r="2499" spans="1:14" x14ac:dyDescent="0.25">
      <c r="A2499" t="s">
        <v>1296</v>
      </c>
      <c r="B2499">
        <v>152</v>
      </c>
      <c r="C2499" t="s">
        <v>4410</v>
      </c>
      <c r="D2499" t="s">
        <v>5104</v>
      </c>
      <c r="E2499" t="s">
        <v>4659</v>
      </c>
      <c r="F2499" t="s">
        <v>4406</v>
      </c>
      <c r="G2499" t="s">
        <v>4659</v>
      </c>
      <c r="H2499" t="s">
        <v>4985</v>
      </c>
      <c r="I2499" t="s">
        <v>4468</v>
      </c>
      <c r="J2499" t="s">
        <v>4479</v>
      </c>
      <c r="K2499" t="s">
        <v>4406</v>
      </c>
      <c r="L2499" t="s">
        <v>4406</v>
      </c>
      <c r="M2499" t="s">
        <v>4425</v>
      </c>
      <c r="N2499" t="s">
        <v>4742</v>
      </c>
    </row>
    <row r="2501" spans="1:14" x14ac:dyDescent="0.25">
      <c r="A2501" t="s">
        <v>5866</v>
      </c>
    </row>
    <row r="2502" spans="1:14" x14ac:dyDescent="0.25">
      <c r="A2502" t="s">
        <v>920</v>
      </c>
      <c r="B2502" t="s">
        <v>4394</v>
      </c>
      <c r="C2502" t="s">
        <v>5189</v>
      </c>
      <c r="D2502" t="s">
        <v>5190</v>
      </c>
      <c r="E2502" t="s">
        <v>5191</v>
      </c>
      <c r="F2502" t="s">
        <v>4732</v>
      </c>
      <c r="G2502" t="s">
        <v>5192</v>
      </c>
      <c r="H2502" t="s">
        <v>5193</v>
      </c>
      <c r="I2502" t="s">
        <v>5194</v>
      </c>
      <c r="J2502" t="s">
        <v>5195</v>
      </c>
      <c r="K2502" t="s">
        <v>4736</v>
      </c>
      <c r="L2502" t="s">
        <v>4737</v>
      </c>
      <c r="M2502" t="s">
        <v>5196</v>
      </c>
      <c r="N2502" t="s">
        <v>5197</v>
      </c>
    </row>
    <row r="2503" spans="1:14" x14ac:dyDescent="0.25">
      <c r="A2503" t="s">
        <v>1343</v>
      </c>
      <c r="B2503">
        <v>76</v>
      </c>
      <c r="C2503" t="s">
        <v>4406</v>
      </c>
      <c r="D2503" t="s">
        <v>5180</v>
      </c>
      <c r="E2503" t="s">
        <v>4864</v>
      </c>
      <c r="F2503" t="s">
        <v>4406</v>
      </c>
      <c r="G2503" t="s">
        <v>4659</v>
      </c>
      <c r="H2503" t="s">
        <v>5019</v>
      </c>
      <c r="I2503" t="s">
        <v>4468</v>
      </c>
      <c r="J2503" t="s">
        <v>4867</v>
      </c>
      <c r="K2503" t="s">
        <v>4406</v>
      </c>
      <c r="L2503" t="s">
        <v>4406</v>
      </c>
      <c r="M2503" t="s">
        <v>4742</v>
      </c>
      <c r="N2503" t="s">
        <v>4640</v>
      </c>
    </row>
    <row r="2504" spans="1:14" x14ac:dyDescent="0.25">
      <c r="A2504" t="s">
        <v>1345</v>
      </c>
      <c r="B2504">
        <v>46</v>
      </c>
      <c r="C2504" t="s">
        <v>4581</v>
      </c>
      <c r="D2504" t="s">
        <v>4682</v>
      </c>
      <c r="E2504" t="s">
        <v>4406</v>
      </c>
      <c r="F2504" t="s">
        <v>4406</v>
      </c>
      <c r="G2504" t="s">
        <v>4581</v>
      </c>
      <c r="H2504" t="s">
        <v>4967</v>
      </c>
      <c r="I2504" t="s">
        <v>4913</v>
      </c>
      <c r="J2504" t="s">
        <v>4663</v>
      </c>
      <c r="K2504" t="s">
        <v>4406</v>
      </c>
      <c r="L2504" t="s">
        <v>4406</v>
      </c>
      <c r="M2504" t="s">
        <v>4606</v>
      </c>
      <c r="N2504" t="s">
        <v>4670</v>
      </c>
    </row>
    <row r="2505" spans="1:14" x14ac:dyDescent="0.25">
      <c r="A2505" t="s">
        <v>1466</v>
      </c>
      <c r="B2505">
        <v>30</v>
      </c>
      <c r="C2505" t="s">
        <v>4406</v>
      </c>
      <c r="D2505" t="s">
        <v>4465</v>
      </c>
      <c r="E2505" t="s">
        <v>4406</v>
      </c>
      <c r="F2505" t="s">
        <v>4406</v>
      </c>
      <c r="G2505" t="s">
        <v>4406</v>
      </c>
      <c r="H2505" t="s">
        <v>5200</v>
      </c>
      <c r="I2505" t="s">
        <v>5106</v>
      </c>
      <c r="J2505" t="s">
        <v>4651</v>
      </c>
      <c r="K2505" t="s">
        <v>4406</v>
      </c>
      <c r="L2505" t="s">
        <v>4406</v>
      </c>
      <c r="M2505" t="s">
        <v>4406</v>
      </c>
      <c r="N2505" t="s">
        <v>4646</v>
      </c>
    </row>
    <row r="2506" spans="1:14" x14ac:dyDescent="0.25">
      <c r="A2506" t="s">
        <v>1296</v>
      </c>
      <c r="B2506">
        <v>152</v>
      </c>
      <c r="C2506" t="s">
        <v>4410</v>
      </c>
      <c r="D2506" t="s">
        <v>5104</v>
      </c>
      <c r="E2506" t="s">
        <v>4659</v>
      </c>
      <c r="F2506" t="s">
        <v>4406</v>
      </c>
      <c r="G2506" t="s">
        <v>4659</v>
      </c>
      <c r="H2506" t="s">
        <v>4985</v>
      </c>
      <c r="I2506" t="s">
        <v>4468</v>
      </c>
      <c r="J2506" t="s">
        <v>4479</v>
      </c>
      <c r="K2506" t="s">
        <v>4406</v>
      </c>
      <c r="L2506" t="s">
        <v>4406</v>
      </c>
      <c r="M2506" t="s">
        <v>4425</v>
      </c>
      <c r="N2506" t="s">
        <v>4742</v>
      </c>
    </row>
    <row r="2508" spans="1:14" x14ac:dyDescent="0.25">
      <c r="A2508" t="s">
        <v>5867</v>
      </c>
    </row>
    <row r="2509" spans="1:14" x14ac:dyDescent="0.25">
      <c r="A2509" t="s">
        <v>924</v>
      </c>
      <c r="B2509" t="s">
        <v>4394</v>
      </c>
      <c r="C2509" t="s">
        <v>5189</v>
      </c>
      <c r="D2509" t="s">
        <v>5190</v>
      </c>
      <c r="E2509" t="s">
        <v>5191</v>
      </c>
      <c r="F2509" t="s">
        <v>4732</v>
      </c>
      <c r="G2509" t="s">
        <v>5192</v>
      </c>
      <c r="H2509" t="s">
        <v>5193</v>
      </c>
      <c r="I2509" t="s">
        <v>5194</v>
      </c>
      <c r="J2509" t="s">
        <v>5195</v>
      </c>
      <c r="K2509" t="s">
        <v>4736</v>
      </c>
      <c r="L2509" t="s">
        <v>4737</v>
      </c>
      <c r="M2509" t="s">
        <v>5196</v>
      </c>
      <c r="N2509" t="s">
        <v>5197</v>
      </c>
    </row>
    <row r="2510" spans="1:14" x14ac:dyDescent="0.25">
      <c r="A2510" t="s">
        <v>1345</v>
      </c>
      <c r="B2510">
        <v>29</v>
      </c>
      <c r="C2510" t="s">
        <v>4406</v>
      </c>
      <c r="D2510" t="s">
        <v>4843</v>
      </c>
      <c r="E2510" t="s">
        <v>4406</v>
      </c>
      <c r="F2510" t="s">
        <v>4406</v>
      </c>
      <c r="G2510" t="s">
        <v>4406</v>
      </c>
      <c r="H2510" t="s">
        <v>5201</v>
      </c>
      <c r="I2510" t="s">
        <v>5162</v>
      </c>
      <c r="J2510" t="s">
        <v>4470</v>
      </c>
      <c r="K2510" t="s">
        <v>4406</v>
      </c>
      <c r="L2510" t="s">
        <v>4406</v>
      </c>
      <c r="M2510" t="s">
        <v>4888</v>
      </c>
      <c r="N2510" t="s">
        <v>4406</v>
      </c>
    </row>
    <row r="2511" spans="1:14" x14ac:dyDescent="0.25">
      <c r="A2511" t="s">
        <v>1441</v>
      </c>
      <c r="B2511">
        <v>62</v>
      </c>
      <c r="C2511" t="s">
        <v>4635</v>
      </c>
      <c r="D2511" t="s">
        <v>5202</v>
      </c>
      <c r="E2511" t="s">
        <v>4635</v>
      </c>
      <c r="F2511" t="s">
        <v>4406</v>
      </c>
      <c r="G2511" t="s">
        <v>4406</v>
      </c>
      <c r="H2511" t="s">
        <v>4997</v>
      </c>
      <c r="I2511" t="s">
        <v>5203</v>
      </c>
      <c r="J2511" t="s">
        <v>4883</v>
      </c>
      <c r="K2511" t="s">
        <v>4406</v>
      </c>
      <c r="L2511" t="s">
        <v>4406</v>
      </c>
      <c r="M2511" t="s">
        <v>4591</v>
      </c>
      <c r="N2511" t="s">
        <v>4749</v>
      </c>
    </row>
    <row r="2512" spans="1:14" x14ac:dyDescent="0.25">
      <c r="A2512" t="s">
        <v>1461</v>
      </c>
      <c r="B2512">
        <v>55</v>
      </c>
      <c r="C2512" t="s">
        <v>4406</v>
      </c>
      <c r="D2512" t="s">
        <v>4452</v>
      </c>
      <c r="E2512" t="s">
        <v>4905</v>
      </c>
      <c r="F2512" t="s">
        <v>4406</v>
      </c>
      <c r="G2512" t="s">
        <v>5076</v>
      </c>
      <c r="H2512" t="s">
        <v>4834</v>
      </c>
      <c r="I2512" t="s">
        <v>4452</v>
      </c>
      <c r="J2512" t="s">
        <v>4405</v>
      </c>
      <c r="K2512" t="s">
        <v>4406</v>
      </c>
      <c r="L2512" t="s">
        <v>4406</v>
      </c>
      <c r="M2512" t="s">
        <v>4852</v>
      </c>
      <c r="N2512" t="s">
        <v>4599</v>
      </c>
    </row>
    <row r="2513" spans="1:14" x14ac:dyDescent="0.25">
      <c r="A2513" t="s">
        <v>5554</v>
      </c>
      <c r="B2513">
        <v>6</v>
      </c>
      <c r="C2513" t="s">
        <v>4406</v>
      </c>
      <c r="D2513" t="s">
        <v>4465</v>
      </c>
      <c r="E2513" t="s">
        <v>4406</v>
      </c>
      <c r="F2513" t="s">
        <v>4406</v>
      </c>
      <c r="G2513" t="s">
        <v>4406</v>
      </c>
      <c r="H2513" t="s">
        <v>4454</v>
      </c>
      <c r="I2513" t="s">
        <v>4468</v>
      </c>
      <c r="J2513" t="s">
        <v>4406</v>
      </c>
      <c r="K2513" t="s">
        <v>4406</v>
      </c>
      <c r="L2513" t="s">
        <v>4406</v>
      </c>
      <c r="M2513" t="s">
        <v>4406</v>
      </c>
      <c r="N2513" t="s">
        <v>4406</v>
      </c>
    </row>
    <row r="2514" spans="1:14" x14ac:dyDescent="0.25">
      <c r="A2514" t="s">
        <v>1296</v>
      </c>
      <c r="B2514">
        <v>152</v>
      </c>
      <c r="C2514" t="s">
        <v>4410</v>
      </c>
      <c r="D2514" t="s">
        <v>5104</v>
      </c>
      <c r="E2514" t="s">
        <v>4659</v>
      </c>
      <c r="F2514" t="s">
        <v>4406</v>
      </c>
      <c r="G2514" t="s">
        <v>4659</v>
      </c>
      <c r="H2514" t="s">
        <v>4985</v>
      </c>
      <c r="I2514" t="s">
        <v>4468</v>
      </c>
      <c r="J2514" t="s">
        <v>4479</v>
      </c>
      <c r="K2514" t="s">
        <v>4406</v>
      </c>
      <c r="L2514" t="s">
        <v>4406</v>
      </c>
      <c r="M2514" t="s">
        <v>4425</v>
      </c>
      <c r="N2514" t="s">
        <v>4742</v>
      </c>
    </row>
    <row r="2516" spans="1:14" x14ac:dyDescent="0.25">
      <c r="A2516" t="s">
        <v>5868</v>
      </c>
    </row>
    <row r="2517" spans="1:14" x14ac:dyDescent="0.25">
      <c r="A2517" t="s">
        <v>903</v>
      </c>
      <c r="B2517" t="s">
        <v>4394</v>
      </c>
      <c r="C2517" t="s">
        <v>5189</v>
      </c>
      <c r="D2517" t="s">
        <v>5190</v>
      </c>
      <c r="E2517" t="s">
        <v>5191</v>
      </c>
      <c r="F2517" t="s">
        <v>4732</v>
      </c>
      <c r="G2517" t="s">
        <v>5192</v>
      </c>
      <c r="H2517" t="s">
        <v>5193</v>
      </c>
      <c r="I2517" t="s">
        <v>5194</v>
      </c>
      <c r="J2517" t="s">
        <v>5195</v>
      </c>
      <c r="K2517" t="s">
        <v>4736</v>
      </c>
      <c r="L2517" t="s">
        <v>4737</v>
      </c>
      <c r="M2517" t="s">
        <v>5196</v>
      </c>
      <c r="N2517" t="s">
        <v>5197</v>
      </c>
    </row>
    <row r="2518" spans="1:14" x14ac:dyDescent="0.25">
      <c r="A2518" t="s">
        <v>70</v>
      </c>
      <c r="B2518">
        <v>40</v>
      </c>
      <c r="C2518" t="s">
        <v>4406</v>
      </c>
      <c r="D2518" t="s">
        <v>4644</v>
      </c>
      <c r="E2518" t="s">
        <v>4406</v>
      </c>
      <c r="F2518" t="s">
        <v>4406</v>
      </c>
      <c r="G2518" t="s">
        <v>4406</v>
      </c>
      <c r="H2518" t="s">
        <v>5016</v>
      </c>
      <c r="I2518" t="s">
        <v>4457</v>
      </c>
      <c r="J2518" t="s">
        <v>4650</v>
      </c>
      <c r="K2518" t="s">
        <v>4406</v>
      </c>
      <c r="L2518" t="s">
        <v>4406</v>
      </c>
      <c r="M2518" t="s">
        <v>4479</v>
      </c>
      <c r="N2518" t="s">
        <v>4650</v>
      </c>
    </row>
    <row r="2519" spans="1:14" x14ac:dyDescent="0.25">
      <c r="A2519" t="s">
        <v>71</v>
      </c>
      <c r="B2519">
        <v>112</v>
      </c>
      <c r="C2519" t="s">
        <v>4902</v>
      </c>
      <c r="D2519" t="s">
        <v>4827</v>
      </c>
      <c r="E2519" t="s">
        <v>4905</v>
      </c>
      <c r="F2519" t="s">
        <v>4406</v>
      </c>
      <c r="G2519" t="s">
        <v>4905</v>
      </c>
      <c r="H2519" t="s">
        <v>4788</v>
      </c>
      <c r="I2519" t="s">
        <v>5199</v>
      </c>
      <c r="J2519" t="s">
        <v>4522</v>
      </c>
      <c r="K2519" t="s">
        <v>4406</v>
      </c>
      <c r="L2519" t="s">
        <v>4406</v>
      </c>
      <c r="M2519" t="s">
        <v>4716</v>
      </c>
      <c r="N2519" t="s">
        <v>4917</v>
      </c>
    </row>
    <row r="2520" spans="1:14" x14ac:dyDescent="0.25">
      <c r="A2520" t="s">
        <v>1296</v>
      </c>
      <c r="B2520">
        <v>152</v>
      </c>
      <c r="C2520" t="s">
        <v>4410</v>
      </c>
      <c r="D2520" t="s">
        <v>5104</v>
      </c>
      <c r="E2520" t="s">
        <v>4659</v>
      </c>
      <c r="F2520" t="s">
        <v>4406</v>
      </c>
      <c r="G2520" t="s">
        <v>4659</v>
      </c>
      <c r="H2520" t="s">
        <v>4985</v>
      </c>
      <c r="I2520" t="s">
        <v>4468</v>
      </c>
      <c r="J2520" t="s">
        <v>4479</v>
      </c>
      <c r="K2520" t="s">
        <v>4406</v>
      </c>
      <c r="L2520" t="s">
        <v>4406</v>
      </c>
      <c r="M2520" t="s">
        <v>4425</v>
      </c>
      <c r="N2520" t="s">
        <v>4742</v>
      </c>
    </row>
    <row r="2522" spans="1:14" x14ac:dyDescent="0.25">
      <c r="A2522" t="s">
        <v>5869</v>
      </c>
    </row>
    <row r="2523" spans="1:14" x14ac:dyDescent="0.25">
      <c r="A2523" t="s">
        <v>1297</v>
      </c>
      <c r="B2523" t="s">
        <v>4394</v>
      </c>
      <c r="C2523" t="s">
        <v>109</v>
      </c>
      <c r="D2523" t="s">
        <v>192</v>
      </c>
    </row>
    <row r="2524" spans="1:14" x14ac:dyDescent="0.25">
      <c r="A2524" t="s">
        <v>5549</v>
      </c>
      <c r="B2524">
        <v>198</v>
      </c>
      <c r="C2524" t="s">
        <v>5209</v>
      </c>
      <c r="D2524" t="s">
        <v>4560</v>
      </c>
    </row>
    <row r="2525" spans="1:14" x14ac:dyDescent="0.25">
      <c r="A2525" t="s">
        <v>1397</v>
      </c>
      <c r="B2525">
        <v>99</v>
      </c>
      <c r="C2525" t="s">
        <v>4719</v>
      </c>
      <c r="D2525" t="s">
        <v>4590</v>
      </c>
    </row>
    <row r="2526" spans="1:14" x14ac:dyDescent="0.25">
      <c r="A2526" t="s">
        <v>1296</v>
      </c>
      <c r="B2526">
        <v>297</v>
      </c>
      <c r="C2526" t="s">
        <v>4502</v>
      </c>
      <c r="D2526" t="s">
        <v>5210</v>
      </c>
    </row>
    <row r="2528" spans="1:14" x14ac:dyDescent="0.25">
      <c r="A2528" t="s">
        <v>5870</v>
      </c>
    </row>
    <row r="2529" spans="1:4" x14ac:dyDescent="0.25">
      <c r="A2529" t="s">
        <v>905</v>
      </c>
      <c r="B2529" t="s">
        <v>4394</v>
      </c>
      <c r="C2529" t="s">
        <v>109</v>
      </c>
      <c r="D2529" t="s">
        <v>192</v>
      </c>
    </row>
    <row r="2530" spans="1:4" x14ac:dyDescent="0.25">
      <c r="A2530" t="s">
        <v>4844</v>
      </c>
      <c r="B2530">
        <v>36</v>
      </c>
      <c r="C2530" t="s">
        <v>4468</v>
      </c>
      <c r="D2530" t="s">
        <v>4468</v>
      </c>
    </row>
    <row r="2531" spans="1:4" x14ac:dyDescent="0.25">
      <c r="A2531" t="s">
        <v>4845</v>
      </c>
      <c r="B2531">
        <v>230</v>
      </c>
      <c r="C2531" t="s">
        <v>4935</v>
      </c>
      <c r="D2531" t="s">
        <v>5105</v>
      </c>
    </row>
    <row r="2532" spans="1:4" x14ac:dyDescent="0.25">
      <c r="A2532" t="s">
        <v>4846</v>
      </c>
      <c r="B2532">
        <v>31</v>
      </c>
      <c r="C2532" t="s">
        <v>5103</v>
      </c>
      <c r="D2532" t="s">
        <v>5159</v>
      </c>
    </row>
    <row r="2533" spans="1:4" x14ac:dyDescent="0.25">
      <c r="A2533" t="s">
        <v>1296</v>
      </c>
      <c r="B2533">
        <v>297</v>
      </c>
      <c r="C2533" t="s">
        <v>4502</v>
      </c>
      <c r="D2533" t="s">
        <v>5210</v>
      </c>
    </row>
    <row r="2535" spans="1:4" x14ac:dyDescent="0.25">
      <c r="A2535" t="s">
        <v>5871</v>
      </c>
    </row>
    <row r="2536" spans="1:4" x14ac:dyDescent="0.25">
      <c r="A2536" t="s">
        <v>906</v>
      </c>
      <c r="B2536" t="s">
        <v>4394</v>
      </c>
      <c r="C2536" t="s">
        <v>109</v>
      </c>
      <c r="D2536" t="s">
        <v>192</v>
      </c>
    </row>
    <row r="2537" spans="1:4" x14ac:dyDescent="0.25">
      <c r="A2537" t="s">
        <v>1338</v>
      </c>
      <c r="B2537">
        <v>46</v>
      </c>
      <c r="C2537" t="s">
        <v>5040</v>
      </c>
      <c r="D2537" t="s">
        <v>4926</v>
      </c>
    </row>
    <row r="2538" spans="1:4" x14ac:dyDescent="0.25">
      <c r="A2538" t="s">
        <v>1370</v>
      </c>
      <c r="B2538">
        <v>33</v>
      </c>
      <c r="C2538" t="s">
        <v>4726</v>
      </c>
      <c r="D2538" t="s">
        <v>4781</v>
      </c>
    </row>
    <row r="2539" spans="1:4" x14ac:dyDescent="0.25">
      <c r="A2539" t="s">
        <v>1439</v>
      </c>
      <c r="B2539">
        <v>21</v>
      </c>
      <c r="C2539" t="s">
        <v>4465</v>
      </c>
      <c r="D2539" t="s">
        <v>4469</v>
      </c>
    </row>
    <row r="2540" spans="1:4" x14ac:dyDescent="0.25">
      <c r="A2540" t="s">
        <v>1476</v>
      </c>
      <c r="B2540">
        <v>71</v>
      </c>
      <c r="C2540" t="s">
        <v>5215</v>
      </c>
      <c r="D2540" t="s">
        <v>5216</v>
      </c>
    </row>
    <row r="2541" spans="1:4" x14ac:dyDescent="0.25">
      <c r="A2541" t="s">
        <v>5476</v>
      </c>
      <c r="B2541">
        <v>6</v>
      </c>
      <c r="C2541" t="s">
        <v>4465</v>
      </c>
      <c r="D2541" t="s">
        <v>4469</v>
      </c>
    </row>
    <row r="2542" spans="1:4" x14ac:dyDescent="0.25">
      <c r="A2542" t="s">
        <v>1399</v>
      </c>
      <c r="B2542">
        <v>44</v>
      </c>
      <c r="C2542" t="s">
        <v>4452</v>
      </c>
      <c r="D2542" t="s">
        <v>4792</v>
      </c>
    </row>
    <row r="2543" spans="1:4" x14ac:dyDescent="0.25">
      <c r="A2543" t="s">
        <v>1415</v>
      </c>
      <c r="B2543">
        <v>76</v>
      </c>
      <c r="C2543" t="s">
        <v>4796</v>
      </c>
      <c r="D2543" t="s">
        <v>4491</v>
      </c>
    </row>
    <row r="2544" spans="1:4" x14ac:dyDescent="0.25">
      <c r="A2544" t="s">
        <v>1296</v>
      </c>
      <c r="B2544">
        <v>297</v>
      </c>
      <c r="C2544" t="s">
        <v>4502</v>
      </c>
      <c r="D2544" t="s">
        <v>5210</v>
      </c>
    </row>
    <row r="2546" spans="1:4" x14ac:dyDescent="0.25">
      <c r="A2546" t="s">
        <v>5872</v>
      </c>
    </row>
    <row r="2547" spans="1:4" x14ac:dyDescent="0.25">
      <c r="A2547" t="s">
        <v>907</v>
      </c>
      <c r="B2547" t="s">
        <v>4394</v>
      </c>
      <c r="C2547" t="s">
        <v>109</v>
      </c>
      <c r="D2547" t="s">
        <v>192</v>
      </c>
    </row>
    <row r="2548" spans="1:4" x14ac:dyDescent="0.25">
      <c r="A2548" t="s">
        <v>109</v>
      </c>
      <c r="B2548">
        <v>257</v>
      </c>
      <c r="C2548" t="s">
        <v>5217</v>
      </c>
      <c r="D2548" t="s">
        <v>4901</v>
      </c>
    </row>
    <row r="2549" spans="1:4" x14ac:dyDescent="0.25">
      <c r="A2549" t="s">
        <v>192</v>
      </c>
      <c r="B2549">
        <v>40</v>
      </c>
      <c r="C2549" t="s">
        <v>4760</v>
      </c>
      <c r="D2549" t="s">
        <v>5218</v>
      </c>
    </row>
    <row r="2550" spans="1:4" x14ac:dyDescent="0.25">
      <c r="A2550" t="s">
        <v>1296</v>
      </c>
      <c r="B2550">
        <v>297</v>
      </c>
      <c r="C2550" t="s">
        <v>4502</v>
      </c>
      <c r="D2550" t="s">
        <v>5210</v>
      </c>
    </row>
    <row r="2552" spans="1:4" x14ac:dyDescent="0.25">
      <c r="A2552" t="s">
        <v>5873</v>
      </c>
    </row>
    <row r="2553" spans="1:4" x14ac:dyDescent="0.25">
      <c r="A2553" t="s">
        <v>910</v>
      </c>
      <c r="B2553" t="s">
        <v>4394</v>
      </c>
      <c r="C2553" t="s">
        <v>109</v>
      </c>
      <c r="D2553" t="s">
        <v>192</v>
      </c>
    </row>
    <row r="2554" spans="1:4" x14ac:dyDescent="0.25">
      <c r="A2554" t="s">
        <v>1371</v>
      </c>
      <c r="B2554">
        <v>42</v>
      </c>
      <c r="C2554" t="s">
        <v>5103</v>
      </c>
      <c r="D2554" t="s">
        <v>5159</v>
      </c>
    </row>
    <row r="2555" spans="1:4" x14ac:dyDescent="0.25">
      <c r="A2555" t="s">
        <v>1452</v>
      </c>
      <c r="B2555">
        <v>18</v>
      </c>
      <c r="C2555" t="s">
        <v>5214</v>
      </c>
      <c r="D2555" t="s">
        <v>4444</v>
      </c>
    </row>
    <row r="2556" spans="1:4" x14ac:dyDescent="0.25">
      <c r="A2556" t="s">
        <v>5560</v>
      </c>
      <c r="B2556">
        <v>59</v>
      </c>
      <c r="C2556" t="s">
        <v>5257</v>
      </c>
      <c r="D2556" t="s">
        <v>5874</v>
      </c>
    </row>
    <row r="2557" spans="1:4" x14ac:dyDescent="0.25">
      <c r="A2557" t="s">
        <v>1424</v>
      </c>
      <c r="B2557">
        <v>120</v>
      </c>
      <c r="C2557" t="s">
        <v>4517</v>
      </c>
      <c r="D2557" t="s">
        <v>5205</v>
      </c>
    </row>
    <row r="2558" spans="1:4" x14ac:dyDescent="0.25">
      <c r="A2558" t="s">
        <v>1340</v>
      </c>
      <c r="B2558">
        <v>31</v>
      </c>
      <c r="C2558" t="s">
        <v>4969</v>
      </c>
      <c r="D2558" t="s">
        <v>4561</v>
      </c>
    </row>
    <row r="2559" spans="1:4" x14ac:dyDescent="0.25">
      <c r="A2559" t="s">
        <v>5561</v>
      </c>
      <c r="B2559">
        <v>8</v>
      </c>
      <c r="C2559" t="s">
        <v>4462</v>
      </c>
      <c r="D2559" t="s">
        <v>4793</v>
      </c>
    </row>
    <row r="2560" spans="1:4" x14ac:dyDescent="0.25">
      <c r="A2560" t="s">
        <v>1416</v>
      </c>
      <c r="B2560">
        <v>19</v>
      </c>
      <c r="C2560" t="s">
        <v>5072</v>
      </c>
      <c r="D2560" t="s">
        <v>4867</v>
      </c>
    </row>
    <row r="2561" spans="1:4" x14ac:dyDescent="0.25">
      <c r="A2561" t="s">
        <v>1296</v>
      </c>
      <c r="B2561">
        <v>297</v>
      </c>
      <c r="C2561" t="s">
        <v>4502</v>
      </c>
      <c r="D2561" t="s">
        <v>5210</v>
      </c>
    </row>
    <row r="2563" spans="1:4" x14ac:dyDescent="0.25">
      <c r="A2563" t="s">
        <v>5875</v>
      </c>
    </row>
    <row r="2564" spans="1:4" x14ac:dyDescent="0.25">
      <c r="A2564" t="s">
        <v>5481</v>
      </c>
      <c r="B2564" t="s">
        <v>4394</v>
      </c>
      <c r="C2564" t="s">
        <v>109</v>
      </c>
      <c r="D2564" t="s">
        <v>192</v>
      </c>
    </row>
    <row r="2565" spans="1:4" x14ac:dyDescent="0.25">
      <c r="A2565" t="s">
        <v>4438</v>
      </c>
      <c r="B2565">
        <v>129</v>
      </c>
      <c r="C2565" t="s">
        <v>5102</v>
      </c>
      <c r="D2565" t="s">
        <v>5394</v>
      </c>
    </row>
    <row r="2566" spans="1:4" x14ac:dyDescent="0.25">
      <c r="A2566" t="s">
        <v>4439</v>
      </c>
      <c r="B2566">
        <v>93</v>
      </c>
      <c r="C2566" t="s">
        <v>4531</v>
      </c>
      <c r="D2566" t="s">
        <v>4463</v>
      </c>
    </row>
    <row r="2567" spans="1:4" x14ac:dyDescent="0.25">
      <c r="A2567" t="s">
        <v>1400</v>
      </c>
      <c r="B2567">
        <v>5</v>
      </c>
      <c r="C2567" t="s">
        <v>4457</v>
      </c>
      <c r="D2567" t="s">
        <v>4458</v>
      </c>
    </row>
    <row r="2568" spans="1:4" x14ac:dyDescent="0.25">
      <c r="A2568" t="s">
        <v>5566</v>
      </c>
      <c r="B2568">
        <v>36</v>
      </c>
      <c r="C2568" t="s">
        <v>5253</v>
      </c>
      <c r="D2568" t="s">
        <v>4609</v>
      </c>
    </row>
    <row r="2569" spans="1:4" x14ac:dyDescent="0.25">
      <c r="A2569" t="s">
        <v>1372</v>
      </c>
      <c r="B2569">
        <v>34</v>
      </c>
      <c r="C2569" t="s">
        <v>5164</v>
      </c>
      <c r="D2569" t="s">
        <v>4655</v>
      </c>
    </row>
    <row r="2570" spans="1:4" x14ac:dyDescent="0.25">
      <c r="A2570" t="s">
        <v>1296</v>
      </c>
      <c r="B2570">
        <v>297</v>
      </c>
      <c r="C2570" t="s">
        <v>4502</v>
      </c>
      <c r="D2570" t="s">
        <v>5210</v>
      </c>
    </row>
    <row r="2572" spans="1:4" x14ac:dyDescent="0.25">
      <c r="A2572" t="s">
        <v>5876</v>
      </c>
    </row>
    <row r="2573" spans="1:4" x14ac:dyDescent="0.25">
      <c r="A2573" t="s">
        <v>5477</v>
      </c>
      <c r="B2573" t="s">
        <v>4394</v>
      </c>
      <c r="C2573" t="s">
        <v>109</v>
      </c>
      <c r="D2573" t="s">
        <v>192</v>
      </c>
    </row>
    <row r="2574" spans="1:4" x14ac:dyDescent="0.25">
      <c r="A2574" t="s">
        <v>4438</v>
      </c>
      <c r="B2574">
        <v>95</v>
      </c>
      <c r="C2574" t="s">
        <v>4426</v>
      </c>
      <c r="D2574" t="s">
        <v>4886</v>
      </c>
    </row>
    <row r="2575" spans="1:4" x14ac:dyDescent="0.25">
      <c r="A2575" t="s">
        <v>4439</v>
      </c>
      <c r="B2575">
        <v>128</v>
      </c>
      <c r="C2575" t="s">
        <v>4665</v>
      </c>
      <c r="D2575" t="s">
        <v>4542</v>
      </c>
    </row>
    <row r="2576" spans="1:4" x14ac:dyDescent="0.25">
      <c r="A2576" t="s">
        <v>1400</v>
      </c>
      <c r="B2576">
        <v>7</v>
      </c>
      <c r="C2576" t="s">
        <v>4447</v>
      </c>
      <c r="D2576" t="s">
        <v>4778</v>
      </c>
    </row>
    <row r="2577" spans="1:4" x14ac:dyDescent="0.25">
      <c r="A2577" t="s">
        <v>5566</v>
      </c>
      <c r="B2577">
        <v>36</v>
      </c>
      <c r="C2577" t="s">
        <v>5253</v>
      </c>
      <c r="D2577" t="s">
        <v>4609</v>
      </c>
    </row>
    <row r="2578" spans="1:4" x14ac:dyDescent="0.25">
      <c r="A2578" t="s">
        <v>1426</v>
      </c>
      <c r="B2578">
        <v>1</v>
      </c>
      <c r="C2578" t="s">
        <v>4454</v>
      </c>
      <c r="D2578" t="s">
        <v>4406</v>
      </c>
    </row>
    <row r="2579" spans="1:4" x14ac:dyDescent="0.25">
      <c r="A2579" t="s">
        <v>1372</v>
      </c>
      <c r="B2579">
        <v>30</v>
      </c>
      <c r="C2579" t="s">
        <v>5107</v>
      </c>
      <c r="D2579" t="s">
        <v>5106</v>
      </c>
    </row>
    <row r="2580" spans="1:4" x14ac:dyDescent="0.25">
      <c r="A2580" t="s">
        <v>1296</v>
      </c>
      <c r="B2580">
        <v>297</v>
      </c>
      <c r="C2580" t="s">
        <v>4502</v>
      </c>
      <c r="D2580" t="s">
        <v>5210</v>
      </c>
    </row>
    <row r="2582" spans="1:4" x14ac:dyDescent="0.25">
      <c r="A2582" t="s">
        <v>5877</v>
      </c>
    </row>
    <row r="2583" spans="1:4" x14ac:dyDescent="0.25">
      <c r="A2583" t="s">
        <v>911</v>
      </c>
      <c r="B2583" t="s">
        <v>4394</v>
      </c>
      <c r="C2583" t="s">
        <v>109</v>
      </c>
      <c r="D2583" t="s">
        <v>192</v>
      </c>
    </row>
    <row r="2584" spans="1:4" x14ac:dyDescent="0.25">
      <c r="A2584" t="s">
        <v>4438</v>
      </c>
      <c r="B2584">
        <v>122</v>
      </c>
      <c r="C2584" t="s">
        <v>5171</v>
      </c>
      <c r="D2584" t="s">
        <v>4537</v>
      </c>
    </row>
    <row r="2585" spans="1:4" x14ac:dyDescent="0.25">
      <c r="A2585" t="s">
        <v>4439</v>
      </c>
      <c r="B2585">
        <v>79</v>
      </c>
      <c r="C2585" t="s">
        <v>4639</v>
      </c>
      <c r="D2585" t="s">
        <v>5203</v>
      </c>
    </row>
    <row r="2586" spans="1:4" x14ac:dyDescent="0.25">
      <c r="A2586" t="s">
        <v>1400</v>
      </c>
      <c r="B2586">
        <v>19</v>
      </c>
      <c r="C2586" t="s">
        <v>4601</v>
      </c>
      <c r="D2586" t="s">
        <v>4461</v>
      </c>
    </row>
    <row r="2587" spans="1:4" x14ac:dyDescent="0.25">
      <c r="A2587" t="s">
        <v>1340</v>
      </c>
      <c r="B2587">
        <v>31</v>
      </c>
      <c r="C2587" t="s">
        <v>4969</v>
      </c>
      <c r="D2587" t="s">
        <v>4561</v>
      </c>
    </row>
    <row r="2588" spans="1:4" x14ac:dyDescent="0.25">
      <c r="A2588" t="s">
        <v>1426</v>
      </c>
      <c r="B2588">
        <v>8</v>
      </c>
      <c r="C2588" t="s">
        <v>4481</v>
      </c>
      <c r="D2588" t="s">
        <v>4602</v>
      </c>
    </row>
    <row r="2589" spans="1:4" x14ac:dyDescent="0.25">
      <c r="A2589" t="s">
        <v>1372</v>
      </c>
      <c r="B2589">
        <v>38</v>
      </c>
      <c r="C2589" t="s">
        <v>4466</v>
      </c>
      <c r="D2589" t="s">
        <v>4528</v>
      </c>
    </row>
    <row r="2590" spans="1:4" x14ac:dyDescent="0.25">
      <c r="A2590" t="s">
        <v>1296</v>
      </c>
      <c r="B2590">
        <v>297</v>
      </c>
      <c r="C2590" t="s">
        <v>4502</v>
      </c>
      <c r="D2590" t="s">
        <v>5210</v>
      </c>
    </row>
    <row r="2592" spans="1:4" x14ac:dyDescent="0.25">
      <c r="A2592" t="s">
        <v>5878</v>
      </c>
    </row>
    <row r="2593" spans="1:4" x14ac:dyDescent="0.25">
      <c r="A2593" t="s">
        <v>912</v>
      </c>
      <c r="B2593" t="s">
        <v>4394</v>
      </c>
      <c r="C2593" t="s">
        <v>109</v>
      </c>
      <c r="D2593" t="s">
        <v>192</v>
      </c>
    </row>
    <row r="2594" spans="1:4" x14ac:dyDescent="0.25">
      <c r="A2594" t="s">
        <v>4438</v>
      </c>
      <c r="B2594">
        <v>80</v>
      </c>
      <c r="C2594" t="s">
        <v>5363</v>
      </c>
      <c r="D2594" t="s">
        <v>4761</v>
      </c>
    </row>
    <row r="2595" spans="1:4" x14ac:dyDescent="0.25">
      <c r="A2595" t="s">
        <v>4439</v>
      </c>
      <c r="B2595">
        <v>106</v>
      </c>
      <c r="C2595" t="s">
        <v>5330</v>
      </c>
      <c r="D2595" t="s">
        <v>5250</v>
      </c>
    </row>
    <row r="2596" spans="1:4" x14ac:dyDescent="0.25">
      <c r="A2596" t="s">
        <v>1400</v>
      </c>
      <c r="B2596">
        <v>30</v>
      </c>
      <c r="C2596" t="s">
        <v>4489</v>
      </c>
      <c r="D2596" t="s">
        <v>4782</v>
      </c>
    </row>
    <row r="2597" spans="1:4" x14ac:dyDescent="0.25">
      <c r="A2597" t="s">
        <v>1340</v>
      </c>
      <c r="B2597">
        <v>31</v>
      </c>
      <c r="C2597" t="s">
        <v>4969</v>
      </c>
      <c r="D2597" t="s">
        <v>4561</v>
      </c>
    </row>
    <row r="2598" spans="1:4" x14ac:dyDescent="0.25">
      <c r="A2598" t="s">
        <v>1426</v>
      </c>
      <c r="B2598">
        <v>15</v>
      </c>
      <c r="C2598" t="s">
        <v>4465</v>
      </c>
      <c r="D2598" t="s">
        <v>4469</v>
      </c>
    </row>
    <row r="2599" spans="1:4" x14ac:dyDescent="0.25">
      <c r="A2599" t="s">
        <v>1372</v>
      </c>
      <c r="B2599">
        <v>35</v>
      </c>
      <c r="C2599" t="s">
        <v>5225</v>
      </c>
      <c r="D2599" t="s">
        <v>4496</v>
      </c>
    </row>
    <row r="2600" spans="1:4" x14ac:dyDescent="0.25">
      <c r="A2600" t="s">
        <v>1296</v>
      </c>
      <c r="B2600">
        <v>297</v>
      </c>
      <c r="C2600" t="s">
        <v>4502</v>
      </c>
      <c r="D2600" t="s">
        <v>5210</v>
      </c>
    </row>
    <row r="2602" spans="1:4" x14ac:dyDescent="0.25">
      <c r="A2602" t="s">
        <v>5879</v>
      </c>
    </row>
    <row r="2603" spans="1:4" x14ac:dyDescent="0.25">
      <c r="A2603" t="s">
        <v>920</v>
      </c>
      <c r="B2603" t="s">
        <v>4394</v>
      </c>
      <c r="C2603" t="s">
        <v>109</v>
      </c>
      <c r="D2603" t="s">
        <v>192</v>
      </c>
    </row>
    <row r="2604" spans="1:4" x14ac:dyDescent="0.25">
      <c r="A2604" t="s">
        <v>1343</v>
      </c>
      <c r="B2604">
        <v>170</v>
      </c>
      <c r="C2604" t="s">
        <v>4842</v>
      </c>
      <c r="D2604" t="s">
        <v>4947</v>
      </c>
    </row>
    <row r="2605" spans="1:4" x14ac:dyDescent="0.25">
      <c r="A2605" t="s">
        <v>1345</v>
      </c>
      <c r="B2605">
        <v>75</v>
      </c>
      <c r="C2605" t="s">
        <v>4658</v>
      </c>
      <c r="D2605" t="s">
        <v>4562</v>
      </c>
    </row>
    <row r="2606" spans="1:4" x14ac:dyDescent="0.25">
      <c r="A2606" t="s">
        <v>1466</v>
      </c>
      <c r="B2606">
        <v>50</v>
      </c>
      <c r="C2606" t="s">
        <v>4458</v>
      </c>
      <c r="D2606" t="s">
        <v>4457</v>
      </c>
    </row>
    <row r="2607" spans="1:4" x14ac:dyDescent="0.25">
      <c r="A2607" t="s">
        <v>5554</v>
      </c>
      <c r="B2607">
        <v>2</v>
      </c>
      <c r="C2607" t="s">
        <v>4454</v>
      </c>
      <c r="D2607" t="s">
        <v>4406</v>
      </c>
    </row>
    <row r="2608" spans="1:4" x14ac:dyDescent="0.25">
      <c r="A2608" t="s">
        <v>1296</v>
      </c>
      <c r="B2608">
        <v>297</v>
      </c>
      <c r="C2608" t="s">
        <v>4502</v>
      </c>
      <c r="D2608" t="s">
        <v>5210</v>
      </c>
    </row>
    <row r="2610" spans="1:4" x14ac:dyDescent="0.25">
      <c r="A2610" t="s">
        <v>5880</v>
      </c>
    </row>
    <row r="2611" spans="1:4" x14ac:dyDescent="0.25">
      <c r="A2611" t="s">
        <v>924</v>
      </c>
      <c r="B2611" t="s">
        <v>4394</v>
      </c>
      <c r="C2611" t="s">
        <v>109</v>
      </c>
      <c r="D2611" t="s">
        <v>192</v>
      </c>
    </row>
    <row r="2612" spans="1:4" x14ac:dyDescent="0.25">
      <c r="A2612" t="s">
        <v>1345</v>
      </c>
      <c r="B2612">
        <v>69</v>
      </c>
      <c r="C2612" t="s">
        <v>5211</v>
      </c>
      <c r="D2612" t="s">
        <v>4661</v>
      </c>
    </row>
    <row r="2613" spans="1:4" x14ac:dyDescent="0.25">
      <c r="A2613" t="s">
        <v>1441</v>
      </c>
      <c r="B2613">
        <v>123</v>
      </c>
      <c r="C2613" t="s">
        <v>5212</v>
      </c>
      <c r="D2613" t="s">
        <v>5213</v>
      </c>
    </row>
    <row r="2614" spans="1:4" x14ac:dyDescent="0.25">
      <c r="A2614" t="s">
        <v>1461</v>
      </c>
      <c r="B2614">
        <v>95</v>
      </c>
      <c r="C2614" t="s">
        <v>4601</v>
      </c>
      <c r="D2614" t="s">
        <v>4461</v>
      </c>
    </row>
    <row r="2615" spans="1:4" x14ac:dyDescent="0.25">
      <c r="A2615" t="s">
        <v>5554</v>
      </c>
      <c r="B2615">
        <v>10</v>
      </c>
      <c r="C2615" t="s">
        <v>4458</v>
      </c>
      <c r="D2615" t="s">
        <v>4457</v>
      </c>
    </row>
    <row r="2616" spans="1:4" x14ac:dyDescent="0.25">
      <c r="A2616" t="s">
        <v>1296</v>
      </c>
      <c r="B2616">
        <v>297</v>
      </c>
      <c r="C2616" t="s">
        <v>4502</v>
      </c>
      <c r="D2616" t="s">
        <v>5210</v>
      </c>
    </row>
    <row r="2618" spans="1:4" x14ac:dyDescent="0.25">
      <c r="A2618" t="s">
        <v>5881</v>
      </c>
    </row>
    <row r="2619" spans="1:4" x14ac:dyDescent="0.25">
      <c r="A2619" t="s">
        <v>903</v>
      </c>
      <c r="B2619" t="s">
        <v>4394</v>
      </c>
      <c r="C2619" t="s">
        <v>109</v>
      </c>
      <c r="D2619" t="s">
        <v>192</v>
      </c>
    </row>
    <row r="2620" spans="1:4" x14ac:dyDescent="0.25">
      <c r="A2620" t="s">
        <v>70</v>
      </c>
      <c r="B2620">
        <v>85</v>
      </c>
      <c r="C2620" t="s">
        <v>5164</v>
      </c>
      <c r="D2620" t="s">
        <v>4655</v>
      </c>
    </row>
    <row r="2621" spans="1:4" x14ac:dyDescent="0.25">
      <c r="A2621" t="s">
        <v>71</v>
      </c>
      <c r="B2621">
        <v>212</v>
      </c>
      <c r="C2621" t="s">
        <v>5219</v>
      </c>
      <c r="D2621" t="s">
        <v>4648</v>
      </c>
    </row>
    <row r="2622" spans="1:4" x14ac:dyDescent="0.25">
      <c r="A2622" t="s">
        <v>1296</v>
      </c>
      <c r="B2622">
        <v>297</v>
      </c>
      <c r="C2622" t="s">
        <v>4502</v>
      </c>
      <c r="D2622" t="s">
        <v>5210</v>
      </c>
    </row>
    <row r="2624" spans="1:4" x14ac:dyDescent="0.25">
      <c r="A2624" t="s">
        <v>5882</v>
      </c>
    </row>
    <row r="2625" spans="1:4" x14ac:dyDescent="0.25">
      <c r="A2625" t="s">
        <v>1297</v>
      </c>
      <c r="B2625" t="s">
        <v>4394</v>
      </c>
      <c r="C2625" t="s">
        <v>109</v>
      </c>
      <c r="D2625" t="s">
        <v>192</v>
      </c>
    </row>
    <row r="2626" spans="1:4" x14ac:dyDescent="0.25">
      <c r="A2626" t="s">
        <v>5549</v>
      </c>
      <c r="B2626">
        <v>167</v>
      </c>
      <c r="C2626" t="s">
        <v>5158</v>
      </c>
      <c r="D2626" t="s">
        <v>4826</v>
      </c>
    </row>
    <row r="2627" spans="1:4" x14ac:dyDescent="0.25">
      <c r="A2627" t="s">
        <v>1397</v>
      </c>
      <c r="B2627">
        <v>80</v>
      </c>
      <c r="C2627" t="s">
        <v>4644</v>
      </c>
      <c r="D2627" t="s">
        <v>4821</v>
      </c>
    </row>
    <row r="2628" spans="1:4" x14ac:dyDescent="0.25">
      <c r="A2628" t="s">
        <v>1296</v>
      </c>
      <c r="B2628">
        <v>247</v>
      </c>
      <c r="C2628" t="s">
        <v>4780</v>
      </c>
      <c r="D2628" t="s">
        <v>4779</v>
      </c>
    </row>
    <row r="2630" spans="1:4" x14ac:dyDescent="0.25">
      <c r="A2630" t="s">
        <v>5883</v>
      </c>
    </row>
    <row r="2631" spans="1:4" x14ac:dyDescent="0.25">
      <c r="A2631" t="s">
        <v>905</v>
      </c>
      <c r="B2631" t="s">
        <v>4394</v>
      </c>
      <c r="C2631" t="s">
        <v>109</v>
      </c>
      <c r="D2631" t="s">
        <v>192</v>
      </c>
    </row>
    <row r="2632" spans="1:4" x14ac:dyDescent="0.25">
      <c r="A2632" t="s">
        <v>4844</v>
      </c>
      <c r="B2632">
        <v>26</v>
      </c>
      <c r="C2632" t="s">
        <v>4768</v>
      </c>
      <c r="D2632" t="s">
        <v>4777</v>
      </c>
    </row>
    <row r="2633" spans="1:4" x14ac:dyDescent="0.25">
      <c r="A2633" t="s">
        <v>4845</v>
      </c>
      <c r="B2633">
        <v>195</v>
      </c>
      <c r="C2633" t="s">
        <v>4458</v>
      </c>
      <c r="D2633" t="s">
        <v>4457</v>
      </c>
    </row>
    <row r="2634" spans="1:4" x14ac:dyDescent="0.25">
      <c r="A2634" t="s">
        <v>4846</v>
      </c>
      <c r="B2634">
        <v>26</v>
      </c>
      <c r="C2634" t="s">
        <v>4711</v>
      </c>
      <c r="D2634" t="s">
        <v>4582</v>
      </c>
    </row>
    <row r="2635" spans="1:4" x14ac:dyDescent="0.25">
      <c r="A2635" t="s">
        <v>1296</v>
      </c>
      <c r="B2635">
        <v>247</v>
      </c>
      <c r="C2635" t="s">
        <v>4780</v>
      </c>
      <c r="D2635" t="s">
        <v>4779</v>
      </c>
    </row>
    <row r="2637" spans="1:4" x14ac:dyDescent="0.25">
      <c r="A2637" t="s">
        <v>5884</v>
      </c>
    </row>
    <row r="2638" spans="1:4" x14ac:dyDescent="0.25">
      <c r="A2638" t="s">
        <v>906</v>
      </c>
      <c r="B2638" t="s">
        <v>4394</v>
      </c>
      <c r="C2638" t="s">
        <v>109</v>
      </c>
      <c r="D2638" t="s">
        <v>192</v>
      </c>
    </row>
    <row r="2639" spans="1:4" x14ac:dyDescent="0.25">
      <c r="A2639" t="s">
        <v>1338</v>
      </c>
      <c r="B2639">
        <v>37</v>
      </c>
      <c r="C2639" t="s">
        <v>5222</v>
      </c>
      <c r="D2639" t="s">
        <v>5223</v>
      </c>
    </row>
    <row r="2640" spans="1:4" x14ac:dyDescent="0.25">
      <c r="A2640" t="s">
        <v>1370</v>
      </c>
      <c r="B2640">
        <v>27</v>
      </c>
      <c r="C2640" t="s">
        <v>4755</v>
      </c>
      <c r="D2640" t="s">
        <v>5231</v>
      </c>
    </row>
    <row r="2641" spans="1:4" x14ac:dyDescent="0.25">
      <c r="A2641" t="s">
        <v>1439</v>
      </c>
      <c r="B2641">
        <v>17</v>
      </c>
      <c r="C2641" t="s">
        <v>4619</v>
      </c>
      <c r="D2641" t="s">
        <v>4835</v>
      </c>
    </row>
    <row r="2642" spans="1:4" x14ac:dyDescent="0.25">
      <c r="A2642" t="s">
        <v>1476</v>
      </c>
      <c r="B2642">
        <v>61</v>
      </c>
      <c r="C2642" t="s">
        <v>4487</v>
      </c>
      <c r="D2642" t="s">
        <v>5224</v>
      </c>
    </row>
    <row r="2643" spans="1:4" x14ac:dyDescent="0.25">
      <c r="A2643" t="s">
        <v>5476</v>
      </c>
      <c r="B2643">
        <v>6</v>
      </c>
      <c r="C2643" t="s">
        <v>4596</v>
      </c>
      <c r="D2643" t="s">
        <v>4783</v>
      </c>
    </row>
    <row r="2644" spans="1:4" x14ac:dyDescent="0.25">
      <c r="A2644" t="s">
        <v>1399</v>
      </c>
      <c r="B2644">
        <v>35</v>
      </c>
      <c r="C2644" t="s">
        <v>4496</v>
      </c>
      <c r="D2644" t="s">
        <v>5225</v>
      </c>
    </row>
    <row r="2645" spans="1:4" x14ac:dyDescent="0.25">
      <c r="A2645" t="s">
        <v>1415</v>
      </c>
      <c r="B2645">
        <v>64</v>
      </c>
      <c r="C2645" t="s">
        <v>5226</v>
      </c>
      <c r="D2645" t="s">
        <v>4906</v>
      </c>
    </row>
    <row r="2646" spans="1:4" x14ac:dyDescent="0.25">
      <c r="A2646" t="s">
        <v>1296</v>
      </c>
      <c r="B2646">
        <v>247</v>
      </c>
      <c r="C2646" t="s">
        <v>4780</v>
      </c>
      <c r="D2646" t="s">
        <v>4779</v>
      </c>
    </row>
    <row r="2648" spans="1:4" x14ac:dyDescent="0.25">
      <c r="A2648" t="s">
        <v>5885</v>
      </c>
    </row>
    <row r="2649" spans="1:4" x14ac:dyDescent="0.25">
      <c r="A2649" t="s">
        <v>907</v>
      </c>
      <c r="B2649" t="s">
        <v>4394</v>
      </c>
      <c r="C2649" t="s">
        <v>109</v>
      </c>
      <c r="D2649" t="s">
        <v>192</v>
      </c>
    </row>
    <row r="2650" spans="1:4" x14ac:dyDescent="0.25">
      <c r="A2650" t="s">
        <v>109</v>
      </c>
      <c r="B2650">
        <v>211</v>
      </c>
      <c r="C2650" t="s">
        <v>4871</v>
      </c>
      <c r="D2650" t="s">
        <v>5227</v>
      </c>
    </row>
    <row r="2651" spans="1:4" x14ac:dyDescent="0.25">
      <c r="A2651" t="s">
        <v>192</v>
      </c>
      <c r="B2651">
        <v>36</v>
      </c>
      <c r="C2651" t="s">
        <v>4482</v>
      </c>
      <c r="D2651" t="s">
        <v>5228</v>
      </c>
    </row>
    <row r="2652" spans="1:4" x14ac:dyDescent="0.25">
      <c r="A2652" t="s">
        <v>1296</v>
      </c>
      <c r="B2652">
        <v>247</v>
      </c>
      <c r="C2652" t="s">
        <v>4780</v>
      </c>
      <c r="D2652" t="s">
        <v>4779</v>
      </c>
    </row>
    <row r="2654" spans="1:4" x14ac:dyDescent="0.25">
      <c r="A2654" t="s">
        <v>5886</v>
      </c>
    </row>
    <row r="2655" spans="1:4" x14ac:dyDescent="0.25">
      <c r="A2655" t="s">
        <v>910</v>
      </c>
      <c r="B2655" t="s">
        <v>4394</v>
      </c>
      <c r="C2655" t="s">
        <v>109</v>
      </c>
      <c r="D2655" t="s">
        <v>192</v>
      </c>
    </row>
    <row r="2656" spans="1:4" x14ac:dyDescent="0.25">
      <c r="A2656" t="s">
        <v>1371</v>
      </c>
      <c r="B2656">
        <v>35</v>
      </c>
      <c r="C2656" t="s">
        <v>4611</v>
      </c>
      <c r="D2656" t="s">
        <v>4683</v>
      </c>
    </row>
    <row r="2657" spans="1:4" x14ac:dyDescent="0.25">
      <c r="A2657" t="s">
        <v>1452</v>
      </c>
      <c r="B2657">
        <v>15</v>
      </c>
      <c r="C2657" t="s">
        <v>4458</v>
      </c>
      <c r="D2657" t="s">
        <v>4457</v>
      </c>
    </row>
    <row r="2658" spans="1:4" x14ac:dyDescent="0.25">
      <c r="A2658" t="s">
        <v>5560</v>
      </c>
      <c r="B2658">
        <v>45</v>
      </c>
      <c r="C2658" t="s">
        <v>4415</v>
      </c>
      <c r="D2658" t="s">
        <v>5220</v>
      </c>
    </row>
    <row r="2659" spans="1:4" x14ac:dyDescent="0.25">
      <c r="A2659" t="s">
        <v>1424</v>
      </c>
      <c r="B2659">
        <v>105</v>
      </c>
      <c r="C2659" t="s">
        <v>5115</v>
      </c>
      <c r="D2659" t="s">
        <v>5221</v>
      </c>
    </row>
    <row r="2660" spans="1:4" x14ac:dyDescent="0.25">
      <c r="A2660" t="s">
        <v>1340</v>
      </c>
      <c r="B2660">
        <v>28</v>
      </c>
      <c r="C2660" t="s">
        <v>4538</v>
      </c>
      <c r="D2660" t="s">
        <v>5068</v>
      </c>
    </row>
    <row r="2661" spans="1:4" x14ac:dyDescent="0.25">
      <c r="A2661" t="s">
        <v>5561</v>
      </c>
      <c r="B2661">
        <v>5</v>
      </c>
      <c r="C2661" t="s">
        <v>4834</v>
      </c>
      <c r="D2661" t="s">
        <v>4472</v>
      </c>
    </row>
    <row r="2662" spans="1:4" x14ac:dyDescent="0.25">
      <c r="A2662" t="s">
        <v>1416</v>
      </c>
      <c r="B2662">
        <v>14</v>
      </c>
      <c r="C2662" t="s">
        <v>4778</v>
      </c>
      <c r="D2662" t="s">
        <v>4447</v>
      </c>
    </row>
    <row r="2663" spans="1:4" x14ac:dyDescent="0.25">
      <c r="A2663" t="s">
        <v>1296</v>
      </c>
      <c r="B2663">
        <v>247</v>
      </c>
      <c r="C2663" t="s">
        <v>4780</v>
      </c>
      <c r="D2663" t="s">
        <v>4779</v>
      </c>
    </row>
    <row r="2665" spans="1:4" x14ac:dyDescent="0.25">
      <c r="A2665" t="s">
        <v>5887</v>
      </c>
    </row>
    <row r="2666" spans="1:4" x14ac:dyDescent="0.25">
      <c r="A2666" t="s">
        <v>5481</v>
      </c>
      <c r="B2666" t="s">
        <v>4394</v>
      </c>
      <c r="C2666" t="s">
        <v>109</v>
      </c>
      <c r="D2666" t="s">
        <v>192</v>
      </c>
    </row>
    <row r="2667" spans="1:4" x14ac:dyDescent="0.25">
      <c r="A2667" t="s">
        <v>4438</v>
      </c>
      <c r="B2667">
        <v>103</v>
      </c>
      <c r="C2667" t="s">
        <v>4702</v>
      </c>
      <c r="D2667" t="s">
        <v>4791</v>
      </c>
    </row>
    <row r="2668" spans="1:4" x14ac:dyDescent="0.25">
      <c r="A2668" t="s">
        <v>4439</v>
      </c>
      <c r="B2668">
        <v>75</v>
      </c>
      <c r="C2668" t="s">
        <v>5124</v>
      </c>
      <c r="D2668" t="s">
        <v>5230</v>
      </c>
    </row>
    <row r="2669" spans="1:4" x14ac:dyDescent="0.25">
      <c r="A2669" t="s">
        <v>1400</v>
      </c>
      <c r="B2669">
        <v>4</v>
      </c>
      <c r="C2669" t="s">
        <v>4406</v>
      </c>
      <c r="D2669" t="s">
        <v>4454</v>
      </c>
    </row>
    <row r="2670" spans="1:4" x14ac:dyDescent="0.25">
      <c r="A2670" t="s">
        <v>5566</v>
      </c>
      <c r="B2670">
        <v>33</v>
      </c>
      <c r="C2670" t="s">
        <v>4492</v>
      </c>
      <c r="D2670" t="s">
        <v>4767</v>
      </c>
    </row>
    <row r="2671" spans="1:4" x14ac:dyDescent="0.25">
      <c r="A2671" t="s">
        <v>1372</v>
      </c>
      <c r="B2671">
        <v>32</v>
      </c>
      <c r="C2671" t="s">
        <v>5493</v>
      </c>
      <c r="D2671" t="s">
        <v>4478</v>
      </c>
    </row>
    <row r="2672" spans="1:4" x14ac:dyDescent="0.25">
      <c r="A2672" t="s">
        <v>1296</v>
      </c>
      <c r="B2672">
        <v>247</v>
      </c>
      <c r="C2672" t="s">
        <v>4780</v>
      </c>
      <c r="D2672" t="s">
        <v>4779</v>
      </c>
    </row>
    <row r="2674" spans="1:4" x14ac:dyDescent="0.25">
      <c r="A2674" t="s">
        <v>5888</v>
      </c>
    </row>
    <row r="2675" spans="1:4" x14ac:dyDescent="0.25">
      <c r="A2675" t="s">
        <v>5477</v>
      </c>
      <c r="B2675" t="s">
        <v>4394</v>
      </c>
      <c r="C2675" t="s">
        <v>109</v>
      </c>
      <c r="D2675" t="s">
        <v>192</v>
      </c>
    </row>
    <row r="2676" spans="1:4" x14ac:dyDescent="0.25">
      <c r="A2676" t="s">
        <v>4438</v>
      </c>
      <c r="B2676">
        <v>74</v>
      </c>
      <c r="C2676" t="s">
        <v>4533</v>
      </c>
      <c r="D2676" t="s">
        <v>4929</v>
      </c>
    </row>
    <row r="2677" spans="1:4" x14ac:dyDescent="0.25">
      <c r="A2677" t="s">
        <v>4439</v>
      </c>
      <c r="B2677">
        <v>105</v>
      </c>
      <c r="C2677" t="s">
        <v>4458</v>
      </c>
      <c r="D2677" t="s">
        <v>4457</v>
      </c>
    </row>
    <row r="2678" spans="1:4" x14ac:dyDescent="0.25">
      <c r="A2678" t="s">
        <v>1400</v>
      </c>
      <c r="B2678">
        <v>5</v>
      </c>
      <c r="C2678" t="s">
        <v>4458</v>
      </c>
      <c r="D2678" t="s">
        <v>4457</v>
      </c>
    </row>
    <row r="2679" spans="1:4" x14ac:dyDescent="0.25">
      <c r="A2679" t="s">
        <v>5566</v>
      </c>
      <c r="B2679">
        <v>33</v>
      </c>
      <c r="C2679" t="s">
        <v>4492</v>
      </c>
      <c r="D2679" t="s">
        <v>4767</v>
      </c>
    </row>
    <row r="2680" spans="1:4" x14ac:dyDescent="0.25">
      <c r="A2680" t="s">
        <v>1426</v>
      </c>
      <c r="B2680">
        <v>1</v>
      </c>
      <c r="C2680" t="s">
        <v>4406</v>
      </c>
      <c r="D2680" t="s">
        <v>4454</v>
      </c>
    </row>
    <row r="2681" spans="1:4" x14ac:dyDescent="0.25">
      <c r="A2681" t="s">
        <v>1372</v>
      </c>
      <c r="B2681">
        <v>29</v>
      </c>
      <c r="C2681" t="s">
        <v>5208</v>
      </c>
      <c r="D2681" t="s">
        <v>5152</v>
      </c>
    </row>
    <row r="2682" spans="1:4" x14ac:dyDescent="0.25">
      <c r="A2682" t="s">
        <v>1296</v>
      </c>
      <c r="B2682">
        <v>247</v>
      </c>
      <c r="C2682" t="s">
        <v>4780</v>
      </c>
      <c r="D2682" t="s">
        <v>4779</v>
      </c>
    </row>
    <row r="2684" spans="1:4" x14ac:dyDescent="0.25">
      <c r="A2684" t="s">
        <v>5889</v>
      </c>
    </row>
    <row r="2685" spans="1:4" x14ac:dyDescent="0.25">
      <c r="A2685" t="s">
        <v>911</v>
      </c>
      <c r="B2685" t="s">
        <v>4394</v>
      </c>
      <c r="C2685" t="s">
        <v>109</v>
      </c>
      <c r="D2685" t="s">
        <v>192</v>
      </c>
    </row>
    <row r="2686" spans="1:4" x14ac:dyDescent="0.25">
      <c r="A2686" t="s">
        <v>4438</v>
      </c>
      <c r="B2686">
        <v>97</v>
      </c>
      <c r="C2686" t="s">
        <v>5354</v>
      </c>
      <c r="D2686" t="s">
        <v>4889</v>
      </c>
    </row>
    <row r="2687" spans="1:4" x14ac:dyDescent="0.25">
      <c r="A2687" t="s">
        <v>4439</v>
      </c>
      <c r="B2687">
        <v>67</v>
      </c>
      <c r="C2687" t="s">
        <v>4512</v>
      </c>
      <c r="D2687" t="s">
        <v>4652</v>
      </c>
    </row>
    <row r="2688" spans="1:4" x14ac:dyDescent="0.25">
      <c r="A2688" t="s">
        <v>1400</v>
      </c>
      <c r="B2688">
        <v>16</v>
      </c>
      <c r="C2688" t="s">
        <v>4944</v>
      </c>
      <c r="D2688" t="s">
        <v>4984</v>
      </c>
    </row>
    <row r="2689" spans="1:4" x14ac:dyDescent="0.25">
      <c r="A2689" t="s">
        <v>1340</v>
      </c>
      <c r="B2689">
        <v>28</v>
      </c>
      <c r="C2689" t="s">
        <v>4538</v>
      </c>
      <c r="D2689" t="s">
        <v>5068</v>
      </c>
    </row>
    <row r="2690" spans="1:4" x14ac:dyDescent="0.25">
      <c r="A2690" t="s">
        <v>1426</v>
      </c>
      <c r="B2690">
        <v>6</v>
      </c>
      <c r="C2690" t="s">
        <v>4596</v>
      </c>
      <c r="D2690" t="s">
        <v>4783</v>
      </c>
    </row>
    <row r="2691" spans="1:4" x14ac:dyDescent="0.25">
      <c r="A2691" t="s">
        <v>1372</v>
      </c>
      <c r="B2691">
        <v>33</v>
      </c>
      <c r="C2691" t="s">
        <v>4532</v>
      </c>
      <c r="D2691" t="s">
        <v>4540</v>
      </c>
    </row>
    <row r="2692" spans="1:4" x14ac:dyDescent="0.25">
      <c r="A2692" t="s">
        <v>1296</v>
      </c>
      <c r="B2692">
        <v>247</v>
      </c>
      <c r="C2692" t="s">
        <v>4780</v>
      </c>
      <c r="D2692" t="s">
        <v>4779</v>
      </c>
    </row>
    <row r="2694" spans="1:4" x14ac:dyDescent="0.25">
      <c r="A2694" t="s">
        <v>5890</v>
      </c>
    </row>
    <row r="2695" spans="1:4" x14ac:dyDescent="0.25">
      <c r="A2695" t="s">
        <v>912</v>
      </c>
      <c r="B2695" t="s">
        <v>4394</v>
      </c>
      <c r="C2695" t="s">
        <v>109</v>
      </c>
      <c r="D2695" t="s">
        <v>192</v>
      </c>
    </row>
    <row r="2696" spans="1:4" x14ac:dyDescent="0.25">
      <c r="A2696" t="s">
        <v>4438</v>
      </c>
      <c r="B2696">
        <v>61</v>
      </c>
      <c r="C2696" t="s">
        <v>5101</v>
      </c>
      <c r="D2696" t="s">
        <v>4951</v>
      </c>
    </row>
    <row r="2697" spans="1:4" x14ac:dyDescent="0.25">
      <c r="A2697" t="s">
        <v>4439</v>
      </c>
      <c r="B2697">
        <v>88</v>
      </c>
      <c r="C2697" t="s">
        <v>4492</v>
      </c>
      <c r="D2697" t="s">
        <v>4767</v>
      </c>
    </row>
    <row r="2698" spans="1:4" x14ac:dyDescent="0.25">
      <c r="A2698" t="s">
        <v>1400</v>
      </c>
      <c r="B2698">
        <v>26</v>
      </c>
      <c r="C2698" t="s">
        <v>4768</v>
      </c>
      <c r="D2698" t="s">
        <v>4777</v>
      </c>
    </row>
    <row r="2699" spans="1:4" x14ac:dyDescent="0.25">
      <c r="A2699" t="s">
        <v>1340</v>
      </c>
      <c r="B2699">
        <v>28</v>
      </c>
      <c r="C2699" t="s">
        <v>4538</v>
      </c>
      <c r="D2699" t="s">
        <v>5068</v>
      </c>
    </row>
    <row r="2700" spans="1:4" x14ac:dyDescent="0.25">
      <c r="A2700" t="s">
        <v>1426</v>
      </c>
      <c r="B2700">
        <v>11</v>
      </c>
      <c r="C2700" t="s">
        <v>4492</v>
      </c>
      <c r="D2700" t="s">
        <v>4767</v>
      </c>
    </row>
    <row r="2701" spans="1:4" x14ac:dyDescent="0.25">
      <c r="A2701" t="s">
        <v>1372</v>
      </c>
      <c r="B2701">
        <v>33</v>
      </c>
      <c r="C2701" t="s">
        <v>5209</v>
      </c>
      <c r="D2701" t="s">
        <v>4560</v>
      </c>
    </row>
    <row r="2702" spans="1:4" x14ac:dyDescent="0.25">
      <c r="A2702" t="s">
        <v>1296</v>
      </c>
      <c r="B2702">
        <v>247</v>
      </c>
      <c r="C2702" t="s">
        <v>4780</v>
      </c>
      <c r="D2702" t="s">
        <v>4779</v>
      </c>
    </row>
    <row r="2704" spans="1:4" x14ac:dyDescent="0.25">
      <c r="A2704" t="s">
        <v>5891</v>
      </c>
    </row>
    <row r="2705" spans="1:4" x14ac:dyDescent="0.25">
      <c r="A2705" t="s">
        <v>920</v>
      </c>
      <c r="B2705" t="s">
        <v>4394</v>
      </c>
      <c r="C2705" t="s">
        <v>109</v>
      </c>
      <c r="D2705" t="s">
        <v>192</v>
      </c>
    </row>
    <row r="2706" spans="1:4" x14ac:dyDescent="0.25">
      <c r="A2706" t="s">
        <v>1343</v>
      </c>
      <c r="B2706">
        <v>142</v>
      </c>
      <c r="C2706" t="s">
        <v>5153</v>
      </c>
      <c r="D2706" t="s">
        <v>4829</v>
      </c>
    </row>
    <row r="2707" spans="1:4" x14ac:dyDescent="0.25">
      <c r="A2707" t="s">
        <v>1345</v>
      </c>
      <c r="B2707">
        <v>64</v>
      </c>
      <c r="C2707" t="s">
        <v>4916</v>
      </c>
      <c r="D2707" t="s">
        <v>4521</v>
      </c>
    </row>
    <row r="2708" spans="1:4" x14ac:dyDescent="0.25">
      <c r="A2708" t="s">
        <v>1466</v>
      </c>
      <c r="B2708">
        <v>39</v>
      </c>
      <c r="C2708" t="s">
        <v>4881</v>
      </c>
      <c r="D2708" t="s">
        <v>4547</v>
      </c>
    </row>
    <row r="2709" spans="1:4" x14ac:dyDescent="0.25">
      <c r="A2709" t="s">
        <v>5554</v>
      </c>
      <c r="B2709">
        <v>2</v>
      </c>
      <c r="C2709" t="s">
        <v>4454</v>
      </c>
      <c r="D2709" t="s">
        <v>4406</v>
      </c>
    </row>
    <row r="2710" spans="1:4" x14ac:dyDescent="0.25">
      <c r="A2710" t="s">
        <v>1296</v>
      </c>
      <c r="B2710">
        <v>247</v>
      </c>
      <c r="C2710" t="s">
        <v>4780</v>
      </c>
      <c r="D2710" t="s">
        <v>4779</v>
      </c>
    </row>
    <row r="2712" spans="1:4" x14ac:dyDescent="0.25">
      <c r="A2712" t="s">
        <v>5892</v>
      </c>
    </row>
    <row r="2713" spans="1:4" x14ac:dyDescent="0.25">
      <c r="A2713" t="s">
        <v>924</v>
      </c>
      <c r="B2713" t="s">
        <v>4394</v>
      </c>
      <c r="C2713" t="s">
        <v>109</v>
      </c>
      <c r="D2713" t="s">
        <v>192</v>
      </c>
    </row>
    <row r="2714" spans="1:4" x14ac:dyDescent="0.25">
      <c r="A2714" t="s">
        <v>1345</v>
      </c>
      <c r="B2714">
        <v>55</v>
      </c>
      <c r="C2714" t="s">
        <v>4762</v>
      </c>
      <c r="D2714" t="s">
        <v>4939</v>
      </c>
    </row>
    <row r="2715" spans="1:4" x14ac:dyDescent="0.25">
      <c r="A2715" t="s">
        <v>1441</v>
      </c>
      <c r="B2715">
        <v>96</v>
      </c>
      <c r="C2715" t="s">
        <v>4724</v>
      </c>
      <c r="D2715" t="s">
        <v>4872</v>
      </c>
    </row>
    <row r="2716" spans="1:4" x14ac:dyDescent="0.25">
      <c r="A2716" t="s">
        <v>1461</v>
      </c>
      <c r="B2716">
        <v>86</v>
      </c>
      <c r="C2716" t="s">
        <v>4415</v>
      </c>
      <c r="D2716" t="s">
        <v>5220</v>
      </c>
    </row>
    <row r="2717" spans="1:4" x14ac:dyDescent="0.25">
      <c r="A2717" t="s">
        <v>5554</v>
      </c>
      <c r="B2717">
        <v>10</v>
      </c>
      <c r="C2717" t="s">
        <v>4458</v>
      </c>
      <c r="D2717" t="s">
        <v>4457</v>
      </c>
    </row>
    <row r="2718" spans="1:4" x14ac:dyDescent="0.25">
      <c r="A2718" t="s">
        <v>1296</v>
      </c>
      <c r="B2718">
        <v>247</v>
      </c>
      <c r="C2718" t="s">
        <v>4780</v>
      </c>
      <c r="D2718" t="s">
        <v>4779</v>
      </c>
    </row>
    <row r="2720" spans="1:4" x14ac:dyDescent="0.25">
      <c r="A2720" t="s">
        <v>5893</v>
      </c>
    </row>
    <row r="2721" spans="1:4" x14ac:dyDescent="0.25">
      <c r="A2721" t="s">
        <v>903</v>
      </c>
      <c r="B2721" t="s">
        <v>4394</v>
      </c>
      <c r="C2721" t="s">
        <v>109</v>
      </c>
      <c r="D2721" t="s">
        <v>192</v>
      </c>
    </row>
    <row r="2722" spans="1:4" x14ac:dyDescent="0.25">
      <c r="A2722" t="s">
        <v>70</v>
      </c>
      <c r="B2722">
        <v>74</v>
      </c>
      <c r="C2722" t="s">
        <v>4495</v>
      </c>
      <c r="D2722" t="s">
        <v>5229</v>
      </c>
    </row>
    <row r="2723" spans="1:4" x14ac:dyDescent="0.25">
      <c r="A2723" t="s">
        <v>71</v>
      </c>
      <c r="B2723">
        <v>173</v>
      </c>
      <c r="C2723" t="s">
        <v>5136</v>
      </c>
      <c r="D2723" t="s">
        <v>5135</v>
      </c>
    </row>
    <row r="2724" spans="1:4" x14ac:dyDescent="0.25">
      <c r="A2724" t="s">
        <v>1296</v>
      </c>
      <c r="B2724">
        <v>247</v>
      </c>
      <c r="C2724" t="s">
        <v>4780</v>
      </c>
      <c r="D2724" t="s">
        <v>4779</v>
      </c>
    </row>
    <row r="2726" spans="1:4" x14ac:dyDescent="0.25">
      <c r="A2726" t="s">
        <v>5894</v>
      </c>
    </row>
    <row r="2727" spans="1:4" x14ac:dyDescent="0.25">
      <c r="A2727" t="s">
        <v>1297</v>
      </c>
      <c r="B2727" t="s">
        <v>4394</v>
      </c>
      <c r="C2727" t="s">
        <v>109</v>
      </c>
      <c r="D2727" t="s">
        <v>192</v>
      </c>
    </row>
    <row r="2728" spans="1:4" x14ac:dyDescent="0.25">
      <c r="A2728" t="s">
        <v>5549</v>
      </c>
      <c r="B2728">
        <v>79</v>
      </c>
      <c r="C2728" t="s">
        <v>4762</v>
      </c>
      <c r="D2728" t="s">
        <v>4939</v>
      </c>
    </row>
    <row r="2729" spans="1:4" x14ac:dyDescent="0.25">
      <c r="A2729" t="s">
        <v>1397</v>
      </c>
      <c r="B2729">
        <v>24</v>
      </c>
      <c r="C2729" t="s">
        <v>4465</v>
      </c>
      <c r="D2729" t="s">
        <v>4469</v>
      </c>
    </row>
    <row r="2730" spans="1:4" x14ac:dyDescent="0.25">
      <c r="A2730" t="s">
        <v>1296</v>
      </c>
      <c r="B2730">
        <v>103</v>
      </c>
      <c r="C2730" t="s">
        <v>4531</v>
      </c>
      <c r="D2730" t="s">
        <v>4463</v>
      </c>
    </row>
    <row r="2732" spans="1:4" x14ac:dyDescent="0.25">
      <c r="A2732" t="s">
        <v>5895</v>
      </c>
    </row>
    <row r="2733" spans="1:4" x14ac:dyDescent="0.25">
      <c r="A2733" t="s">
        <v>905</v>
      </c>
      <c r="B2733" t="s">
        <v>4394</v>
      </c>
      <c r="C2733" t="s">
        <v>109</v>
      </c>
      <c r="D2733" t="s">
        <v>192</v>
      </c>
    </row>
    <row r="2734" spans="1:4" x14ac:dyDescent="0.25">
      <c r="A2734" t="s">
        <v>4844</v>
      </c>
      <c r="B2734">
        <v>13</v>
      </c>
      <c r="C2734" t="s">
        <v>4567</v>
      </c>
      <c r="D2734" t="s">
        <v>5419</v>
      </c>
    </row>
    <row r="2735" spans="1:4" x14ac:dyDescent="0.25">
      <c r="A2735" t="s">
        <v>4845</v>
      </c>
      <c r="B2735">
        <v>75</v>
      </c>
      <c r="C2735" t="s">
        <v>4658</v>
      </c>
      <c r="D2735" t="s">
        <v>4562</v>
      </c>
    </row>
    <row r="2736" spans="1:4" x14ac:dyDescent="0.25">
      <c r="A2736" t="s">
        <v>4846</v>
      </c>
      <c r="B2736">
        <v>15</v>
      </c>
      <c r="C2736" t="s">
        <v>5107</v>
      </c>
      <c r="D2736" t="s">
        <v>5106</v>
      </c>
    </row>
    <row r="2737" spans="1:4" x14ac:dyDescent="0.25">
      <c r="A2737" t="s">
        <v>1296</v>
      </c>
      <c r="B2737">
        <v>103</v>
      </c>
      <c r="C2737" t="s">
        <v>4531</v>
      </c>
      <c r="D2737" t="s">
        <v>4463</v>
      </c>
    </row>
    <row r="2739" spans="1:4" x14ac:dyDescent="0.25">
      <c r="A2739" t="s">
        <v>5896</v>
      </c>
    </row>
    <row r="2740" spans="1:4" x14ac:dyDescent="0.25">
      <c r="A2740" t="s">
        <v>906</v>
      </c>
      <c r="B2740" t="s">
        <v>4394</v>
      </c>
      <c r="C2740" t="s">
        <v>109</v>
      </c>
      <c r="D2740" t="s">
        <v>192</v>
      </c>
    </row>
    <row r="2741" spans="1:4" x14ac:dyDescent="0.25">
      <c r="A2741" t="s">
        <v>1338</v>
      </c>
      <c r="B2741">
        <v>16</v>
      </c>
      <c r="C2741" t="s">
        <v>4520</v>
      </c>
      <c r="D2741" t="s">
        <v>4725</v>
      </c>
    </row>
    <row r="2742" spans="1:4" x14ac:dyDescent="0.25">
      <c r="A2742" t="s">
        <v>1370</v>
      </c>
      <c r="B2742">
        <v>12</v>
      </c>
      <c r="C2742" t="s">
        <v>4468</v>
      </c>
      <c r="D2742" t="s">
        <v>4468</v>
      </c>
    </row>
    <row r="2743" spans="1:4" x14ac:dyDescent="0.25">
      <c r="A2743" t="s">
        <v>1439</v>
      </c>
      <c r="B2743">
        <v>9</v>
      </c>
      <c r="C2743" t="s">
        <v>4469</v>
      </c>
      <c r="D2743" t="s">
        <v>4465</v>
      </c>
    </row>
    <row r="2744" spans="1:4" x14ac:dyDescent="0.25">
      <c r="A2744" t="s">
        <v>1476</v>
      </c>
      <c r="B2744">
        <v>28</v>
      </c>
      <c r="C2744" t="s">
        <v>4450</v>
      </c>
      <c r="D2744" t="s">
        <v>4814</v>
      </c>
    </row>
    <row r="2745" spans="1:4" x14ac:dyDescent="0.25">
      <c r="A2745" t="s">
        <v>5476</v>
      </c>
      <c r="B2745">
        <v>4</v>
      </c>
      <c r="C2745" t="s">
        <v>4462</v>
      </c>
      <c r="D2745" t="s">
        <v>4793</v>
      </c>
    </row>
    <row r="2746" spans="1:4" x14ac:dyDescent="0.25">
      <c r="A2746" t="s">
        <v>1399</v>
      </c>
      <c r="B2746">
        <v>10</v>
      </c>
      <c r="C2746" t="s">
        <v>4458</v>
      </c>
      <c r="D2746" t="s">
        <v>4457</v>
      </c>
    </row>
    <row r="2747" spans="1:4" x14ac:dyDescent="0.25">
      <c r="A2747" t="s">
        <v>1415</v>
      </c>
      <c r="B2747">
        <v>24</v>
      </c>
      <c r="C2747" t="s">
        <v>4517</v>
      </c>
      <c r="D2747" t="s">
        <v>5205</v>
      </c>
    </row>
    <row r="2748" spans="1:4" x14ac:dyDescent="0.25">
      <c r="A2748" t="s">
        <v>1296</v>
      </c>
      <c r="B2748">
        <v>103</v>
      </c>
      <c r="C2748" t="s">
        <v>4531</v>
      </c>
      <c r="D2748" t="s">
        <v>4463</v>
      </c>
    </row>
    <row r="2750" spans="1:4" x14ac:dyDescent="0.25">
      <c r="A2750" t="s">
        <v>5897</v>
      </c>
    </row>
    <row r="2751" spans="1:4" x14ac:dyDescent="0.25">
      <c r="A2751" t="s">
        <v>907</v>
      </c>
      <c r="B2751" t="s">
        <v>4394</v>
      </c>
      <c r="C2751" t="s">
        <v>109</v>
      </c>
      <c r="D2751" t="s">
        <v>192</v>
      </c>
    </row>
    <row r="2752" spans="1:4" x14ac:dyDescent="0.25">
      <c r="A2752" t="s">
        <v>109</v>
      </c>
      <c r="B2752">
        <v>83</v>
      </c>
      <c r="C2752" t="s">
        <v>4487</v>
      </c>
      <c r="D2752" t="s">
        <v>5224</v>
      </c>
    </row>
    <row r="2753" spans="1:4" x14ac:dyDescent="0.25">
      <c r="A2753" t="s">
        <v>192</v>
      </c>
      <c r="B2753">
        <v>20</v>
      </c>
      <c r="C2753" t="s">
        <v>4644</v>
      </c>
      <c r="D2753" t="s">
        <v>4821</v>
      </c>
    </row>
    <row r="2754" spans="1:4" x14ac:dyDescent="0.25">
      <c r="A2754" t="s">
        <v>1296</v>
      </c>
      <c r="B2754">
        <v>103</v>
      </c>
      <c r="C2754" t="s">
        <v>4531</v>
      </c>
      <c r="D2754" t="s">
        <v>4463</v>
      </c>
    </row>
    <row r="2756" spans="1:4" x14ac:dyDescent="0.25">
      <c r="A2756" t="s">
        <v>5898</v>
      </c>
    </row>
    <row r="2757" spans="1:4" x14ac:dyDescent="0.25">
      <c r="A2757" t="s">
        <v>910</v>
      </c>
      <c r="B2757" t="s">
        <v>4394</v>
      </c>
      <c r="C2757" t="s">
        <v>109</v>
      </c>
      <c r="D2757" t="s">
        <v>192</v>
      </c>
    </row>
    <row r="2758" spans="1:4" x14ac:dyDescent="0.25">
      <c r="A2758" t="s">
        <v>1371</v>
      </c>
      <c r="B2758">
        <v>16</v>
      </c>
      <c r="C2758" t="s">
        <v>4916</v>
      </c>
      <c r="D2758" t="s">
        <v>4521</v>
      </c>
    </row>
    <row r="2759" spans="1:4" x14ac:dyDescent="0.25">
      <c r="A2759" t="s">
        <v>1452</v>
      </c>
      <c r="B2759">
        <v>3</v>
      </c>
      <c r="C2759" t="s">
        <v>4406</v>
      </c>
      <c r="D2759" t="s">
        <v>4454</v>
      </c>
    </row>
    <row r="2760" spans="1:4" x14ac:dyDescent="0.25">
      <c r="A2760" t="s">
        <v>5560</v>
      </c>
      <c r="B2760">
        <v>21</v>
      </c>
      <c r="C2760" t="s">
        <v>4465</v>
      </c>
      <c r="D2760" t="s">
        <v>4469</v>
      </c>
    </row>
    <row r="2761" spans="1:4" x14ac:dyDescent="0.25">
      <c r="A2761" t="s">
        <v>1424</v>
      </c>
      <c r="B2761">
        <v>44</v>
      </c>
      <c r="C2761" t="s">
        <v>4690</v>
      </c>
      <c r="D2761" t="s">
        <v>5163</v>
      </c>
    </row>
    <row r="2762" spans="1:4" x14ac:dyDescent="0.25">
      <c r="A2762" t="s">
        <v>1340</v>
      </c>
      <c r="B2762">
        <v>10</v>
      </c>
      <c r="C2762" t="s">
        <v>4468</v>
      </c>
      <c r="D2762" t="s">
        <v>4468</v>
      </c>
    </row>
    <row r="2763" spans="1:4" x14ac:dyDescent="0.25">
      <c r="A2763" t="s">
        <v>5561</v>
      </c>
      <c r="B2763">
        <v>5</v>
      </c>
      <c r="C2763" t="s">
        <v>4458</v>
      </c>
      <c r="D2763" t="s">
        <v>4457</v>
      </c>
    </row>
    <row r="2764" spans="1:4" x14ac:dyDescent="0.25">
      <c r="A2764" t="s">
        <v>1416</v>
      </c>
      <c r="B2764">
        <v>4</v>
      </c>
      <c r="C2764" t="s">
        <v>4793</v>
      </c>
      <c r="D2764" t="s">
        <v>4462</v>
      </c>
    </row>
    <row r="2765" spans="1:4" x14ac:dyDescent="0.25">
      <c r="A2765" t="s">
        <v>1296</v>
      </c>
      <c r="B2765">
        <v>103</v>
      </c>
      <c r="C2765" t="s">
        <v>4531</v>
      </c>
      <c r="D2765" t="s">
        <v>4463</v>
      </c>
    </row>
    <row r="2767" spans="1:4" x14ac:dyDescent="0.25">
      <c r="A2767" t="s">
        <v>5899</v>
      </c>
    </row>
    <row r="2768" spans="1:4" x14ac:dyDescent="0.25">
      <c r="A2768" t="s">
        <v>5481</v>
      </c>
      <c r="B2768" t="s">
        <v>4394</v>
      </c>
      <c r="C2768" t="s">
        <v>109</v>
      </c>
      <c r="D2768" t="s">
        <v>192</v>
      </c>
    </row>
    <row r="2769" spans="1:4" x14ac:dyDescent="0.25">
      <c r="A2769" t="s">
        <v>4438</v>
      </c>
      <c r="B2769">
        <v>43</v>
      </c>
      <c r="C2769" t="s">
        <v>5502</v>
      </c>
      <c r="D2769" t="s">
        <v>4938</v>
      </c>
    </row>
    <row r="2770" spans="1:4" x14ac:dyDescent="0.25">
      <c r="A2770" t="s">
        <v>4439</v>
      </c>
      <c r="B2770">
        <v>25</v>
      </c>
      <c r="C2770" t="s">
        <v>5282</v>
      </c>
      <c r="D2770" t="s">
        <v>4919</v>
      </c>
    </row>
    <row r="2771" spans="1:4" x14ac:dyDescent="0.25">
      <c r="A2771" t="s">
        <v>1400</v>
      </c>
      <c r="B2771">
        <v>2</v>
      </c>
      <c r="C2771" t="s">
        <v>4406</v>
      </c>
      <c r="D2771" t="s">
        <v>4454</v>
      </c>
    </row>
    <row r="2772" spans="1:4" x14ac:dyDescent="0.25">
      <c r="A2772" t="s">
        <v>5566</v>
      </c>
      <c r="B2772">
        <v>12</v>
      </c>
      <c r="C2772" t="s">
        <v>4468</v>
      </c>
      <c r="D2772" t="s">
        <v>4468</v>
      </c>
    </row>
    <row r="2773" spans="1:4" x14ac:dyDescent="0.25">
      <c r="A2773" t="s">
        <v>1372</v>
      </c>
      <c r="B2773">
        <v>21</v>
      </c>
      <c r="C2773" t="s">
        <v>4497</v>
      </c>
      <c r="D2773" t="s">
        <v>5285</v>
      </c>
    </row>
    <row r="2774" spans="1:4" x14ac:dyDescent="0.25">
      <c r="A2774" t="s">
        <v>1296</v>
      </c>
      <c r="B2774">
        <v>103</v>
      </c>
      <c r="C2774" t="s">
        <v>4531</v>
      </c>
      <c r="D2774" t="s">
        <v>4463</v>
      </c>
    </row>
    <row r="2776" spans="1:4" x14ac:dyDescent="0.25">
      <c r="A2776" t="s">
        <v>5900</v>
      </c>
    </row>
    <row r="2777" spans="1:4" x14ac:dyDescent="0.25">
      <c r="A2777" t="s">
        <v>5477</v>
      </c>
      <c r="B2777" t="s">
        <v>4394</v>
      </c>
      <c r="C2777" t="s">
        <v>109</v>
      </c>
      <c r="D2777" t="s">
        <v>192</v>
      </c>
    </row>
    <row r="2778" spans="1:4" x14ac:dyDescent="0.25">
      <c r="A2778" t="s">
        <v>4438</v>
      </c>
      <c r="B2778">
        <v>37</v>
      </c>
      <c r="C2778" t="s">
        <v>4533</v>
      </c>
      <c r="D2778" t="s">
        <v>4929</v>
      </c>
    </row>
    <row r="2779" spans="1:4" x14ac:dyDescent="0.25">
      <c r="A2779" t="s">
        <v>4439</v>
      </c>
      <c r="B2779">
        <v>27</v>
      </c>
      <c r="C2779" t="s">
        <v>4790</v>
      </c>
      <c r="D2779" t="s">
        <v>4789</v>
      </c>
    </row>
    <row r="2780" spans="1:4" x14ac:dyDescent="0.25">
      <c r="A2780" t="s">
        <v>1400</v>
      </c>
      <c r="B2780">
        <v>1</v>
      </c>
      <c r="C2780" t="s">
        <v>4406</v>
      </c>
      <c r="D2780" t="s">
        <v>4454</v>
      </c>
    </row>
    <row r="2781" spans="1:4" x14ac:dyDescent="0.25">
      <c r="A2781" t="s">
        <v>5566</v>
      </c>
      <c r="B2781">
        <v>12</v>
      </c>
      <c r="C2781" t="s">
        <v>4468</v>
      </c>
      <c r="D2781" t="s">
        <v>4468</v>
      </c>
    </row>
    <row r="2782" spans="1:4" x14ac:dyDescent="0.25">
      <c r="A2782" t="s">
        <v>1372</v>
      </c>
      <c r="B2782">
        <v>26</v>
      </c>
      <c r="C2782" t="s">
        <v>4565</v>
      </c>
      <c r="D2782" t="s">
        <v>4915</v>
      </c>
    </row>
    <row r="2783" spans="1:4" x14ac:dyDescent="0.25">
      <c r="A2783" t="s">
        <v>1296</v>
      </c>
      <c r="B2783">
        <v>103</v>
      </c>
      <c r="C2783" t="s">
        <v>4531</v>
      </c>
      <c r="D2783" t="s">
        <v>4463</v>
      </c>
    </row>
    <row r="2785" spans="1:4" x14ac:dyDescent="0.25">
      <c r="A2785" t="s">
        <v>5901</v>
      </c>
    </row>
    <row r="2786" spans="1:4" x14ac:dyDescent="0.25">
      <c r="A2786" t="s">
        <v>911</v>
      </c>
      <c r="B2786" t="s">
        <v>4394</v>
      </c>
      <c r="C2786" t="s">
        <v>109</v>
      </c>
      <c r="D2786" t="s">
        <v>192</v>
      </c>
    </row>
    <row r="2787" spans="1:4" x14ac:dyDescent="0.25">
      <c r="A2787" t="s">
        <v>4438</v>
      </c>
      <c r="B2787">
        <v>39</v>
      </c>
      <c r="C2787" t="s">
        <v>4510</v>
      </c>
      <c r="D2787" t="s">
        <v>5166</v>
      </c>
    </row>
    <row r="2788" spans="1:4" x14ac:dyDescent="0.25">
      <c r="A2788" t="s">
        <v>4439</v>
      </c>
      <c r="B2788">
        <v>21</v>
      </c>
      <c r="C2788" t="s">
        <v>4450</v>
      </c>
      <c r="D2788" t="s">
        <v>4814</v>
      </c>
    </row>
    <row r="2789" spans="1:4" x14ac:dyDescent="0.25">
      <c r="A2789" t="s">
        <v>1400</v>
      </c>
      <c r="B2789">
        <v>4</v>
      </c>
      <c r="C2789" t="s">
        <v>4468</v>
      </c>
      <c r="D2789" t="s">
        <v>4468</v>
      </c>
    </row>
    <row r="2790" spans="1:4" x14ac:dyDescent="0.25">
      <c r="A2790" t="s">
        <v>1340</v>
      </c>
      <c r="B2790">
        <v>10</v>
      </c>
      <c r="C2790" t="s">
        <v>4468</v>
      </c>
      <c r="D2790" t="s">
        <v>4468</v>
      </c>
    </row>
    <row r="2791" spans="1:4" x14ac:dyDescent="0.25">
      <c r="A2791" t="s">
        <v>1426</v>
      </c>
      <c r="B2791">
        <v>4</v>
      </c>
      <c r="C2791" t="s">
        <v>4462</v>
      </c>
      <c r="D2791" t="s">
        <v>4793</v>
      </c>
    </row>
    <row r="2792" spans="1:4" x14ac:dyDescent="0.25">
      <c r="A2792" t="s">
        <v>1372</v>
      </c>
      <c r="B2792">
        <v>25</v>
      </c>
      <c r="C2792" t="s">
        <v>4458</v>
      </c>
      <c r="D2792" t="s">
        <v>4457</v>
      </c>
    </row>
    <row r="2793" spans="1:4" x14ac:dyDescent="0.25">
      <c r="A2793" t="s">
        <v>1296</v>
      </c>
      <c r="B2793">
        <v>103</v>
      </c>
      <c r="C2793" t="s">
        <v>4531</v>
      </c>
      <c r="D2793" t="s">
        <v>4463</v>
      </c>
    </row>
    <row r="2795" spans="1:4" x14ac:dyDescent="0.25">
      <c r="A2795" t="s">
        <v>5902</v>
      </c>
    </row>
    <row r="2796" spans="1:4" x14ac:dyDescent="0.25">
      <c r="A2796" t="s">
        <v>912</v>
      </c>
      <c r="B2796" t="s">
        <v>4394</v>
      </c>
      <c r="C2796" t="s">
        <v>109</v>
      </c>
      <c r="D2796" t="s">
        <v>192</v>
      </c>
    </row>
    <row r="2797" spans="1:4" x14ac:dyDescent="0.25">
      <c r="A2797" t="s">
        <v>4438</v>
      </c>
      <c r="B2797">
        <v>29</v>
      </c>
      <c r="C2797" t="s">
        <v>5198</v>
      </c>
      <c r="D2797" t="s">
        <v>4441</v>
      </c>
    </row>
    <row r="2798" spans="1:4" x14ac:dyDescent="0.25">
      <c r="A2798" t="s">
        <v>4439</v>
      </c>
      <c r="B2798">
        <v>27</v>
      </c>
      <c r="C2798" t="s">
        <v>4731</v>
      </c>
      <c r="D2798" t="s">
        <v>4857</v>
      </c>
    </row>
    <row r="2799" spans="1:4" x14ac:dyDescent="0.25">
      <c r="A2799" t="s">
        <v>1400</v>
      </c>
      <c r="B2799">
        <v>2</v>
      </c>
      <c r="C2799" t="s">
        <v>4406</v>
      </c>
      <c r="D2799" t="s">
        <v>4454</v>
      </c>
    </row>
    <row r="2800" spans="1:4" x14ac:dyDescent="0.25">
      <c r="A2800" t="s">
        <v>1340</v>
      </c>
      <c r="B2800">
        <v>10</v>
      </c>
      <c r="C2800" t="s">
        <v>4468</v>
      </c>
      <c r="D2800" t="s">
        <v>4468</v>
      </c>
    </row>
    <row r="2801" spans="1:4" x14ac:dyDescent="0.25">
      <c r="A2801" t="s">
        <v>1426</v>
      </c>
      <c r="B2801">
        <v>3</v>
      </c>
      <c r="C2801" t="s">
        <v>4469</v>
      </c>
      <c r="D2801" t="s">
        <v>4465</v>
      </c>
    </row>
    <row r="2802" spans="1:4" x14ac:dyDescent="0.25">
      <c r="A2802" t="s">
        <v>1372</v>
      </c>
      <c r="B2802">
        <v>32</v>
      </c>
      <c r="C2802" t="s">
        <v>4481</v>
      </c>
      <c r="D2802" t="s">
        <v>4602</v>
      </c>
    </row>
    <row r="2803" spans="1:4" x14ac:dyDescent="0.25">
      <c r="A2803" t="s">
        <v>1296</v>
      </c>
      <c r="B2803">
        <v>103</v>
      </c>
      <c r="C2803" t="s">
        <v>4531</v>
      </c>
      <c r="D2803" t="s">
        <v>4463</v>
      </c>
    </row>
    <row r="2805" spans="1:4" x14ac:dyDescent="0.25">
      <c r="A2805" t="s">
        <v>5903</v>
      </c>
    </row>
    <row r="2806" spans="1:4" x14ac:dyDescent="0.25">
      <c r="A2806" t="s">
        <v>920</v>
      </c>
      <c r="B2806" t="s">
        <v>4394</v>
      </c>
      <c r="C2806" t="s">
        <v>109</v>
      </c>
      <c r="D2806" t="s">
        <v>192</v>
      </c>
    </row>
    <row r="2807" spans="1:4" x14ac:dyDescent="0.25">
      <c r="A2807" t="s">
        <v>1343</v>
      </c>
      <c r="B2807">
        <v>50</v>
      </c>
      <c r="C2807" t="s">
        <v>4661</v>
      </c>
      <c r="D2807" t="s">
        <v>5211</v>
      </c>
    </row>
    <row r="2808" spans="1:4" x14ac:dyDescent="0.25">
      <c r="A2808" t="s">
        <v>1345</v>
      </c>
      <c r="B2808">
        <v>25</v>
      </c>
      <c r="C2808" t="s">
        <v>5124</v>
      </c>
      <c r="D2808" t="s">
        <v>5230</v>
      </c>
    </row>
    <row r="2809" spans="1:4" x14ac:dyDescent="0.25">
      <c r="A2809" t="s">
        <v>1466</v>
      </c>
      <c r="B2809">
        <v>27</v>
      </c>
      <c r="C2809" t="s">
        <v>4755</v>
      </c>
      <c r="D2809" t="s">
        <v>5231</v>
      </c>
    </row>
    <row r="2810" spans="1:4" x14ac:dyDescent="0.25">
      <c r="A2810" t="s">
        <v>5554</v>
      </c>
      <c r="B2810">
        <v>1</v>
      </c>
      <c r="C2810" t="s">
        <v>4454</v>
      </c>
      <c r="D2810" t="s">
        <v>4406</v>
      </c>
    </row>
    <row r="2811" spans="1:4" x14ac:dyDescent="0.25">
      <c r="A2811" t="s">
        <v>1296</v>
      </c>
      <c r="B2811">
        <v>103</v>
      </c>
      <c r="C2811" t="s">
        <v>4531</v>
      </c>
      <c r="D2811" t="s">
        <v>4463</v>
      </c>
    </row>
    <row r="2813" spans="1:4" x14ac:dyDescent="0.25">
      <c r="A2813" t="s">
        <v>5904</v>
      </c>
    </row>
    <row r="2814" spans="1:4" x14ac:dyDescent="0.25">
      <c r="A2814" t="s">
        <v>924</v>
      </c>
      <c r="B2814" t="s">
        <v>4394</v>
      </c>
      <c r="C2814" t="s">
        <v>109</v>
      </c>
      <c r="D2814" t="s">
        <v>192</v>
      </c>
    </row>
    <row r="2815" spans="1:4" x14ac:dyDescent="0.25">
      <c r="A2815" t="s">
        <v>1345</v>
      </c>
      <c r="B2815">
        <v>29</v>
      </c>
      <c r="C2815" t="s">
        <v>5152</v>
      </c>
      <c r="D2815" t="s">
        <v>5208</v>
      </c>
    </row>
    <row r="2816" spans="1:4" x14ac:dyDescent="0.25">
      <c r="A2816" t="s">
        <v>1441</v>
      </c>
      <c r="B2816">
        <v>41</v>
      </c>
      <c r="C2816" t="s">
        <v>5232</v>
      </c>
      <c r="D2816" t="s">
        <v>5233</v>
      </c>
    </row>
    <row r="2817" spans="1:19" x14ac:dyDescent="0.25">
      <c r="A2817" t="s">
        <v>1461</v>
      </c>
      <c r="B2817">
        <v>28</v>
      </c>
      <c r="C2817" t="s">
        <v>4449</v>
      </c>
      <c r="D2817" t="s">
        <v>4700</v>
      </c>
    </row>
    <row r="2818" spans="1:19" x14ac:dyDescent="0.25">
      <c r="A2818" t="s">
        <v>5554</v>
      </c>
      <c r="B2818">
        <v>5</v>
      </c>
      <c r="C2818" t="s">
        <v>4457</v>
      </c>
      <c r="D2818" t="s">
        <v>4458</v>
      </c>
    </row>
    <row r="2819" spans="1:19" x14ac:dyDescent="0.25">
      <c r="A2819" t="s">
        <v>1296</v>
      </c>
      <c r="B2819">
        <v>103</v>
      </c>
      <c r="C2819" t="s">
        <v>4531</v>
      </c>
      <c r="D2819" t="s">
        <v>4463</v>
      </c>
    </row>
    <row r="2821" spans="1:19" x14ac:dyDescent="0.25">
      <c r="A2821" t="s">
        <v>5905</v>
      </c>
    </row>
    <row r="2822" spans="1:19" x14ac:dyDescent="0.25">
      <c r="A2822" t="s">
        <v>903</v>
      </c>
      <c r="B2822" t="s">
        <v>4394</v>
      </c>
      <c r="C2822" t="s">
        <v>109</v>
      </c>
      <c r="D2822" t="s">
        <v>192</v>
      </c>
    </row>
    <row r="2823" spans="1:19" x14ac:dyDescent="0.25">
      <c r="A2823" t="s">
        <v>70</v>
      </c>
      <c r="B2823">
        <v>71</v>
      </c>
      <c r="C2823" t="s">
        <v>4807</v>
      </c>
      <c r="D2823" t="s">
        <v>5055</v>
      </c>
    </row>
    <row r="2824" spans="1:19" x14ac:dyDescent="0.25">
      <c r="A2824" t="s">
        <v>71</v>
      </c>
      <c r="B2824">
        <v>32</v>
      </c>
      <c r="C2824" t="s">
        <v>4665</v>
      </c>
      <c r="D2824" t="s">
        <v>4542</v>
      </c>
    </row>
    <row r="2825" spans="1:19" x14ac:dyDescent="0.25">
      <c r="A2825" t="s">
        <v>1296</v>
      </c>
      <c r="B2825">
        <v>103</v>
      </c>
      <c r="C2825" t="s">
        <v>4531</v>
      </c>
      <c r="D2825" t="s">
        <v>4463</v>
      </c>
    </row>
    <row r="2827" spans="1:19" x14ac:dyDescent="0.25">
      <c r="A2827" t="s">
        <v>5906</v>
      </c>
    </row>
    <row r="2828" spans="1:19" x14ac:dyDescent="0.25">
      <c r="A2828" t="s">
        <v>1297</v>
      </c>
      <c r="B2828" t="s">
        <v>4394</v>
      </c>
      <c r="C2828" t="s">
        <v>4732</v>
      </c>
      <c r="D2828" t="s">
        <v>5234</v>
      </c>
      <c r="E2828" t="s">
        <v>5235</v>
      </c>
      <c r="F2828" t="s">
        <v>5236</v>
      </c>
      <c r="G2828" t="s">
        <v>5237</v>
      </c>
      <c r="H2828" t="s">
        <v>4736</v>
      </c>
      <c r="I2828" t="s">
        <v>4737</v>
      </c>
      <c r="J2828" t="s">
        <v>5238</v>
      </c>
      <c r="K2828" t="s">
        <v>5239</v>
      </c>
      <c r="L2828" t="s">
        <v>5240</v>
      </c>
      <c r="M2828" t="s">
        <v>5241</v>
      </c>
      <c r="N2828" t="s">
        <v>5242</v>
      </c>
      <c r="O2828" t="s">
        <v>5243</v>
      </c>
      <c r="P2828" t="s">
        <v>5244</v>
      </c>
      <c r="Q2828" t="s">
        <v>5245</v>
      </c>
      <c r="R2828" t="s">
        <v>5246</v>
      </c>
      <c r="S2828" t="s">
        <v>5247</v>
      </c>
    </row>
    <row r="2829" spans="1:19" x14ac:dyDescent="0.25">
      <c r="A2829" t="s">
        <v>5549</v>
      </c>
      <c r="B2829">
        <v>167</v>
      </c>
      <c r="C2829" t="s">
        <v>4406</v>
      </c>
      <c r="D2829" t="s">
        <v>5126</v>
      </c>
      <c r="E2829" t="s">
        <v>4731</v>
      </c>
      <c r="F2829" t="s">
        <v>5158</v>
      </c>
      <c r="G2829" t="s">
        <v>4545</v>
      </c>
      <c r="H2829" t="s">
        <v>4406</v>
      </c>
      <c r="I2829" t="s">
        <v>4406</v>
      </c>
      <c r="J2829" t="s">
        <v>4403</v>
      </c>
      <c r="K2829" t="s">
        <v>4643</v>
      </c>
      <c r="L2829" t="s">
        <v>5248</v>
      </c>
      <c r="M2829" t="s">
        <v>4715</v>
      </c>
      <c r="N2829" t="s">
        <v>4999</v>
      </c>
      <c r="O2829" t="s">
        <v>4470</v>
      </c>
      <c r="P2829" t="s">
        <v>5249</v>
      </c>
      <c r="Q2829" t="s">
        <v>5183</v>
      </c>
      <c r="R2829" t="s">
        <v>4862</v>
      </c>
      <c r="S2829" t="s">
        <v>4625</v>
      </c>
    </row>
    <row r="2830" spans="1:19" x14ac:dyDescent="0.25">
      <c r="A2830" t="s">
        <v>1397</v>
      </c>
      <c r="B2830">
        <v>82</v>
      </c>
      <c r="C2830" t="s">
        <v>4406</v>
      </c>
      <c r="D2830" t="s">
        <v>4668</v>
      </c>
      <c r="E2830" t="s">
        <v>5116</v>
      </c>
      <c r="F2830" t="s">
        <v>4443</v>
      </c>
      <c r="G2830" t="s">
        <v>4669</v>
      </c>
      <c r="H2830" t="s">
        <v>4406</v>
      </c>
      <c r="I2830" t="s">
        <v>4406</v>
      </c>
      <c r="J2830" t="s">
        <v>4824</v>
      </c>
      <c r="K2830" t="s">
        <v>4668</v>
      </c>
      <c r="L2830" t="s">
        <v>4545</v>
      </c>
      <c r="M2830" t="s">
        <v>5206</v>
      </c>
      <c r="N2830" t="s">
        <v>4668</v>
      </c>
      <c r="O2830" t="s">
        <v>5206</v>
      </c>
      <c r="P2830" t="s">
        <v>5250</v>
      </c>
      <c r="Q2830" t="s">
        <v>5110</v>
      </c>
      <c r="R2830" t="s">
        <v>4443</v>
      </c>
      <c r="S2830" t="s">
        <v>4545</v>
      </c>
    </row>
    <row r="2831" spans="1:19" x14ac:dyDescent="0.25">
      <c r="A2831" t="s">
        <v>1296</v>
      </c>
      <c r="B2831">
        <v>249</v>
      </c>
      <c r="C2831" t="s">
        <v>4406</v>
      </c>
      <c r="D2831" t="s">
        <v>4641</v>
      </c>
      <c r="E2831" t="s">
        <v>4754</v>
      </c>
      <c r="F2831" t="s">
        <v>4515</v>
      </c>
      <c r="G2831" t="s">
        <v>4465</v>
      </c>
      <c r="H2831" t="s">
        <v>4406</v>
      </c>
      <c r="I2831" t="s">
        <v>4406</v>
      </c>
      <c r="J2831" t="s">
        <v>5084</v>
      </c>
      <c r="K2831" t="s">
        <v>4854</v>
      </c>
      <c r="L2831" t="s">
        <v>4500</v>
      </c>
      <c r="M2831" t="s">
        <v>5064</v>
      </c>
      <c r="N2831" t="s">
        <v>5084</v>
      </c>
      <c r="O2831" t="s">
        <v>4849</v>
      </c>
      <c r="P2831" t="s">
        <v>4794</v>
      </c>
      <c r="Q2831" t="s">
        <v>4612</v>
      </c>
      <c r="R2831" t="s">
        <v>4501</v>
      </c>
      <c r="S2831" t="s">
        <v>5127</v>
      </c>
    </row>
    <row r="2833" spans="1:19" x14ac:dyDescent="0.25">
      <c r="A2833" t="s">
        <v>5907</v>
      </c>
    </row>
    <row r="2834" spans="1:19" x14ac:dyDescent="0.25">
      <c r="A2834" t="s">
        <v>905</v>
      </c>
      <c r="B2834" t="s">
        <v>4394</v>
      </c>
      <c r="C2834" t="s">
        <v>4732</v>
      </c>
      <c r="D2834" t="s">
        <v>5234</v>
      </c>
      <c r="E2834" t="s">
        <v>5235</v>
      </c>
      <c r="F2834" t="s">
        <v>5236</v>
      </c>
      <c r="G2834" t="s">
        <v>5237</v>
      </c>
      <c r="H2834" t="s">
        <v>4736</v>
      </c>
      <c r="I2834" t="s">
        <v>4737</v>
      </c>
      <c r="J2834" t="s">
        <v>5238</v>
      </c>
      <c r="K2834" t="s">
        <v>5239</v>
      </c>
      <c r="L2834" t="s">
        <v>5240</v>
      </c>
      <c r="M2834" t="s">
        <v>5241</v>
      </c>
      <c r="N2834" t="s">
        <v>5242</v>
      </c>
      <c r="O2834" t="s">
        <v>5243</v>
      </c>
      <c r="P2834" t="s">
        <v>5244</v>
      </c>
      <c r="Q2834" t="s">
        <v>5245</v>
      </c>
      <c r="R2834" t="s">
        <v>5246</v>
      </c>
      <c r="S2834" t="s">
        <v>5247</v>
      </c>
    </row>
    <row r="2835" spans="1:19" x14ac:dyDescent="0.25">
      <c r="A2835" t="s">
        <v>4844</v>
      </c>
      <c r="B2835">
        <v>29</v>
      </c>
      <c r="C2835" t="s">
        <v>4406</v>
      </c>
      <c r="D2835" t="s">
        <v>4411</v>
      </c>
      <c r="E2835" t="s">
        <v>4470</v>
      </c>
      <c r="F2835" t="s">
        <v>5113</v>
      </c>
      <c r="G2835" t="s">
        <v>5113</v>
      </c>
      <c r="H2835" t="s">
        <v>4406</v>
      </c>
      <c r="I2835" t="s">
        <v>4406</v>
      </c>
      <c r="J2835" t="s">
        <v>4470</v>
      </c>
      <c r="K2835" t="s">
        <v>4470</v>
      </c>
      <c r="L2835" t="s">
        <v>4820</v>
      </c>
      <c r="M2835" t="s">
        <v>4686</v>
      </c>
      <c r="N2835" t="s">
        <v>4470</v>
      </c>
      <c r="O2835" t="s">
        <v>4470</v>
      </c>
      <c r="P2835" t="s">
        <v>4828</v>
      </c>
      <c r="Q2835" t="s">
        <v>4820</v>
      </c>
      <c r="R2835" t="s">
        <v>4882</v>
      </c>
      <c r="S2835" t="s">
        <v>4882</v>
      </c>
    </row>
    <row r="2836" spans="1:19" x14ac:dyDescent="0.25">
      <c r="A2836" t="s">
        <v>4845</v>
      </c>
      <c r="B2836">
        <v>190</v>
      </c>
      <c r="C2836" t="s">
        <v>4406</v>
      </c>
      <c r="D2836" t="s">
        <v>4498</v>
      </c>
      <c r="E2836" t="s">
        <v>4472</v>
      </c>
      <c r="F2836" t="s">
        <v>4536</v>
      </c>
      <c r="G2836" t="s">
        <v>5503</v>
      </c>
      <c r="H2836" t="s">
        <v>4406</v>
      </c>
      <c r="I2836" t="s">
        <v>4406</v>
      </c>
      <c r="J2836" t="s">
        <v>4999</v>
      </c>
      <c r="K2836" t="s">
        <v>5125</v>
      </c>
      <c r="L2836" t="s">
        <v>5175</v>
      </c>
      <c r="M2836" t="s">
        <v>4675</v>
      </c>
      <c r="N2836" t="s">
        <v>4715</v>
      </c>
      <c r="O2836" t="s">
        <v>4849</v>
      </c>
      <c r="P2836" t="s">
        <v>5281</v>
      </c>
      <c r="Q2836" t="s">
        <v>4504</v>
      </c>
      <c r="R2836" t="s">
        <v>5248</v>
      </c>
      <c r="S2836" t="s">
        <v>4924</v>
      </c>
    </row>
    <row r="2837" spans="1:19" x14ac:dyDescent="0.25">
      <c r="A2837" t="s">
        <v>4846</v>
      </c>
      <c r="B2837">
        <v>30</v>
      </c>
      <c r="C2837" t="s">
        <v>4406</v>
      </c>
      <c r="D2837" t="s">
        <v>4646</v>
      </c>
      <c r="E2837" t="s">
        <v>5039</v>
      </c>
      <c r="F2837" t="s">
        <v>4465</v>
      </c>
      <c r="G2837" t="s">
        <v>4465</v>
      </c>
      <c r="H2837" t="s">
        <v>4406</v>
      </c>
      <c r="I2837" t="s">
        <v>4406</v>
      </c>
      <c r="J2837" t="s">
        <v>4646</v>
      </c>
      <c r="K2837" t="s">
        <v>4416</v>
      </c>
      <c r="L2837" t="s">
        <v>5039</v>
      </c>
      <c r="M2837" t="s">
        <v>5039</v>
      </c>
      <c r="N2837" t="s">
        <v>4416</v>
      </c>
      <c r="O2837" t="s">
        <v>4646</v>
      </c>
      <c r="P2837" t="s">
        <v>4652</v>
      </c>
      <c r="Q2837" t="s">
        <v>4472</v>
      </c>
      <c r="R2837" t="s">
        <v>4465</v>
      </c>
      <c r="S2837" t="s">
        <v>5039</v>
      </c>
    </row>
    <row r="2838" spans="1:19" x14ac:dyDescent="0.25">
      <c r="A2838" t="s">
        <v>1296</v>
      </c>
      <c r="B2838">
        <v>249</v>
      </c>
      <c r="C2838" t="s">
        <v>4406</v>
      </c>
      <c r="D2838" t="s">
        <v>4641</v>
      </c>
      <c r="E2838" t="s">
        <v>4754</v>
      </c>
      <c r="F2838" t="s">
        <v>4515</v>
      </c>
      <c r="G2838" t="s">
        <v>4465</v>
      </c>
      <c r="H2838" t="s">
        <v>4406</v>
      </c>
      <c r="I2838" t="s">
        <v>4406</v>
      </c>
      <c r="J2838" t="s">
        <v>5084</v>
      </c>
      <c r="K2838" t="s">
        <v>4854</v>
      </c>
      <c r="L2838" t="s">
        <v>4500</v>
      </c>
      <c r="M2838" t="s">
        <v>5064</v>
      </c>
      <c r="N2838" t="s">
        <v>5084</v>
      </c>
      <c r="O2838" t="s">
        <v>4849</v>
      </c>
      <c r="P2838" t="s">
        <v>4794</v>
      </c>
      <c r="Q2838" t="s">
        <v>4612</v>
      </c>
      <c r="R2838" t="s">
        <v>4501</v>
      </c>
      <c r="S2838" t="s">
        <v>5127</v>
      </c>
    </row>
    <row r="2840" spans="1:19" x14ac:dyDescent="0.25">
      <c r="A2840" t="s">
        <v>5908</v>
      </c>
    </row>
    <row r="2841" spans="1:19" x14ac:dyDescent="0.25">
      <c r="A2841" t="s">
        <v>906</v>
      </c>
      <c r="B2841" t="s">
        <v>4394</v>
      </c>
      <c r="C2841" t="s">
        <v>4732</v>
      </c>
      <c r="D2841" t="s">
        <v>5234</v>
      </c>
      <c r="E2841" t="s">
        <v>5235</v>
      </c>
      <c r="F2841" t="s">
        <v>5236</v>
      </c>
      <c r="G2841" t="s">
        <v>5237</v>
      </c>
      <c r="H2841" t="s">
        <v>4736</v>
      </c>
      <c r="I2841" t="s">
        <v>4737</v>
      </c>
      <c r="J2841" t="s">
        <v>5238</v>
      </c>
      <c r="K2841" t="s">
        <v>5239</v>
      </c>
      <c r="L2841" t="s">
        <v>5240</v>
      </c>
      <c r="M2841" t="s">
        <v>5241</v>
      </c>
      <c r="N2841" t="s">
        <v>5242</v>
      </c>
      <c r="O2841" t="s">
        <v>5243</v>
      </c>
      <c r="P2841" t="s">
        <v>5244</v>
      </c>
      <c r="Q2841" t="s">
        <v>5245</v>
      </c>
      <c r="R2841" t="s">
        <v>5246</v>
      </c>
      <c r="S2841" t="s">
        <v>5247</v>
      </c>
    </row>
    <row r="2842" spans="1:19" x14ac:dyDescent="0.25">
      <c r="A2842" t="s">
        <v>1338</v>
      </c>
      <c r="B2842">
        <v>35</v>
      </c>
      <c r="C2842" t="s">
        <v>4406</v>
      </c>
      <c r="D2842" t="s">
        <v>4637</v>
      </c>
      <c r="E2842" t="s">
        <v>4612</v>
      </c>
      <c r="F2842" t="s">
        <v>4683</v>
      </c>
      <c r="G2842" t="s">
        <v>5115</v>
      </c>
      <c r="H2842" t="s">
        <v>4406</v>
      </c>
      <c r="I2842" t="s">
        <v>4406</v>
      </c>
      <c r="J2842" t="s">
        <v>4654</v>
      </c>
      <c r="K2842" t="s">
        <v>4653</v>
      </c>
      <c r="L2842" t="s">
        <v>5115</v>
      </c>
      <c r="M2842" t="s">
        <v>4637</v>
      </c>
      <c r="N2842" t="s">
        <v>4472</v>
      </c>
      <c r="O2842" t="s">
        <v>4653</v>
      </c>
      <c r="P2842" t="s">
        <v>4778</v>
      </c>
      <c r="Q2842" t="s">
        <v>4450</v>
      </c>
      <c r="R2842" t="s">
        <v>4911</v>
      </c>
      <c r="S2842" t="s">
        <v>4870</v>
      </c>
    </row>
    <row r="2843" spans="1:19" x14ac:dyDescent="0.25">
      <c r="A2843" t="s">
        <v>1370</v>
      </c>
      <c r="B2843">
        <v>30</v>
      </c>
      <c r="C2843" t="s">
        <v>4406</v>
      </c>
      <c r="D2843" t="s">
        <v>4646</v>
      </c>
      <c r="E2843" t="s">
        <v>4415</v>
      </c>
      <c r="F2843" t="s">
        <v>5129</v>
      </c>
      <c r="G2843" t="s">
        <v>4465</v>
      </c>
      <c r="H2843" t="s">
        <v>4406</v>
      </c>
      <c r="I2843" t="s">
        <v>4406</v>
      </c>
      <c r="J2843" t="s">
        <v>4607</v>
      </c>
      <c r="K2843" t="s">
        <v>4607</v>
      </c>
      <c r="L2843" t="s">
        <v>5039</v>
      </c>
      <c r="M2843" t="s">
        <v>4646</v>
      </c>
      <c r="N2843" t="s">
        <v>4651</v>
      </c>
      <c r="O2843" t="s">
        <v>4651</v>
      </c>
      <c r="P2843" t="s">
        <v>5377</v>
      </c>
      <c r="Q2843" t="s">
        <v>4607</v>
      </c>
      <c r="R2843" t="s">
        <v>4458</v>
      </c>
      <c r="S2843" t="s">
        <v>4512</v>
      </c>
    </row>
    <row r="2844" spans="1:19" x14ac:dyDescent="0.25">
      <c r="A2844" t="s">
        <v>1439</v>
      </c>
      <c r="B2844">
        <v>18</v>
      </c>
      <c r="C2844" t="s">
        <v>4406</v>
      </c>
      <c r="D2844" t="s">
        <v>4731</v>
      </c>
      <c r="E2844" t="s">
        <v>4482</v>
      </c>
      <c r="F2844" t="s">
        <v>4465</v>
      </c>
      <c r="G2844" t="s">
        <v>4482</v>
      </c>
      <c r="H2844" t="s">
        <v>4406</v>
      </c>
      <c r="I2844" t="s">
        <v>4406</v>
      </c>
      <c r="J2844" t="s">
        <v>4596</v>
      </c>
      <c r="K2844" t="s">
        <v>4482</v>
      </c>
      <c r="L2844" t="s">
        <v>4727</v>
      </c>
      <c r="M2844" t="s">
        <v>4571</v>
      </c>
      <c r="N2844" t="s">
        <v>4596</v>
      </c>
      <c r="O2844" t="s">
        <v>4571</v>
      </c>
      <c r="P2844" t="s">
        <v>5214</v>
      </c>
      <c r="Q2844" t="s">
        <v>4482</v>
      </c>
      <c r="R2844" t="s">
        <v>4482</v>
      </c>
      <c r="S2844" t="s">
        <v>4596</v>
      </c>
    </row>
    <row r="2845" spans="1:19" x14ac:dyDescent="0.25">
      <c r="A2845" t="s">
        <v>1476</v>
      </c>
      <c r="B2845">
        <v>61</v>
      </c>
      <c r="C2845" t="s">
        <v>4406</v>
      </c>
      <c r="D2845" t="s">
        <v>5183</v>
      </c>
      <c r="E2845" t="s">
        <v>4632</v>
      </c>
      <c r="F2845" t="s">
        <v>5261</v>
      </c>
      <c r="G2845" t="s">
        <v>4477</v>
      </c>
      <c r="H2845" t="s">
        <v>4406</v>
      </c>
      <c r="I2845" t="s">
        <v>4406</v>
      </c>
      <c r="J2845" t="s">
        <v>4464</v>
      </c>
      <c r="K2845" t="s">
        <v>4754</v>
      </c>
      <c r="L2845" t="s">
        <v>4477</v>
      </c>
      <c r="M2845" t="s">
        <v>4696</v>
      </c>
      <c r="N2845" t="s">
        <v>4742</v>
      </c>
      <c r="O2845" t="s">
        <v>4632</v>
      </c>
      <c r="P2845" t="s">
        <v>5184</v>
      </c>
      <c r="Q2845" t="s">
        <v>5117</v>
      </c>
      <c r="R2845" t="s">
        <v>4754</v>
      </c>
      <c r="S2845" t="s">
        <v>5261</v>
      </c>
    </row>
    <row r="2846" spans="1:19" x14ac:dyDescent="0.25">
      <c r="A2846" t="s">
        <v>5476</v>
      </c>
      <c r="B2846">
        <v>5</v>
      </c>
      <c r="C2846" t="s">
        <v>4406</v>
      </c>
      <c r="D2846" t="s">
        <v>4472</v>
      </c>
      <c r="E2846" t="s">
        <v>4406</v>
      </c>
      <c r="F2846" t="s">
        <v>4458</v>
      </c>
      <c r="G2846" t="s">
        <v>4472</v>
      </c>
      <c r="H2846" t="s">
        <v>4406</v>
      </c>
      <c r="I2846" t="s">
        <v>4406</v>
      </c>
      <c r="J2846" t="s">
        <v>4406</v>
      </c>
      <c r="K2846" t="s">
        <v>4472</v>
      </c>
      <c r="L2846" t="s">
        <v>4458</v>
      </c>
      <c r="M2846" t="s">
        <v>4458</v>
      </c>
      <c r="N2846" t="s">
        <v>4406</v>
      </c>
      <c r="O2846" t="s">
        <v>4458</v>
      </c>
      <c r="P2846" t="s">
        <v>4454</v>
      </c>
      <c r="Q2846" t="s">
        <v>4458</v>
      </c>
      <c r="R2846" t="s">
        <v>4458</v>
      </c>
      <c r="S2846" t="s">
        <v>4457</v>
      </c>
    </row>
    <row r="2847" spans="1:19" x14ac:dyDescent="0.25">
      <c r="A2847" t="s">
        <v>1399</v>
      </c>
      <c r="B2847">
        <v>36</v>
      </c>
      <c r="C2847" t="s">
        <v>4406</v>
      </c>
      <c r="D2847" t="s">
        <v>4571</v>
      </c>
      <c r="E2847" t="s">
        <v>4859</v>
      </c>
      <c r="F2847" t="s">
        <v>4609</v>
      </c>
      <c r="G2847" t="s">
        <v>4858</v>
      </c>
      <c r="H2847" t="s">
        <v>4406</v>
      </c>
      <c r="I2847" t="s">
        <v>4406</v>
      </c>
      <c r="J2847" t="s">
        <v>4859</v>
      </c>
      <c r="K2847" t="s">
        <v>4859</v>
      </c>
      <c r="L2847" t="s">
        <v>4482</v>
      </c>
      <c r="M2847" t="s">
        <v>4943</v>
      </c>
      <c r="N2847" t="s">
        <v>4596</v>
      </c>
      <c r="O2847" t="s">
        <v>4943</v>
      </c>
      <c r="P2847" t="s">
        <v>4469</v>
      </c>
      <c r="Q2847" t="s">
        <v>4462</v>
      </c>
      <c r="R2847" t="s">
        <v>4731</v>
      </c>
      <c r="S2847" t="s">
        <v>4859</v>
      </c>
    </row>
    <row r="2848" spans="1:19" x14ac:dyDescent="0.25">
      <c r="A2848" t="s">
        <v>1415</v>
      </c>
      <c r="B2848">
        <v>64</v>
      </c>
      <c r="C2848" t="s">
        <v>4406</v>
      </c>
      <c r="D2848" t="s">
        <v>4882</v>
      </c>
      <c r="E2848" t="s">
        <v>5262</v>
      </c>
      <c r="F2848" t="s">
        <v>4481</v>
      </c>
      <c r="G2848" t="s">
        <v>4665</v>
      </c>
      <c r="H2848" t="s">
        <v>4406</v>
      </c>
      <c r="I2848" t="s">
        <v>4406</v>
      </c>
      <c r="J2848" t="s">
        <v>4479</v>
      </c>
      <c r="K2848" t="s">
        <v>4695</v>
      </c>
      <c r="L2848" t="s">
        <v>4948</v>
      </c>
      <c r="M2848" t="s">
        <v>4543</v>
      </c>
      <c r="N2848" t="s">
        <v>4543</v>
      </c>
      <c r="O2848" t="s">
        <v>4854</v>
      </c>
      <c r="P2848" t="s">
        <v>4608</v>
      </c>
      <c r="Q2848" t="s">
        <v>4948</v>
      </c>
      <c r="R2848" t="s">
        <v>4881</v>
      </c>
      <c r="S2848" t="s">
        <v>4656</v>
      </c>
    </row>
    <row r="2849" spans="1:19" x14ac:dyDescent="0.25">
      <c r="A2849" t="s">
        <v>1296</v>
      </c>
      <c r="B2849">
        <v>249</v>
      </c>
      <c r="C2849" t="s">
        <v>4406</v>
      </c>
      <c r="D2849" t="s">
        <v>4641</v>
      </c>
      <c r="E2849" t="s">
        <v>4754</v>
      </c>
      <c r="F2849" t="s">
        <v>4515</v>
      </c>
      <c r="G2849" t="s">
        <v>4465</v>
      </c>
      <c r="H2849" t="s">
        <v>4406</v>
      </c>
      <c r="I2849" t="s">
        <v>4406</v>
      </c>
      <c r="J2849" t="s">
        <v>5084</v>
      </c>
      <c r="K2849" t="s">
        <v>4854</v>
      </c>
      <c r="L2849" t="s">
        <v>4500</v>
      </c>
      <c r="M2849" t="s">
        <v>5064</v>
      </c>
      <c r="N2849" t="s">
        <v>5084</v>
      </c>
      <c r="O2849" t="s">
        <v>4849</v>
      </c>
      <c r="P2849" t="s">
        <v>4794</v>
      </c>
      <c r="Q2849" t="s">
        <v>4612</v>
      </c>
      <c r="R2849" t="s">
        <v>4501</v>
      </c>
      <c r="S2849" t="s">
        <v>5127</v>
      </c>
    </row>
    <row r="2851" spans="1:19" x14ac:dyDescent="0.25">
      <c r="A2851" t="s">
        <v>5909</v>
      </c>
    </row>
    <row r="2852" spans="1:19" x14ac:dyDescent="0.25">
      <c r="A2852" t="s">
        <v>907</v>
      </c>
      <c r="B2852" t="s">
        <v>4394</v>
      </c>
      <c r="C2852" t="s">
        <v>4732</v>
      </c>
      <c r="D2852" t="s">
        <v>5234</v>
      </c>
      <c r="E2852" t="s">
        <v>5235</v>
      </c>
      <c r="F2852" t="s">
        <v>5236</v>
      </c>
      <c r="G2852" t="s">
        <v>5237</v>
      </c>
      <c r="H2852" t="s">
        <v>4736</v>
      </c>
      <c r="I2852" t="s">
        <v>4737</v>
      </c>
      <c r="J2852" t="s">
        <v>5238</v>
      </c>
      <c r="K2852" t="s">
        <v>5239</v>
      </c>
      <c r="L2852" t="s">
        <v>5240</v>
      </c>
      <c r="M2852" t="s">
        <v>5241</v>
      </c>
      <c r="N2852" t="s">
        <v>5242</v>
      </c>
      <c r="O2852" t="s">
        <v>5243</v>
      </c>
      <c r="P2852" t="s">
        <v>5244</v>
      </c>
      <c r="Q2852" t="s">
        <v>5245</v>
      </c>
      <c r="R2852" t="s">
        <v>5246</v>
      </c>
      <c r="S2852" t="s">
        <v>5247</v>
      </c>
    </row>
    <row r="2853" spans="1:19" x14ac:dyDescent="0.25">
      <c r="A2853" t="s">
        <v>109</v>
      </c>
      <c r="B2853">
        <v>214</v>
      </c>
      <c r="C2853" t="s">
        <v>4406</v>
      </c>
      <c r="D2853" t="s">
        <v>4474</v>
      </c>
      <c r="E2853" t="s">
        <v>5086</v>
      </c>
      <c r="F2853" t="s">
        <v>4644</v>
      </c>
      <c r="G2853" t="s">
        <v>4520</v>
      </c>
      <c r="H2853" t="s">
        <v>4406</v>
      </c>
      <c r="I2853" t="s">
        <v>4406</v>
      </c>
      <c r="J2853" t="s">
        <v>5064</v>
      </c>
      <c r="K2853" t="s">
        <v>4589</v>
      </c>
      <c r="L2853" t="s">
        <v>4493</v>
      </c>
      <c r="M2853" t="s">
        <v>4539</v>
      </c>
      <c r="N2853" t="s">
        <v>4921</v>
      </c>
      <c r="O2853" t="s">
        <v>4693</v>
      </c>
      <c r="P2853" t="s">
        <v>5263</v>
      </c>
      <c r="Q2853" t="s">
        <v>5262</v>
      </c>
      <c r="R2853" t="s">
        <v>4567</v>
      </c>
      <c r="S2853" t="s">
        <v>4764</v>
      </c>
    </row>
    <row r="2854" spans="1:19" x14ac:dyDescent="0.25">
      <c r="A2854" t="s">
        <v>192</v>
      </c>
      <c r="B2854">
        <v>35</v>
      </c>
      <c r="C2854" t="s">
        <v>4406</v>
      </c>
      <c r="D2854" t="s">
        <v>4472</v>
      </c>
      <c r="E2854" t="s">
        <v>4472</v>
      </c>
      <c r="F2854" t="s">
        <v>5115</v>
      </c>
      <c r="G2854" t="s">
        <v>4683</v>
      </c>
      <c r="H2854" t="s">
        <v>4406</v>
      </c>
      <c r="I2854" t="s">
        <v>4406</v>
      </c>
      <c r="J2854" t="s">
        <v>4472</v>
      </c>
      <c r="K2854" t="s">
        <v>4653</v>
      </c>
      <c r="L2854" t="s">
        <v>4612</v>
      </c>
      <c r="M2854" t="s">
        <v>4654</v>
      </c>
      <c r="N2854" t="s">
        <v>4697</v>
      </c>
      <c r="O2854" t="s">
        <v>4637</v>
      </c>
      <c r="P2854" t="s">
        <v>4778</v>
      </c>
      <c r="Q2854" t="s">
        <v>4458</v>
      </c>
      <c r="R2854" t="s">
        <v>4472</v>
      </c>
      <c r="S2854" t="s">
        <v>4472</v>
      </c>
    </row>
    <row r="2855" spans="1:19" x14ac:dyDescent="0.25">
      <c r="A2855" t="s">
        <v>1296</v>
      </c>
      <c r="B2855">
        <v>249</v>
      </c>
      <c r="C2855" t="s">
        <v>4406</v>
      </c>
      <c r="D2855" t="s">
        <v>4641</v>
      </c>
      <c r="E2855" t="s">
        <v>4754</v>
      </c>
      <c r="F2855" t="s">
        <v>4515</v>
      </c>
      <c r="G2855" t="s">
        <v>4465</v>
      </c>
      <c r="H2855" t="s">
        <v>4406</v>
      </c>
      <c r="I2855" t="s">
        <v>4406</v>
      </c>
      <c r="J2855" t="s">
        <v>5084</v>
      </c>
      <c r="K2855" t="s">
        <v>4854</v>
      </c>
      <c r="L2855" t="s">
        <v>4500</v>
      </c>
      <c r="M2855" t="s">
        <v>5064</v>
      </c>
      <c r="N2855" t="s">
        <v>5084</v>
      </c>
      <c r="O2855" t="s">
        <v>4849</v>
      </c>
      <c r="P2855" t="s">
        <v>4794</v>
      </c>
      <c r="Q2855" t="s">
        <v>4612</v>
      </c>
      <c r="R2855" t="s">
        <v>4501</v>
      </c>
      <c r="S2855" t="s">
        <v>5127</v>
      </c>
    </row>
    <row r="2857" spans="1:19" x14ac:dyDescent="0.25">
      <c r="A2857" t="s">
        <v>5910</v>
      </c>
    </row>
    <row r="2858" spans="1:19" x14ac:dyDescent="0.25">
      <c r="A2858" t="s">
        <v>910</v>
      </c>
      <c r="B2858" t="s">
        <v>4394</v>
      </c>
      <c r="C2858" t="s">
        <v>4732</v>
      </c>
      <c r="D2858" t="s">
        <v>5234</v>
      </c>
      <c r="E2858" t="s">
        <v>5235</v>
      </c>
      <c r="F2858" t="s">
        <v>5236</v>
      </c>
      <c r="G2858" t="s">
        <v>5237</v>
      </c>
      <c r="H2858" t="s">
        <v>4736</v>
      </c>
      <c r="I2858" t="s">
        <v>4737</v>
      </c>
      <c r="J2858" t="s">
        <v>5238</v>
      </c>
      <c r="K2858" t="s">
        <v>5239</v>
      </c>
      <c r="L2858" t="s">
        <v>5240</v>
      </c>
      <c r="M2858" t="s">
        <v>5241</v>
      </c>
      <c r="N2858" t="s">
        <v>5242</v>
      </c>
      <c r="O2858" t="s">
        <v>5243</v>
      </c>
      <c r="P2858" t="s">
        <v>5244</v>
      </c>
      <c r="Q2858" t="s">
        <v>5245</v>
      </c>
      <c r="R2858" t="s">
        <v>5246</v>
      </c>
      <c r="S2858" t="s">
        <v>5247</v>
      </c>
    </row>
    <row r="2859" spans="1:19" x14ac:dyDescent="0.25">
      <c r="A2859" t="s">
        <v>1371</v>
      </c>
      <c r="B2859">
        <v>36</v>
      </c>
      <c r="C2859" t="s">
        <v>4406</v>
      </c>
      <c r="D2859" t="s">
        <v>4571</v>
      </c>
      <c r="E2859" t="s">
        <v>4609</v>
      </c>
      <c r="F2859" t="s">
        <v>4609</v>
      </c>
      <c r="G2859" t="s">
        <v>4731</v>
      </c>
      <c r="H2859" t="s">
        <v>4406</v>
      </c>
      <c r="I2859" t="s">
        <v>4406</v>
      </c>
      <c r="J2859" t="s">
        <v>4943</v>
      </c>
      <c r="K2859" t="s">
        <v>4676</v>
      </c>
      <c r="L2859" t="s">
        <v>4702</v>
      </c>
      <c r="M2859" t="s">
        <v>4596</v>
      </c>
      <c r="N2859" t="s">
        <v>4943</v>
      </c>
      <c r="O2859" t="s">
        <v>4571</v>
      </c>
      <c r="P2859" t="s">
        <v>5253</v>
      </c>
      <c r="Q2859" t="s">
        <v>4858</v>
      </c>
      <c r="R2859" t="s">
        <v>4482</v>
      </c>
      <c r="S2859" t="s">
        <v>4731</v>
      </c>
    </row>
    <row r="2860" spans="1:19" x14ac:dyDescent="0.25">
      <c r="A2860" t="s">
        <v>1452</v>
      </c>
      <c r="B2860">
        <v>16</v>
      </c>
      <c r="C2860" t="s">
        <v>4406</v>
      </c>
      <c r="D2860" t="s">
        <v>4462</v>
      </c>
      <c r="E2860" t="s">
        <v>4944</v>
      </c>
      <c r="F2860" t="s">
        <v>4462</v>
      </c>
      <c r="G2860" t="s">
        <v>4521</v>
      </c>
      <c r="H2860" t="s">
        <v>4406</v>
      </c>
      <c r="I2860" t="s">
        <v>4406</v>
      </c>
      <c r="J2860" t="s">
        <v>4917</v>
      </c>
      <c r="K2860" t="s">
        <v>4406</v>
      </c>
      <c r="L2860" t="s">
        <v>4479</v>
      </c>
      <c r="M2860" t="s">
        <v>4479</v>
      </c>
      <c r="N2860" t="s">
        <v>4917</v>
      </c>
      <c r="O2860" t="s">
        <v>4479</v>
      </c>
      <c r="P2860" t="s">
        <v>4916</v>
      </c>
      <c r="Q2860" t="s">
        <v>4462</v>
      </c>
      <c r="R2860" t="s">
        <v>4481</v>
      </c>
      <c r="S2860" t="s">
        <v>4944</v>
      </c>
    </row>
    <row r="2861" spans="1:19" x14ac:dyDescent="0.25">
      <c r="A2861" t="s">
        <v>5560</v>
      </c>
      <c r="B2861">
        <v>49</v>
      </c>
      <c r="C2861" t="s">
        <v>4406</v>
      </c>
      <c r="D2861" t="s">
        <v>4527</v>
      </c>
      <c r="E2861" t="s">
        <v>4765</v>
      </c>
      <c r="F2861" t="s">
        <v>5129</v>
      </c>
      <c r="G2861" t="s">
        <v>4558</v>
      </c>
      <c r="H2861" t="s">
        <v>4406</v>
      </c>
      <c r="I2861" t="s">
        <v>4406</v>
      </c>
      <c r="J2861" t="s">
        <v>4522</v>
      </c>
      <c r="K2861" t="s">
        <v>4609</v>
      </c>
      <c r="L2861" t="s">
        <v>4526</v>
      </c>
      <c r="M2861" t="s">
        <v>4934</v>
      </c>
      <c r="N2861" t="s">
        <v>4668</v>
      </c>
      <c r="O2861" t="s">
        <v>4696</v>
      </c>
      <c r="P2861" t="s">
        <v>5546</v>
      </c>
      <c r="Q2861" t="s">
        <v>4558</v>
      </c>
      <c r="R2861" t="s">
        <v>4696</v>
      </c>
      <c r="S2861" t="s">
        <v>4527</v>
      </c>
    </row>
    <row r="2862" spans="1:19" x14ac:dyDescent="0.25">
      <c r="A2862" t="s">
        <v>1424</v>
      </c>
      <c r="B2862">
        <v>100</v>
      </c>
      <c r="C2862" t="s">
        <v>4406</v>
      </c>
      <c r="D2862" t="s">
        <v>4472</v>
      </c>
      <c r="E2862" t="s">
        <v>4707</v>
      </c>
      <c r="F2862" t="s">
        <v>4644</v>
      </c>
      <c r="G2862" t="s">
        <v>4644</v>
      </c>
      <c r="H2862" t="s">
        <v>4406</v>
      </c>
      <c r="I2862" t="s">
        <v>4406</v>
      </c>
      <c r="J2862" t="s">
        <v>5003</v>
      </c>
      <c r="K2862" t="s">
        <v>4643</v>
      </c>
      <c r="L2862" t="s">
        <v>5124</v>
      </c>
      <c r="M2862" t="s">
        <v>4646</v>
      </c>
      <c r="N2862" t="s">
        <v>4646</v>
      </c>
      <c r="O2862" t="s">
        <v>5003</v>
      </c>
      <c r="P2862" t="s">
        <v>5258</v>
      </c>
      <c r="Q2862" t="s">
        <v>4755</v>
      </c>
      <c r="R2862" t="s">
        <v>4446</v>
      </c>
      <c r="S2862" t="s">
        <v>5110</v>
      </c>
    </row>
    <row r="2863" spans="1:19" x14ac:dyDescent="0.25">
      <c r="A2863" t="s">
        <v>1340</v>
      </c>
      <c r="B2863">
        <v>25</v>
      </c>
      <c r="C2863" t="s">
        <v>4406</v>
      </c>
      <c r="D2863" t="s">
        <v>4660</v>
      </c>
      <c r="E2863" t="s">
        <v>4472</v>
      </c>
      <c r="F2863" t="s">
        <v>4458</v>
      </c>
      <c r="G2863" t="s">
        <v>4928</v>
      </c>
      <c r="H2863" t="s">
        <v>4406</v>
      </c>
      <c r="I2863" t="s">
        <v>4406</v>
      </c>
      <c r="J2863" t="s">
        <v>4707</v>
      </c>
      <c r="K2863" t="s">
        <v>4660</v>
      </c>
      <c r="L2863" t="s">
        <v>4446</v>
      </c>
      <c r="M2863" t="s">
        <v>4657</v>
      </c>
      <c r="N2863" t="s">
        <v>4472</v>
      </c>
      <c r="O2863" t="s">
        <v>4657</v>
      </c>
      <c r="P2863" t="s">
        <v>4919</v>
      </c>
      <c r="Q2863" t="s">
        <v>4707</v>
      </c>
      <c r="R2863" t="s">
        <v>4458</v>
      </c>
      <c r="S2863" t="s">
        <v>4707</v>
      </c>
    </row>
    <row r="2864" spans="1:19" x14ac:dyDescent="0.25">
      <c r="A2864" t="s">
        <v>5561</v>
      </c>
      <c r="B2864">
        <v>7</v>
      </c>
      <c r="C2864" t="s">
        <v>4406</v>
      </c>
      <c r="D2864" t="s">
        <v>4450</v>
      </c>
      <c r="E2864" t="s">
        <v>4522</v>
      </c>
      <c r="F2864" t="s">
        <v>4406</v>
      </c>
      <c r="G2864" t="s">
        <v>4450</v>
      </c>
      <c r="H2864" t="s">
        <v>4406</v>
      </c>
      <c r="I2864" t="s">
        <v>4406</v>
      </c>
      <c r="J2864" t="s">
        <v>4406</v>
      </c>
      <c r="K2864" t="s">
        <v>4406</v>
      </c>
      <c r="L2864" t="s">
        <v>4450</v>
      </c>
      <c r="M2864" t="s">
        <v>4522</v>
      </c>
      <c r="N2864" t="s">
        <v>4522</v>
      </c>
      <c r="O2864" t="s">
        <v>4406</v>
      </c>
      <c r="P2864" t="s">
        <v>4946</v>
      </c>
      <c r="Q2864" t="s">
        <v>4522</v>
      </c>
      <c r="R2864" t="s">
        <v>4778</v>
      </c>
      <c r="S2864" t="s">
        <v>4522</v>
      </c>
    </row>
    <row r="2865" spans="1:19" x14ac:dyDescent="0.25">
      <c r="A2865" t="s">
        <v>1416</v>
      </c>
      <c r="B2865">
        <v>16</v>
      </c>
      <c r="C2865" t="s">
        <v>4406</v>
      </c>
      <c r="D2865" t="s">
        <v>4479</v>
      </c>
      <c r="E2865" t="s">
        <v>4916</v>
      </c>
      <c r="F2865" t="s">
        <v>4602</v>
      </c>
      <c r="G2865" t="s">
        <v>4918</v>
      </c>
      <c r="H2865" t="s">
        <v>4406</v>
      </c>
      <c r="I2865" t="s">
        <v>4406</v>
      </c>
      <c r="J2865" t="s">
        <v>4406</v>
      </c>
      <c r="K2865" t="s">
        <v>4406</v>
      </c>
      <c r="L2865" t="s">
        <v>4944</v>
      </c>
      <c r="M2865" t="s">
        <v>4944</v>
      </c>
      <c r="N2865" t="s">
        <v>4918</v>
      </c>
      <c r="O2865" t="s">
        <v>4406</v>
      </c>
      <c r="P2865" t="s">
        <v>4602</v>
      </c>
      <c r="Q2865" t="s">
        <v>4917</v>
      </c>
      <c r="R2865" t="s">
        <v>5259</v>
      </c>
      <c r="S2865" t="s">
        <v>4917</v>
      </c>
    </row>
    <row r="2866" spans="1:19" x14ac:dyDescent="0.25">
      <c r="A2866" t="s">
        <v>1296</v>
      </c>
      <c r="B2866">
        <v>249</v>
      </c>
      <c r="C2866" t="s">
        <v>4406</v>
      </c>
      <c r="D2866" t="s">
        <v>4641</v>
      </c>
      <c r="E2866" t="s">
        <v>4754</v>
      </c>
      <c r="F2866" t="s">
        <v>4515</v>
      </c>
      <c r="G2866" t="s">
        <v>4465</v>
      </c>
      <c r="H2866" t="s">
        <v>4406</v>
      </c>
      <c r="I2866" t="s">
        <v>4406</v>
      </c>
      <c r="J2866" t="s">
        <v>5084</v>
      </c>
      <c r="K2866" t="s">
        <v>4854</v>
      </c>
      <c r="L2866" t="s">
        <v>4500</v>
      </c>
      <c r="M2866" t="s">
        <v>5064</v>
      </c>
      <c r="N2866" t="s">
        <v>5084</v>
      </c>
      <c r="O2866" t="s">
        <v>4849</v>
      </c>
      <c r="P2866" t="s">
        <v>4794</v>
      </c>
      <c r="Q2866" t="s">
        <v>4612</v>
      </c>
      <c r="R2866" t="s">
        <v>4501</v>
      </c>
      <c r="S2866" t="s">
        <v>5127</v>
      </c>
    </row>
    <row r="2868" spans="1:19" x14ac:dyDescent="0.25">
      <c r="A2868" t="s">
        <v>5911</v>
      </c>
    </row>
    <row r="2869" spans="1:19" x14ac:dyDescent="0.25">
      <c r="A2869" t="s">
        <v>5481</v>
      </c>
      <c r="B2869" t="s">
        <v>4394</v>
      </c>
      <c r="C2869" t="s">
        <v>4732</v>
      </c>
      <c r="D2869" t="s">
        <v>5234</v>
      </c>
      <c r="E2869" t="s">
        <v>5235</v>
      </c>
      <c r="F2869" t="s">
        <v>5236</v>
      </c>
      <c r="G2869" t="s">
        <v>5237</v>
      </c>
      <c r="H2869" t="s">
        <v>4736</v>
      </c>
      <c r="I2869" t="s">
        <v>4737</v>
      </c>
      <c r="J2869" t="s">
        <v>5238</v>
      </c>
      <c r="K2869" t="s">
        <v>5239</v>
      </c>
      <c r="L2869" t="s">
        <v>5240</v>
      </c>
      <c r="M2869" t="s">
        <v>5241</v>
      </c>
      <c r="N2869" t="s">
        <v>5242</v>
      </c>
      <c r="O2869" t="s">
        <v>5243</v>
      </c>
      <c r="P2869" t="s">
        <v>5244</v>
      </c>
      <c r="Q2869" t="s">
        <v>5245</v>
      </c>
      <c r="R2869" t="s">
        <v>5246</v>
      </c>
      <c r="S2869" t="s">
        <v>5247</v>
      </c>
    </row>
    <row r="2870" spans="1:19" x14ac:dyDescent="0.25">
      <c r="A2870" t="s">
        <v>4438</v>
      </c>
      <c r="B2870">
        <v>110</v>
      </c>
      <c r="C2870" t="s">
        <v>4406</v>
      </c>
      <c r="D2870" t="s">
        <v>4405</v>
      </c>
      <c r="E2870" t="s">
        <v>4440</v>
      </c>
      <c r="F2870" t="s">
        <v>4642</v>
      </c>
      <c r="G2870" t="s">
        <v>4745</v>
      </c>
      <c r="H2870" t="s">
        <v>4406</v>
      </c>
      <c r="I2870" t="s">
        <v>4406</v>
      </c>
      <c r="J2870" t="s">
        <v>4696</v>
      </c>
      <c r="K2870" t="s">
        <v>4591</v>
      </c>
      <c r="L2870" t="s">
        <v>4704</v>
      </c>
      <c r="M2870" t="s">
        <v>4589</v>
      </c>
      <c r="N2870" t="s">
        <v>4589</v>
      </c>
      <c r="O2870" t="s">
        <v>4617</v>
      </c>
      <c r="P2870" t="s">
        <v>5504</v>
      </c>
      <c r="Q2870" t="s">
        <v>4747</v>
      </c>
      <c r="R2870" t="s">
        <v>4633</v>
      </c>
      <c r="S2870" t="s">
        <v>4591</v>
      </c>
    </row>
    <row r="2871" spans="1:19" x14ac:dyDescent="0.25">
      <c r="A2871" t="s">
        <v>4439</v>
      </c>
      <c r="B2871">
        <v>74</v>
      </c>
      <c r="C2871" t="s">
        <v>4406</v>
      </c>
      <c r="D2871" t="s">
        <v>5255</v>
      </c>
      <c r="E2871" t="s">
        <v>4494</v>
      </c>
      <c r="F2871" t="s">
        <v>4553</v>
      </c>
      <c r="G2871" t="s">
        <v>5222</v>
      </c>
      <c r="H2871" t="s">
        <v>4406</v>
      </c>
      <c r="I2871" t="s">
        <v>4406</v>
      </c>
      <c r="J2871" t="s">
        <v>4459</v>
      </c>
      <c r="K2871" t="s">
        <v>4459</v>
      </c>
      <c r="L2871" t="s">
        <v>4495</v>
      </c>
      <c r="M2871" t="s">
        <v>4883</v>
      </c>
      <c r="N2871" t="s">
        <v>4668</v>
      </c>
      <c r="O2871" t="s">
        <v>4883</v>
      </c>
      <c r="P2871" t="s">
        <v>4613</v>
      </c>
      <c r="Q2871" t="s">
        <v>4533</v>
      </c>
      <c r="R2871" t="s">
        <v>4625</v>
      </c>
      <c r="S2871" t="s">
        <v>5403</v>
      </c>
    </row>
    <row r="2872" spans="1:19" x14ac:dyDescent="0.25">
      <c r="A2872" t="s">
        <v>1400</v>
      </c>
      <c r="B2872">
        <v>5</v>
      </c>
      <c r="C2872" t="s">
        <v>4406</v>
      </c>
      <c r="D2872" t="s">
        <v>4406</v>
      </c>
      <c r="E2872" t="s">
        <v>4458</v>
      </c>
      <c r="F2872" t="s">
        <v>4457</v>
      </c>
      <c r="G2872" t="s">
        <v>4406</v>
      </c>
      <c r="H2872" t="s">
        <v>4406</v>
      </c>
      <c r="I2872" t="s">
        <v>4406</v>
      </c>
      <c r="J2872" t="s">
        <v>4472</v>
      </c>
      <c r="K2872" t="s">
        <v>4457</v>
      </c>
      <c r="L2872" t="s">
        <v>4472</v>
      </c>
      <c r="M2872" t="s">
        <v>4472</v>
      </c>
      <c r="N2872" t="s">
        <v>4406</v>
      </c>
      <c r="O2872" t="s">
        <v>4406</v>
      </c>
      <c r="P2872" t="s">
        <v>4834</v>
      </c>
      <c r="Q2872" t="s">
        <v>4406</v>
      </c>
      <c r="R2872" t="s">
        <v>4472</v>
      </c>
      <c r="S2872" t="s">
        <v>4457</v>
      </c>
    </row>
    <row r="2873" spans="1:19" x14ac:dyDescent="0.25">
      <c r="A2873" t="s">
        <v>5566</v>
      </c>
      <c r="B2873">
        <v>29</v>
      </c>
      <c r="C2873" t="s">
        <v>4406</v>
      </c>
      <c r="D2873" t="s">
        <v>4888</v>
      </c>
      <c r="E2873" t="s">
        <v>4843</v>
      </c>
      <c r="F2873" t="s">
        <v>4441</v>
      </c>
      <c r="G2873" t="s">
        <v>5254</v>
      </c>
      <c r="H2873" t="s">
        <v>4406</v>
      </c>
      <c r="I2873" t="s">
        <v>4406</v>
      </c>
      <c r="J2873" t="s">
        <v>4686</v>
      </c>
      <c r="K2873" t="s">
        <v>4887</v>
      </c>
      <c r="L2873" t="s">
        <v>4843</v>
      </c>
      <c r="M2873" t="s">
        <v>4470</v>
      </c>
      <c r="N2873" t="s">
        <v>4882</v>
      </c>
      <c r="O2873" t="s">
        <v>4470</v>
      </c>
      <c r="P2873" t="s">
        <v>5198</v>
      </c>
      <c r="Q2873" t="s">
        <v>4470</v>
      </c>
      <c r="R2873" t="s">
        <v>4445</v>
      </c>
      <c r="S2873" t="s">
        <v>4686</v>
      </c>
    </row>
    <row r="2874" spans="1:19" x14ac:dyDescent="0.25">
      <c r="A2874" t="s">
        <v>1372</v>
      </c>
      <c r="B2874">
        <v>31</v>
      </c>
      <c r="C2874" t="s">
        <v>4406</v>
      </c>
      <c r="D2874" t="s">
        <v>4670</v>
      </c>
      <c r="E2874" t="s">
        <v>4564</v>
      </c>
      <c r="F2874" t="s">
        <v>5111</v>
      </c>
      <c r="G2874" t="s">
        <v>4578</v>
      </c>
      <c r="H2874" t="s">
        <v>4406</v>
      </c>
      <c r="I2874" t="s">
        <v>4406</v>
      </c>
      <c r="J2874" t="s">
        <v>4578</v>
      </c>
      <c r="K2874" t="s">
        <v>4564</v>
      </c>
      <c r="L2874" t="s">
        <v>4862</v>
      </c>
      <c r="M2874" t="s">
        <v>4670</v>
      </c>
      <c r="N2874" t="s">
        <v>4670</v>
      </c>
      <c r="O2874" t="s">
        <v>4858</v>
      </c>
      <c r="P2874" t="s">
        <v>4577</v>
      </c>
      <c r="Q2874" t="s">
        <v>4862</v>
      </c>
      <c r="R2874" t="s">
        <v>4658</v>
      </c>
      <c r="S2874" t="s">
        <v>4858</v>
      </c>
    </row>
    <row r="2875" spans="1:19" x14ac:dyDescent="0.25">
      <c r="A2875" t="s">
        <v>1296</v>
      </c>
      <c r="B2875">
        <v>249</v>
      </c>
      <c r="C2875" t="s">
        <v>4406</v>
      </c>
      <c r="D2875" t="s">
        <v>4641</v>
      </c>
      <c r="E2875" t="s">
        <v>4754</v>
      </c>
      <c r="F2875" t="s">
        <v>4515</v>
      </c>
      <c r="G2875" t="s">
        <v>4465</v>
      </c>
      <c r="H2875" t="s">
        <v>4406</v>
      </c>
      <c r="I2875" t="s">
        <v>4406</v>
      </c>
      <c r="J2875" t="s">
        <v>5084</v>
      </c>
      <c r="K2875" t="s">
        <v>4854</v>
      </c>
      <c r="L2875" t="s">
        <v>4500</v>
      </c>
      <c r="M2875" t="s">
        <v>5064</v>
      </c>
      <c r="N2875" t="s">
        <v>5084</v>
      </c>
      <c r="O2875" t="s">
        <v>4849</v>
      </c>
      <c r="P2875" t="s">
        <v>4794</v>
      </c>
      <c r="Q2875" t="s">
        <v>4612</v>
      </c>
      <c r="R2875" t="s">
        <v>4501</v>
      </c>
      <c r="S2875" t="s">
        <v>5127</v>
      </c>
    </row>
    <row r="2877" spans="1:19" x14ac:dyDescent="0.25">
      <c r="A2877" t="s">
        <v>5912</v>
      </c>
    </row>
    <row r="2878" spans="1:19" x14ac:dyDescent="0.25">
      <c r="A2878" t="s">
        <v>5477</v>
      </c>
      <c r="B2878" t="s">
        <v>4394</v>
      </c>
      <c r="C2878" t="s">
        <v>4732</v>
      </c>
      <c r="D2878" t="s">
        <v>5234</v>
      </c>
      <c r="E2878" t="s">
        <v>5235</v>
      </c>
      <c r="F2878" t="s">
        <v>5236</v>
      </c>
      <c r="G2878" t="s">
        <v>5237</v>
      </c>
      <c r="H2878" t="s">
        <v>4736</v>
      </c>
      <c r="I2878" t="s">
        <v>4737</v>
      </c>
      <c r="J2878" t="s">
        <v>5238</v>
      </c>
      <c r="K2878" t="s">
        <v>5239</v>
      </c>
      <c r="L2878" t="s">
        <v>5240</v>
      </c>
      <c r="M2878" t="s">
        <v>5241</v>
      </c>
      <c r="N2878" t="s">
        <v>5242</v>
      </c>
      <c r="O2878" t="s">
        <v>5243</v>
      </c>
      <c r="P2878" t="s">
        <v>5244</v>
      </c>
      <c r="Q2878" t="s">
        <v>5245</v>
      </c>
      <c r="R2878" t="s">
        <v>5246</v>
      </c>
      <c r="S2878" t="s">
        <v>5247</v>
      </c>
    </row>
    <row r="2879" spans="1:19" x14ac:dyDescent="0.25">
      <c r="A2879" t="s">
        <v>4438</v>
      </c>
      <c r="B2879">
        <v>86</v>
      </c>
      <c r="C2879" t="s">
        <v>4406</v>
      </c>
      <c r="D2879" t="s">
        <v>4549</v>
      </c>
      <c r="E2879" t="s">
        <v>4685</v>
      </c>
      <c r="F2879" t="s">
        <v>4790</v>
      </c>
      <c r="G2879" t="s">
        <v>4485</v>
      </c>
      <c r="H2879" t="s">
        <v>4406</v>
      </c>
      <c r="I2879" t="s">
        <v>4406</v>
      </c>
      <c r="J2879" t="s">
        <v>4706</v>
      </c>
      <c r="K2879" t="s">
        <v>4921</v>
      </c>
      <c r="L2879" t="s">
        <v>4810</v>
      </c>
      <c r="M2879" t="s">
        <v>4921</v>
      </c>
      <c r="N2879" t="s">
        <v>5065</v>
      </c>
      <c r="O2879" t="s">
        <v>5065</v>
      </c>
      <c r="P2879" t="s">
        <v>5260</v>
      </c>
      <c r="Q2879" t="s">
        <v>4874</v>
      </c>
      <c r="R2879" t="s">
        <v>4743</v>
      </c>
      <c r="S2879" t="s">
        <v>4706</v>
      </c>
    </row>
    <row r="2880" spans="1:19" x14ac:dyDescent="0.25">
      <c r="A2880" t="s">
        <v>4439</v>
      </c>
      <c r="B2880">
        <v>103</v>
      </c>
      <c r="C2880" t="s">
        <v>4406</v>
      </c>
      <c r="D2880" t="s">
        <v>4604</v>
      </c>
      <c r="E2880" t="s">
        <v>4987</v>
      </c>
      <c r="F2880" t="s">
        <v>4460</v>
      </c>
      <c r="G2880" t="s">
        <v>4881</v>
      </c>
      <c r="H2880" t="s">
        <v>4406</v>
      </c>
      <c r="I2880" t="s">
        <v>4406</v>
      </c>
      <c r="J2880" t="s">
        <v>4987</v>
      </c>
      <c r="K2880" t="s">
        <v>4999</v>
      </c>
      <c r="L2880" t="s">
        <v>4881</v>
      </c>
      <c r="M2880" t="s">
        <v>4564</v>
      </c>
      <c r="N2880" t="s">
        <v>4564</v>
      </c>
      <c r="O2880" t="s">
        <v>4756</v>
      </c>
      <c r="P2880" t="s">
        <v>5546</v>
      </c>
      <c r="Q2880" t="s">
        <v>4881</v>
      </c>
      <c r="R2880" t="s">
        <v>4604</v>
      </c>
      <c r="S2880" t="s">
        <v>4638</v>
      </c>
    </row>
    <row r="2881" spans="1:19" x14ac:dyDescent="0.25">
      <c r="A2881" t="s">
        <v>1400</v>
      </c>
      <c r="B2881">
        <v>6</v>
      </c>
      <c r="C2881" t="s">
        <v>4406</v>
      </c>
      <c r="D2881" t="s">
        <v>4406</v>
      </c>
      <c r="E2881" t="s">
        <v>4468</v>
      </c>
      <c r="F2881" t="s">
        <v>4468</v>
      </c>
      <c r="G2881" t="s">
        <v>4406</v>
      </c>
      <c r="H2881" t="s">
        <v>4406</v>
      </c>
      <c r="I2881" t="s">
        <v>4406</v>
      </c>
      <c r="J2881" t="s">
        <v>4596</v>
      </c>
      <c r="K2881" t="s">
        <v>4465</v>
      </c>
      <c r="L2881" t="s">
        <v>4465</v>
      </c>
      <c r="M2881" t="s">
        <v>4406</v>
      </c>
      <c r="N2881" t="s">
        <v>4596</v>
      </c>
      <c r="O2881" t="s">
        <v>4596</v>
      </c>
      <c r="P2881" t="s">
        <v>4469</v>
      </c>
      <c r="Q2881" t="s">
        <v>4406</v>
      </c>
      <c r="R2881" t="s">
        <v>4406</v>
      </c>
      <c r="S2881" t="s">
        <v>4465</v>
      </c>
    </row>
    <row r="2882" spans="1:19" x14ac:dyDescent="0.25">
      <c r="A2882" t="s">
        <v>5566</v>
      </c>
      <c r="B2882">
        <v>29</v>
      </c>
      <c r="C2882" t="s">
        <v>4406</v>
      </c>
      <c r="D2882" t="s">
        <v>4888</v>
      </c>
      <c r="E2882" t="s">
        <v>4843</v>
      </c>
      <c r="F2882" t="s">
        <v>4441</v>
      </c>
      <c r="G2882" t="s">
        <v>5254</v>
      </c>
      <c r="H2882" t="s">
        <v>4406</v>
      </c>
      <c r="I2882" t="s">
        <v>4406</v>
      </c>
      <c r="J2882" t="s">
        <v>4686</v>
      </c>
      <c r="K2882" t="s">
        <v>4887</v>
      </c>
      <c r="L2882" t="s">
        <v>4843</v>
      </c>
      <c r="M2882" t="s">
        <v>4470</v>
      </c>
      <c r="N2882" t="s">
        <v>4882</v>
      </c>
      <c r="O2882" t="s">
        <v>4470</v>
      </c>
      <c r="P2882" t="s">
        <v>5198</v>
      </c>
      <c r="Q2882" t="s">
        <v>4470</v>
      </c>
      <c r="R2882" t="s">
        <v>4445</v>
      </c>
      <c r="S2882" t="s">
        <v>4686</v>
      </c>
    </row>
    <row r="2883" spans="1:19" x14ac:dyDescent="0.25">
      <c r="A2883" t="s">
        <v>1426</v>
      </c>
      <c r="B2883">
        <v>1</v>
      </c>
      <c r="C2883" t="s">
        <v>4406</v>
      </c>
      <c r="D2883" t="s">
        <v>4406</v>
      </c>
      <c r="E2883" t="s">
        <v>4454</v>
      </c>
      <c r="F2883" t="s">
        <v>4454</v>
      </c>
      <c r="G2883" t="s">
        <v>4406</v>
      </c>
      <c r="H2883" t="s">
        <v>4406</v>
      </c>
      <c r="I2883" t="s">
        <v>4406</v>
      </c>
      <c r="J2883" t="s">
        <v>4454</v>
      </c>
      <c r="K2883" t="s">
        <v>4454</v>
      </c>
      <c r="L2883" t="s">
        <v>4406</v>
      </c>
      <c r="M2883" t="s">
        <v>4406</v>
      </c>
      <c r="N2883" t="s">
        <v>4406</v>
      </c>
      <c r="O2883" t="s">
        <v>4406</v>
      </c>
      <c r="P2883" t="s">
        <v>4454</v>
      </c>
      <c r="Q2883" t="s">
        <v>4406</v>
      </c>
      <c r="R2883" t="s">
        <v>4406</v>
      </c>
      <c r="S2883" t="s">
        <v>4454</v>
      </c>
    </row>
    <row r="2884" spans="1:19" x14ac:dyDescent="0.25">
      <c r="A2884" t="s">
        <v>1372</v>
      </c>
      <c r="B2884">
        <v>24</v>
      </c>
      <c r="C2884" t="s">
        <v>4406</v>
      </c>
      <c r="D2884" t="s">
        <v>4943</v>
      </c>
      <c r="E2884" t="s">
        <v>4909</v>
      </c>
      <c r="F2884" t="s">
        <v>4465</v>
      </c>
      <c r="G2884" t="s">
        <v>4462</v>
      </c>
      <c r="H2884" t="s">
        <v>4406</v>
      </c>
      <c r="I2884" t="s">
        <v>4406</v>
      </c>
      <c r="J2884" t="s">
        <v>4596</v>
      </c>
      <c r="K2884" t="s">
        <v>4909</v>
      </c>
      <c r="L2884" t="s">
        <v>4471</v>
      </c>
      <c r="M2884" t="s">
        <v>4943</v>
      </c>
      <c r="N2884" t="s">
        <v>4751</v>
      </c>
      <c r="O2884" t="s">
        <v>4596</v>
      </c>
      <c r="P2884" t="s">
        <v>4602</v>
      </c>
      <c r="Q2884" t="s">
        <v>4462</v>
      </c>
      <c r="R2884" t="s">
        <v>4471</v>
      </c>
      <c r="S2884" t="s">
        <v>4462</v>
      </c>
    </row>
    <row r="2885" spans="1:19" x14ac:dyDescent="0.25">
      <c r="A2885" t="s">
        <v>1296</v>
      </c>
      <c r="B2885">
        <v>249</v>
      </c>
      <c r="C2885" t="s">
        <v>4406</v>
      </c>
      <c r="D2885" t="s">
        <v>4641</v>
      </c>
      <c r="E2885" t="s">
        <v>4754</v>
      </c>
      <c r="F2885" t="s">
        <v>4515</v>
      </c>
      <c r="G2885" t="s">
        <v>4465</v>
      </c>
      <c r="H2885" t="s">
        <v>4406</v>
      </c>
      <c r="I2885" t="s">
        <v>4406</v>
      </c>
      <c r="J2885" t="s">
        <v>5084</v>
      </c>
      <c r="K2885" t="s">
        <v>4854</v>
      </c>
      <c r="L2885" t="s">
        <v>4500</v>
      </c>
      <c r="M2885" t="s">
        <v>5064</v>
      </c>
      <c r="N2885" t="s">
        <v>5084</v>
      </c>
      <c r="O2885" t="s">
        <v>4849</v>
      </c>
      <c r="P2885" t="s">
        <v>4794</v>
      </c>
      <c r="Q2885" t="s">
        <v>4612</v>
      </c>
      <c r="R2885" t="s">
        <v>4501</v>
      </c>
      <c r="S2885" t="s">
        <v>5127</v>
      </c>
    </row>
    <row r="2887" spans="1:19" x14ac:dyDescent="0.25">
      <c r="A2887" t="s">
        <v>5913</v>
      </c>
    </row>
    <row r="2888" spans="1:19" x14ac:dyDescent="0.25">
      <c r="A2888" t="s">
        <v>911</v>
      </c>
      <c r="B2888" t="s">
        <v>4394</v>
      </c>
      <c r="C2888" t="s">
        <v>4732</v>
      </c>
      <c r="D2888" t="s">
        <v>5234</v>
      </c>
      <c r="E2888" t="s">
        <v>5235</v>
      </c>
      <c r="F2888" t="s">
        <v>5236</v>
      </c>
      <c r="G2888" t="s">
        <v>5237</v>
      </c>
      <c r="H2888" t="s">
        <v>4736</v>
      </c>
      <c r="I2888" t="s">
        <v>4737</v>
      </c>
      <c r="J2888" t="s">
        <v>5238</v>
      </c>
      <c r="K2888" t="s">
        <v>5239</v>
      </c>
      <c r="L2888" t="s">
        <v>5240</v>
      </c>
      <c r="M2888" t="s">
        <v>5241</v>
      </c>
      <c r="N2888" t="s">
        <v>5242</v>
      </c>
      <c r="O2888" t="s">
        <v>5243</v>
      </c>
      <c r="P2888" t="s">
        <v>5244</v>
      </c>
      <c r="Q2888" t="s">
        <v>5245</v>
      </c>
      <c r="R2888" t="s">
        <v>5246</v>
      </c>
      <c r="S2888" t="s">
        <v>5247</v>
      </c>
    </row>
    <row r="2889" spans="1:19" x14ac:dyDescent="0.25">
      <c r="A2889" t="s">
        <v>4438</v>
      </c>
      <c r="B2889">
        <v>102</v>
      </c>
      <c r="C2889" t="s">
        <v>4406</v>
      </c>
      <c r="D2889" t="s">
        <v>4616</v>
      </c>
      <c r="E2889" t="s">
        <v>4526</v>
      </c>
      <c r="F2889" t="s">
        <v>4710</v>
      </c>
      <c r="G2889" t="s">
        <v>4533</v>
      </c>
      <c r="H2889" t="s">
        <v>4406</v>
      </c>
      <c r="I2889" t="s">
        <v>4406</v>
      </c>
      <c r="J2889" t="s">
        <v>5067</v>
      </c>
      <c r="K2889" t="s">
        <v>4599</v>
      </c>
      <c r="L2889" t="s">
        <v>4533</v>
      </c>
      <c r="M2889" t="s">
        <v>4671</v>
      </c>
      <c r="N2889" t="s">
        <v>4599</v>
      </c>
      <c r="O2889" t="s">
        <v>5170</v>
      </c>
      <c r="P2889" t="s">
        <v>4841</v>
      </c>
      <c r="Q2889" t="s">
        <v>4516</v>
      </c>
      <c r="R2889" t="s">
        <v>5153</v>
      </c>
      <c r="S2889" t="s">
        <v>5086</v>
      </c>
    </row>
    <row r="2890" spans="1:19" x14ac:dyDescent="0.25">
      <c r="A2890" t="s">
        <v>4439</v>
      </c>
      <c r="B2890">
        <v>64</v>
      </c>
      <c r="C2890" t="s">
        <v>4406</v>
      </c>
      <c r="D2890" t="s">
        <v>4933</v>
      </c>
      <c r="E2890" t="s">
        <v>4950</v>
      </c>
      <c r="F2890" t="s">
        <v>5173</v>
      </c>
      <c r="G2890" t="s">
        <v>4881</v>
      </c>
      <c r="H2890" t="s">
        <v>4406</v>
      </c>
      <c r="I2890" t="s">
        <v>4406</v>
      </c>
      <c r="J2890" t="s">
        <v>4681</v>
      </c>
      <c r="K2890" t="s">
        <v>4681</v>
      </c>
      <c r="L2890" t="s">
        <v>4918</v>
      </c>
      <c r="M2890" t="s">
        <v>5066</v>
      </c>
      <c r="N2890" t="s">
        <v>4854</v>
      </c>
      <c r="O2890" t="s">
        <v>4950</v>
      </c>
      <c r="P2890" t="s">
        <v>4547</v>
      </c>
      <c r="Q2890" t="s">
        <v>4916</v>
      </c>
      <c r="R2890" t="s">
        <v>4882</v>
      </c>
      <c r="S2890" t="s">
        <v>5179</v>
      </c>
    </row>
    <row r="2891" spans="1:19" x14ac:dyDescent="0.25">
      <c r="A2891" t="s">
        <v>1400</v>
      </c>
      <c r="B2891">
        <v>16</v>
      </c>
      <c r="C2891" t="s">
        <v>4406</v>
      </c>
      <c r="D2891" t="s">
        <v>4917</v>
      </c>
      <c r="E2891" t="s">
        <v>4918</v>
      </c>
      <c r="F2891" t="s">
        <v>4468</v>
      </c>
      <c r="G2891" t="s">
        <v>4462</v>
      </c>
      <c r="H2891" t="s">
        <v>4406</v>
      </c>
      <c r="I2891" t="s">
        <v>4406</v>
      </c>
      <c r="J2891" t="s">
        <v>4481</v>
      </c>
      <c r="K2891" t="s">
        <v>4481</v>
      </c>
      <c r="L2891" t="s">
        <v>4481</v>
      </c>
      <c r="M2891" t="s">
        <v>4479</v>
      </c>
      <c r="N2891" t="s">
        <v>4406</v>
      </c>
      <c r="O2891" t="s">
        <v>4917</v>
      </c>
      <c r="P2891" t="s">
        <v>4521</v>
      </c>
      <c r="Q2891" t="s">
        <v>4479</v>
      </c>
      <c r="R2891" t="s">
        <v>4479</v>
      </c>
      <c r="S2891" t="s">
        <v>4918</v>
      </c>
    </row>
    <row r="2892" spans="1:19" x14ac:dyDescent="0.25">
      <c r="A2892" t="s">
        <v>1340</v>
      </c>
      <c r="B2892">
        <v>25</v>
      </c>
      <c r="C2892" t="s">
        <v>4406</v>
      </c>
      <c r="D2892" t="s">
        <v>4660</v>
      </c>
      <c r="E2892" t="s">
        <v>4472</v>
      </c>
      <c r="F2892" t="s">
        <v>4458</v>
      </c>
      <c r="G2892" t="s">
        <v>4928</v>
      </c>
      <c r="H2892" t="s">
        <v>4406</v>
      </c>
      <c r="I2892" t="s">
        <v>4406</v>
      </c>
      <c r="J2892" t="s">
        <v>4707</v>
      </c>
      <c r="K2892" t="s">
        <v>4660</v>
      </c>
      <c r="L2892" t="s">
        <v>4446</v>
      </c>
      <c r="M2892" t="s">
        <v>4657</v>
      </c>
      <c r="N2892" t="s">
        <v>4472</v>
      </c>
      <c r="O2892" t="s">
        <v>4657</v>
      </c>
      <c r="P2892" t="s">
        <v>4919</v>
      </c>
      <c r="Q2892" t="s">
        <v>4707</v>
      </c>
      <c r="R2892" t="s">
        <v>4458</v>
      </c>
      <c r="S2892" t="s">
        <v>4707</v>
      </c>
    </row>
    <row r="2893" spans="1:19" x14ac:dyDescent="0.25">
      <c r="A2893" t="s">
        <v>1426</v>
      </c>
      <c r="B2893">
        <v>7</v>
      </c>
      <c r="C2893" t="s">
        <v>4406</v>
      </c>
      <c r="D2893" t="s">
        <v>4447</v>
      </c>
      <c r="E2893" t="s">
        <v>4522</v>
      </c>
      <c r="F2893" t="s">
        <v>4522</v>
      </c>
      <c r="G2893" t="s">
        <v>4450</v>
      </c>
      <c r="H2893" t="s">
        <v>4406</v>
      </c>
      <c r="I2893" t="s">
        <v>4406</v>
      </c>
      <c r="J2893" t="s">
        <v>4406</v>
      </c>
      <c r="K2893" t="s">
        <v>4450</v>
      </c>
      <c r="L2893" t="s">
        <v>4522</v>
      </c>
      <c r="M2893" t="s">
        <v>4406</v>
      </c>
      <c r="N2893" t="s">
        <v>4522</v>
      </c>
      <c r="O2893" t="s">
        <v>4522</v>
      </c>
      <c r="P2893" t="s">
        <v>4450</v>
      </c>
      <c r="Q2893" t="s">
        <v>4406</v>
      </c>
      <c r="R2893" t="s">
        <v>4406</v>
      </c>
      <c r="S2893" t="s">
        <v>4522</v>
      </c>
    </row>
    <row r="2894" spans="1:19" x14ac:dyDescent="0.25">
      <c r="A2894" t="s">
        <v>1372</v>
      </c>
      <c r="B2894">
        <v>35</v>
      </c>
      <c r="C2894" t="s">
        <v>4406</v>
      </c>
      <c r="D2894" t="s">
        <v>4637</v>
      </c>
      <c r="E2894" t="s">
        <v>4522</v>
      </c>
      <c r="F2894" t="s">
        <v>4683</v>
      </c>
      <c r="G2894" t="s">
        <v>4870</v>
      </c>
      <c r="H2894" t="s">
        <v>4406</v>
      </c>
      <c r="I2894" t="s">
        <v>4406</v>
      </c>
      <c r="J2894" t="s">
        <v>4450</v>
      </c>
      <c r="K2894" t="s">
        <v>4653</v>
      </c>
      <c r="L2894" t="s">
        <v>4911</v>
      </c>
      <c r="M2894" t="s">
        <v>4850</v>
      </c>
      <c r="N2894" t="s">
        <v>4850</v>
      </c>
      <c r="O2894" t="s">
        <v>4472</v>
      </c>
      <c r="P2894" t="s">
        <v>4814</v>
      </c>
      <c r="Q2894" t="s">
        <v>4710</v>
      </c>
      <c r="R2894" t="s">
        <v>4710</v>
      </c>
      <c r="S2894" t="s">
        <v>4472</v>
      </c>
    </row>
    <row r="2895" spans="1:19" x14ac:dyDescent="0.25">
      <c r="A2895" t="s">
        <v>1296</v>
      </c>
      <c r="B2895">
        <v>249</v>
      </c>
      <c r="C2895" t="s">
        <v>4406</v>
      </c>
      <c r="D2895" t="s">
        <v>4641</v>
      </c>
      <c r="E2895" t="s">
        <v>4754</v>
      </c>
      <c r="F2895" t="s">
        <v>4515</v>
      </c>
      <c r="G2895" t="s">
        <v>4465</v>
      </c>
      <c r="H2895" t="s">
        <v>4406</v>
      </c>
      <c r="I2895" t="s">
        <v>4406</v>
      </c>
      <c r="J2895" t="s">
        <v>5084</v>
      </c>
      <c r="K2895" t="s">
        <v>4854</v>
      </c>
      <c r="L2895" t="s">
        <v>4500</v>
      </c>
      <c r="M2895" t="s">
        <v>5064</v>
      </c>
      <c r="N2895" t="s">
        <v>5084</v>
      </c>
      <c r="O2895" t="s">
        <v>4849</v>
      </c>
      <c r="P2895" t="s">
        <v>4794</v>
      </c>
      <c r="Q2895" t="s">
        <v>4612</v>
      </c>
      <c r="R2895" t="s">
        <v>4501</v>
      </c>
      <c r="S2895" t="s">
        <v>5127</v>
      </c>
    </row>
    <row r="2897" spans="1:19" x14ac:dyDescent="0.25">
      <c r="A2897" t="s">
        <v>5914</v>
      </c>
    </row>
    <row r="2898" spans="1:19" x14ac:dyDescent="0.25">
      <c r="A2898" t="s">
        <v>912</v>
      </c>
      <c r="B2898" t="s">
        <v>4394</v>
      </c>
      <c r="C2898" t="s">
        <v>4732</v>
      </c>
      <c r="D2898" t="s">
        <v>5234</v>
      </c>
      <c r="E2898" t="s">
        <v>5235</v>
      </c>
      <c r="F2898" t="s">
        <v>5236</v>
      </c>
      <c r="G2898" t="s">
        <v>5237</v>
      </c>
      <c r="H2898" t="s">
        <v>4736</v>
      </c>
      <c r="I2898" t="s">
        <v>4737</v>
      </c>
      <c r="J2898" t="s">
        <v>5238</v>
      </c>
      <c r="K2898" t="s">
        <v>5239</v>
      </c>
      <c r="L2898" t="s">
        <v>5240</v>
      </c>
      <c r="M2898" t="s">
        <v>5241</v>
      </c>
      <c r="N2898" t="s">
        <v>5242</v>
      </c>
      <c r="O2898" t="s">
        <v>5243</v>
      </c>
      <c r="P2898" t="s">
        <v>5244</v>
      </c>
      <c r="Q2898" t="s">
        <v>5245</v>
      </c>
      <c r="R2898" t="s">
        <v>5246</v>
      </c>
      <c r="S2898" t="s">
        <v>5247</v>
      </c>
    </row>
    <row r="2899" spans="1:19" x14ac:dyDescent="0.25">
      <c r="A2899" t="s">
        <v>4438</v>
      </c>
      <c r="B2899">
        <v>66</v>
      </c>
      <c r="C2899" t="s">
        <v>4406</v>
      </c>
      <c r="D2899" t="s">
        <v>5118</v>
      </c>
      <c r="E2899" t="s">
        <v>4726</v>
      </c>
      <c r="F2899" t="s">
        <v>4532</v>
      </c>
      <c r="G2899" t="s">
        <v>4453</v>
      </c>
      <c r="H2899" t="s">
        <v>4406</v>
      </c>
      <c r="I2899" t="s">
        <v>4406</v>
      </c>
      <c r="J2899" t="s">
        <v>4852</v>
      </c>
      <c r="K2899" t="s">
        <v>4596</v>
      </c>
      <c r="L2899" t="s">
        <v>5118</v>
      </c>
      <c r="M2899" t="s">
        <v>4863</v>
      </c>
      <c r="N2899" t="s">
        <v>4863</v>
      </c>
      <c r="O2899" t="s">
        <v>4589</v>
      </c>
      <c r="P2899" t="s">
        <v>4767</v>
      </c>
      <c r="Q2899" t="s">
        <v>4405</v>
      </c>
      <c r="R2899" t="s">
        <v>4532</v>
      </c>
      <c r="S2899" t="s">
        <v>4863</v>
      </c>
    </row>
    <row r="2900" spans="1:19" x14ac:dyDescent="0.25">
      <c r="A2900" t="s">
        <v>4439</v>
      </c>
      <c r="B2900">
        <v>93</v>
      </c>
      <c r="C2900" t="s">
        <v>4406</v>
      </c>
      <c r="D2900" t="s">
        <v>4641</v>
      </c>
      <c r="E2900" t="s">
        <v>4641</v>
      </c>
      <c r="F2900" t="s">
        <v>4519</v>
      </c>
      <c r="G2900" t="s">
        <v>4642</v>
      </c>
      <c r="H2900" t="s">
        <v>4406</v>
      </c>
      <c r="I2900" t="s">
        <v>4406</v>
      </c>
      <c r="J2900" t="s">
        <v>4650</v>
      </c>
      <c r="K2900" t="s">
        <v>4850</v>
      </c>
      <c r="L2900" t="s">
        <v>4531</v>
      </c>
      <c r="M2900" t="s">
        <v>4564</v>
      </c>
      <c r="N2900" t="s">
        <v>4617</v>
      </c>
      <c r="O2900" t="s">
        <v>4408</v>
      </c>
      <c r="P2900" t="s">
        <v>5082</v>
      </c>
      <c r="Q2900" t="s">
        <v>4477</v>
      </c>
      <c r="R2900" t="s">
        <v>4561</v>
      </c>
      <c r="S2900" t="s">
        <v>4563</v>
      </c>
    </row>
    <row r="2901" spans="1:19" x14ac:dyDescent="0.25">
      <c r="A2901" t="s">
        <v>1400</v>
      </c>
      <c r="B2901">
        <v>25</v>
      </c>
      <c r="C2901" t="s">
        <v>4406</v>
      </c>
      <c r="D2901" t="s">
        <v>4446</v>
      </c>
      <c r="E2901" t="s">
        <v>4709</v>
      </c>
      <c r="F2901" t="s">
        <v>4458</v>
      </c>
      <c r="G2901" t="s">
        <v>5282</v>
      </c>
      <c r="H2901" t="s">
        <v>4406</v>
      </c>
      <c r="I2901" t="s">
        <v>4406</v>
      </c>
      <c r="J2901" t="s">
        <v>4472</v>
      </c>
      <c r="K2901" t="s">
        <v>4707</v>
      </c>
      <c r="L2901" t="s">
        <v>5124</v>
      </c>
      <c r="M2901" t="s">
        <v>4709</v>
      </c>
      <c r="N2901" t="s">
        <v>4709</v>
      </c>
      <c r="O2901" t="s">
        <v>4406</v>
      </c>
      <c r="P2901" t="s">
        <v>4919</v>
      </c>
      <c r="Q2901" t="s">
        <v>4629</v>
      </c>
      <c r="R2901" t="s">
        <v>4707</v>
      </c>
      <c r="S2901" t="s">
        <v>4707</v>
      </c>
    </row>
    <row r="2902" spans="1:19" x14ac:dyDescent="0.25">
      <c r="A2902" t="s">
        <v>1340</v>
      </c>
      <c r="B2902">
        <v>25</v>
      </c>
      <c r="C2902" t="s">
        <v>4406</v>
      </c>
      <c r="D2902" t="s">
        <v>4660</v>
      </c>
      <c r="E2902" t="s">
        <v>4472</v>
      </c>
      <c r="F2902" t="s">
        <v>4458</v>
      </c>
      <c r="G2902" t="s">
        <v>4928</v>
      </c>
      <c r="H2902" t="s">
        <v>4406</v>
      </c>
      <c r="I2902" t="s">
        <v>4406</v>
      </c>
      <c r="J2902" t="s">
        <v>4707</v>
      </c>
      <c r="K2902" t="s">
        <v>4660</v>
      </c>
      <c r="L2902" t="s">
        <v>4446</v>
      </c>
      <c r="M2902" t="s">
        <v>4657</v>
      </c>
      <c r="N2902" t="s">
        <v>4472</v>
      </c>
      <c r="O2902" t="s">
        <v>4657</v>
      </c>
      <c r="P2902" t="s">
        <v>4919</v>
      </c>
      <c r="Q2902" t="s">
        <v>4707</v>
      </c>
      <c r="R2902" t="s">
        <v>4458</v>
      </c>
      <c r="S2902" t="s">
        <v>4707</v>
      </c>
    </row>
    <row r="2903" spans="1:19" x14ac:dyDescent="0.25">
      <c r="A2903" t="s">
        <v>1426</v>
      </c>
      <c r="B2903">
        <v>10</v>
      </c>
      <c r="C2903" t="s">
        <v>4406</v>
      </c>
      <c r="D2903" t="s">
        <v>4472</v>
      </c>
      <c r="E2903" t="s">
        <v>4458</v>
      </c>
      <c r="F2903" t="s">
        <v>4472</v>
      </c>
      <c r="G2903" t="s">
        <v>4406</v>
      </c>
      <c r="H2903" t="s">
        <v>4406</v>
      </c>
      <c r="I2903" t="s">
        <v>4406</v>
      </c>
      <c r="J2903" t="s">
        <v>4489</v>
      </c>
      <c r="K2903" t="s">
        <v>4468</v>
      </c>
      <c r="L2903" t="s">
        <v>4406</v>
      </c>
      <c r="M2903" t="s">
        <v>4406</v>
      </c>
      <c r="N2903" t="s">
        <v>4646</v>
      </c>
      <c r="O2903" t="s">
        <v>4406</v>
      </c>
      <c r="P2903" t="s">
        <v>4457</v>
      </c>
      <c r="Q2903" t="s">
        <v>4646</v>
      </c>
      <c r="R2903" t="s">
        <v>4406</v>
      </c>
      <c r="S2903" t="s">
        <v>4472</v>
      </c>
    </row>
    <row r="2904" spans="1:19" x14ac:dyDescent="0.25">
      <c r="A2904" t="s">
        <v>1372</v>
      </c>
      <c r="B2904">
        <v>30</v>
      </c>
      <c r="C2904" t="s">
        <v>4406</v>
      </c>
      <c r="D2904" t="s">
        <v>4416</v>
      </c>
      <c r="E2904" t="s">
        <v>4596</v>
      </c>
      <c r="F2904" t="s">
        <v>4512</v>
      </c>
      <c r="G2904" t="s">
        <v>4472</v>
      </c>
      <c r="H2904" t="s">
        <v>4406</v>
      </c>
      <c r="I2904" t="s">
        <v>4406</v>
      </c>
      <c r="J2904" t="s">
        <v>5039</v>
      </c>
      <c r="K2904" t="s">
        <v>5039</v>
      </c>
      <c r="L2904" t="s">
        <v>5129</v>
      </c>
      <c r="M2904" t="s">
        <v>4646</v>
      </c>
      <c r="N2904" t="s">
        <v>4416</v>
      </c>
      <c r="O2904" t="s">
        <v>4472</v>
      </c>
      <c r="P2904" t="s">
        <v>4782</v>
      </c>
      <c r="Q2904" t="s">
        <v>4415</v>
      </c>
      <c r="R2904" t="s">
        <v>4415</v>
      </c>
      <c r="S2904" t="s">
        <v>4415</v>
      </c>
    </row>
    <row r="2905" spans="1:19" x14ac:dyDescent="0.25">
      <c r="A2905" t="s">
        <v>1296</v>
      </c>
      <c r="B2905">
        <v>249</v>
      </c>
      <c r="C2905" t="s">
        <v>4406</v>
      </c>
      <c r="D2905" t="s">
        <v>4641</v>
      </c>
      <c r="E2905" t="s">
        <v>4754</v>
      </c>
      <c r="F2905" t="s">
        <v>4515</v>
      </c>
      <c r="G2905" t="s">
        <v>4465</v>
      </c>
      <c r="H2905" t="s">
        <v>4406</v>
      </c>
      <c r="I2905" t="s">
        <v>4406</v>
      </c>
      <c r="J2905" t="s">
        <v>5084</v>
      </c>
      <c r="K2905" t="s">
        <v>4854</v>
      </c>
      <c r="L2905" t="s">
        <v>4500</v>
      </c>
      <c r="M2905" t="s">
        <v>5064</v>
      </c>
      <c r="N2905" t="s">
        <v>5084</v>
      </c>
      <c r="O2905" t="s">
        <v>4849</v>
      </c>
      <c r="P2905" t="s">
        <v>4794</v>
      </c>
      <c r="Q2905" t="s">
        <v>4612</v>
      </c>
      <c r="R2905" t="s">
        <v>4501</v>
      </c>
      <c r="S2905" t="s">
        <v>5127</v>
      </c>
    </row>
    <row r="2907" spans="1:19" x14ac:dyDescent="0.25">
      <c r="A2907" t="s">
        <v>5915</v>
      </c>
    </row>
    <row r="2908" spans="1:19" x14ac:dyDescent="0.25">
      <c r="A2908" t="s">
        <v>920</v>
      </c>
      <c r="B2908" t="s">
        <v>4394</v>
      </c>
      <c r="C2908" t="s">
        <v>4732</v>
      </c>
      <c r="D2908" t="s">
        <v>5234</v>
      </c>
      <c r="E2908" t="s">
        <v>5235</v>
      </c>
      <c r="F2908" t="s">
        <v>5236</v>
      </c>
      <c r="G2908" t="s">
        <v>5237</v>
      </c>
      <c r="H2908" t="s">
        <v>4736</v>
      </c>
      <c r="I2908" t="s">
        <v>4737</v>
      </c>
      <c r="J2908" t="s">
        <v>5238</v>
      </c>
      <c r="K2908" t="s">
        <v>5239</v>
      </c>
      <c r="L2908" t="s">
        <v>5240</v>
      </c>
      <c r="M2908" t="s">
        <v>5241</v>
      </c>
      <c r="N2908" t="s">
        <v>5242</v>
      </c>
      <c r="O2908" t="s">
        <v>5243</v>
      </c>
      <c r="P2908" t="s">
        <v>5244</v>
      </c>
      <c r="Q2908" t="s">
        <v>5245</v>
      </c>
      <c r="R2908" t="s">
        <v>5246</v>
      </c>
      <c r="S2908" t="s">
        <v>5247</v>
      </c>
    </row>
    <row r="2909" spans="1:19" x14ac:dyDescent="0.25">
      <c r="A2909" t="s">
        <v>1343</v>
      </c>
      <c r="B2909">
        <v>140</v>
      </c>
      <c r="C2909" t="s">
        <v>4406</v>
      </c>
      <c r="D2909" t="s">
        <v>4584</v>
      </c>
      <c r="E2909" t="s">
        <v>4604</v>
      </c>
      <c r="F2909" t="s">
        <v>4449</v>
      </c>
      <c r="G2909" t="s">
        <v>4458</v>
      </c>
      <c r="H2909" t="s">
        <v>4406</v>
      </c>
      <c r="I2909" t="s">
        <v>4406</v>
      </c>
      <c r="J2909" t="s">
        <v>4850</v>
      </c>
      <c r="K2909" t="s">
        <v>4987</v>
      </c>
      <c r="L2909" t="s">
        <v>4633</v>
      </c>
      <c r="M2909" t="s">
        <v>4420</v>
      </c>
      <c r="N2909" t="s">
        <v>4539</v>
      </c>
      <c r="O2909" t="s">
        <v>4637</v>
      </c>
      <c r="P2909" t="s">
        <v>5221</v>
      </c>
      <c r="Q2909" t="s">
        <v>4747</v>
      </c>
      <c r="R2909" t="s">
        <v>4492</v>
      </c>
      <c r="S2909" t="s">
        <v>4501</v>
      </c>
    </row>
    <row r="2910" spans="1:19" x14ac:dyDescent="0.25">
      <c r="A2910" t="s">
        <v>1345</v>
      </c>
      <c r="B2910">
        <v>65</v>
      </c>
      <c r="C2910" t="s">
        <v>4406</v>
      </c>
      <c r="D2910" t="s">
        <v>4772</v>
      </c>
      <c r="E2910" t="s">
        <v>4470</v>
      </c>
      <c r="F2910" t="s">
        <v>4862</v>
      </c>
      <c r="G2910" t="s">
        <v>4525</v>
      </c>
      <c r="H2910" t="s">
        <v>4406</v>
      </c>
      <c r="I2910" t="s">
        <v>4406</v>
      </c>
      <c r="J2910" t="s">
        <v>4470</v>
      </c>
      <c r="K2910" t="s">
        <v>4548</v>
      </c>
      <c r="L2910" t="s">
        <v>4862</v>
      </c>
      <c r="M2910" t="s">
        <v>4772</v>
      </c>
      <c r="N2910" t="s">
        <v>4474</v>
      </c>
      <c r="O2910" t="s">
        <v>4408</v>
      </c>
      <c r="P2910" t="s">
        <v>4473</v>
      </c>
      <c r="Q2910" t="s">
        <v>4471</v>
      </c>
      <c r="R2910" t="s">
        <v>4548</v>
      </c>
      <c r="S2910" t="s">
        <v>4408</v>
      </c>
    </row>
    <row r="2911" spans="1:19" x14ac:dyDescent="0.25">
      <c r="A2911" t="s">
        <v>1466</v>
      </c>
      <c r="B2911">
        <v>43</v>
      </c>
      <c r="C2911" t="s">
        <v>4406</v>
      </c>
      <c r="D2911" t="s">
        <v>5065</v>
      </c>
      <c r="E2911" t="s">
        <v>4455</v>
      </c>
      <c r="F2911" t="s">
        <v>4523</v>
      </c>
      <c r="G2911" t="s">
        <v>4455</v>
      </c>
      <c r="H2911" t="s">
        <v>4406</v>
      </c>
      <c r="I2911" t="s">
        <v>4406</v>
      </c>
      <c r="J2911" t="s">
        <v>5039</v>
      </c>
      <c r="K2911" t="s">
        <v>4516</v>
      </c>
      <c r="L2911" t="s">
        <v>4516</v>
      </c>
      <c r="M2911" t="s">
        <v>4656</v>
      </c>
      <c r="N2911" t="s">
        <v>4698</v>
      </c>
      <c r="O2911" t="s">
        <v>4921</v>
      </c>
      <c r="P2911" t="s">
        <v>4938</v>
      </c>
      <c r="Q2911" t="s">
        <v>4810</v>
      </c>
      <c r="R2911" t="s">
        <v>4455</v>
      </c>
      <c r="S2911" t="s">
        <v>4849</v>
      </c>
    </row>
    <row r="2912" spans="1:19" x14ac:dyDescent="0.25">
      <c r="A2912" t="s">
        <v>5554</v>
      </c>
      <c r="B2912">
        <v>1</v>
      </c>
      <c r="C2912" t="s">
        <v>4406</v>
      </c>
      <c r="D2912" t="s">
        <v>4406</v>
      </c>
      <c r="E2912" t="s">
        <v>4454</v>
      </c>
      <c r="F2912" t="s">
        <v>4406</v>
      </c>
      <c r="G2912" t="s">
        <v>4406</v>
      </c>
      <c r="H2912" t="s">
        <v>4406</v>
      </c>
      <c r="I2912" t="s">
        <v>4406</v>
      </c>
      <c r="J2912" t="s">
        <v>4406</v>
      </c>
      <c r="K2912" t="s">
        <v>4406</v>
      </c>
      <c r="L2912" t="s">
        <v>4454</v>
      </c>
      <c r="M2912" t="s">
        <v>4406</v>
      </c>
      <c r="N2912" t="s">
        <v>4406</v>
      </c>
      <c r="O2912" t="s">
        <v>4406</v>
      </c>
      <c r="P2912" t="s">
        <v>4454</v>
      </c>
      <c r="Q2912" t="s">
        <v>4406</v>
      </c>
      <c r="R2912" t="s">
        <v>4454</v>
      </c>
      <c r="S2912" t="s">
        <v>4406</v>
      </c>
    </row>
    <row r="2913" spans="1:19" x14ac:dyDescent="0.25">
      <c r="A2913" t="s">
        <v>1296</v>
      </c>
      <c r="B2913">
        <v>249</v>
      </c>
      <c r="C2913" t="s">
        <v>4406</v>
      </c>
      <c r="D2913" t="s">
        <v>4641</v>
      </c>
      <c r="E2913" t="s">
        <v>4754</v>
      </c>
      <c r="F2913" t="s">
        <v>4515</v>
      </c>
      <c r="G2913" t="s">
        <v>4465</v>
      </c>
      <c r="H2913" t="s">
        <v>4406</v>
      </c>
      <c r="I2913" t="s">
        <v>4406</v>
      </c>
      <c r="J2913" t="s">
        <v>5084</v>
      </c>
      <c r="K2913" t="s">
        <v>4854</v>
      </c>
      <c r="L2913" t="s">
        <v>4500</v>
      </c>
      <c r="M2913" t="s">
        <v>5064</v>
      </c>
      <c r="N2913" t="s">
        <v>5084</v>
      </c>
      <c r="O2913" t="s">
        <v>4849</v>
      </c>
      <c r="P2913" t="s">
        <v>4794</v>
      </c>
      <c r="Q2913" t="s">
        <v>4612</v>
      </c>
      <c r="R2913" t="s">
        <v>4501</v>
      </c>
      <c r="S2913" t="s">
        <v>5127</v>
      </c>
    </row>
    <row r="2915" spans="1:19" x14ac:dyDescent="0.25">
      <c r="A2915" t="s">
        <v>5916</v>
      </c>
    </row>
    <row r="2916" spans="1:19" x14ac:dyDescent="0.25">
      <c r="A2916" t="s">
        <v>924</v>
      </c>
      <c r="B2916" t="s">
        <v>4394</v>
      </c>
      <c r="C2916" t="s">
        <v>4732</v>
      </c>
      <c r="D2916" t="s">
        <v>5234</v>
      </c>
      <c r="E2916" t="s">
        <v>5235</v>
      </c>
      <c r="F2916" t="s">
        <v>5236</v>
      </c>
      <c r="G2916" t="s">
        <v>5237</v>
      </c>
      <c r="H2916" t="s">
        <v>4736</v>
      </c>
      <c r="I2916" t="s">
        <v>4737</v>
      </c>
      <c r="J2916" t="s">
        <v>5238</v>
      </c>
      <c r="K2916" t="s">
        <v>5239</v>
      </c>
      <c r="L2916" t="s">
        <v>5240</v>
      </c>
      <c r="M2916" t="s">
        <v>5241</v>
      </c>
      <c r="N2916" t="s">
        <v>5242</v>
      </c>
      <c r="O2916" t="s">
        <v>5243</v>
      </c>
      <c r="P2916" t="s">
        <v>5244</v>
      </c>
      <c r="Q2916" t="s">
        <v>5245</v>
      </c>
      <c r="R2916" t="s">
        <v>5246</v>
      </c>
      <c r="S2916" t="s">
        <v>5247</v>
      </c>
    </row>
    <row r="2917" spans="1:19" x14ac:dyDescent="0.25">
      <c r="A2917" t="s">
        <v>1345</v>
      </c>
      <c r="B2917">
        <v>56</v>
      </c>
      <c r="C2917" t="s">
        <v>4406</v>
      </c>
      <c r="D2917" t="s">
        <v>4641</v>
      </c>
      <c r="E2917" t="s">
        <v>4584</v>
      </c>
      <c r="F2917" t="s">
        <v>4462</v>
      </c>
      <c r="G2917" t="s">
        <v>4538</v>
      </c>
      <c r="H2917" t="s">
        <v>4406</v>
      </c>
      <c r="I2917" t="s">
        <v>4406</v>
      </c>
      <c r="J2917" t="s">
        <v>4400</v>
      </c>
      <c r="K2917" t="s">
        <v>4522</v>
      </c>
      <c r="L2917" t="s">
        <v>4682</v>
      </c>
      <c r="M2917" t="s">
        <v>4746</v>
      </c>
      <c r="N2917" t="s">
        <v>4522</v>
      </c>
      <c r="O2917" t="s">
        <v>4987</v>
      </c>
      <c r="P2917" t="s">
        <v>5251</v>
      </c>
      <c r="Q2917" t="s">
        <v>5086</v>
      </c>
      <c r="R2917" t="s">
        <v>5086</v>
      </c>
      <c r="S2917" t="s">
        <v>4604</v>
      </c>
    </row>
    <row r="2918" spans="1:19" x14ac:dyDescent="0.25">
      <c r="A2918" t="s">
        <v>1441</v>
      </c>
      <c r="B2918">
        <v>98</v>
      </c>
      <c r="C2918" t="s">
        <v>4406</v>
      </c>
      <c r="D2918" t="s">
        <v>4522</v>
      </c>
      <c r="E2918" t="s">
        <v>4668</v>
      </c>
      <c r="F2918" t="s">
        <v>4609</v>
      </c>
      <c r="G2918" t="s">
        <v>5252</v>
      </c>
      <c r="H2918" t="s">
        <v>4406</v>
      </c>
      <c r="I2918" t="s">
        <v>4406</v>
      </c>
      <c r="J2918" t="s">
        <v>4522</v>
      </c>
      <c r="K2918" t="s">
        <v>4527</v>
      </c>
      <c r="L2918" t="s">
        <v>4708</v>
      </c>
      <c r="M2918" t="s">
        <v>4627</v>
      </c>
      <c r="N2918" t="s">
        <v>4607</v>
      </c>
      <c r="O2918" t="s">
        <v>5064</v>
      </c>
      <c r="P2918" t="s">
        <v>5253</v>
      </c>
      <c r="Q2918" t="s">
        <v>4558</v>
      </c>
      <c r="R2918" t="s">
        <v>4604</v>
      </c>
      <c r="S2918" t="s">
        <v>4614</v>
      </c>
    </row>
    <row r="2919" spans="1:19" x14ac:dyDescent="0.25">
      <c r="A2919" t="s">
        <v>1461</v>
      </c>
      <c r="B2919">
        <v>87</v>
      </c>
      <c r="C2919" t="s">
        <v>4406</v>
      </c>
      <c r="D2919" t="s">
        <v>4527</v>
      </c>
      <c r="E2919" t="s">
        <v>5177</v>
      </c>
      <c r="F2919" t="s">
        <v>5254</v>
      </c>
      <c r="G2919" t="s">
        <v>4441</v>
      </c>
      <c r="H2919" t="s">
        <v>4406</v>
      </c>
      <c r="I2919" t="s">
        <v>4406</v>
      </c>
      <c r="J2919" t="s">
        <v>4999</v>
      </c>
      <c r="K2919" t="s">
        <v>4709</v>
      </c>
      <c r="L2919" t="s">
        <v>4411</v>
      </c>
      <c r="M2919" t="s">
        <v>5255</v>
      </c>
      <c r="N2919" t="s">
        <v>4686</v>
      </c>
      <c r="O2919" t="s">
        <v>4999</v>
      </c>
      <c r="P2919" t="s">
        <v>5256</v>
      </c>
      <c r="Q2919" t="s">
        <v>5257</v>
      </c>
      <c r="R2919" t="s">
        <v>5120</v>
      </c>
      <c r="S2919" t="s">
        <v>4598</v>
      </c>
    </row>
    <row r="2920" spans="1:19" x14ac:dyDescent="0.25">
      <c r="A2920" t="s">
        <v>5554</v>
      </c>
      <c r="B2920">
        <v>8</v>
      </c>
      <c r="C2920" t="s">
        <v>4406</v>
      </c>
      <c r="D2920" t="s">
        <v>4479</v>
      </c>
      <c r="E2920" t="s">
        <v>4462</v>
      </c>
      <c r="F2920" t="s">
        <v>4462</v>
      </c>
      <c r="G2920" t="s">
        <v>4479</v>
      </c>
      <c r="H2920" t="s">
        <v>4406</v>
      </c>
      <c r="I2920" t="s">
        <v>4406</v>
      </c>
      <c r="J2920" t="s">
        <v>4462</v>
      </c>
      <c r="K2920" t="s">
        <v>4462</v>
      </c>
      <c r="L2920" t="s">
        <v>4468</v>
      </c>
      <c r="M2920" t="s">
        <v>4406</v>
      </c>
      <c r="N2920" t="s">
        <v>4479</v>
      </c>
      <c r="O2920" t="s">
        <v>4479</v>
      </c>
      <c r="P2920" t="s">
        <v>4793</v>
      </c>
      <c r="Q2920" t="s">
        <v>4481</v>
      </c>
      <c r="R2920" t="s">
        <v>4481</v>
      </c>
      <c r="S2920" t="s">
        <v>4462</v>
      </c>
    </row>
    <row r="2921" spans="1:19" x14ac:dyDescent="0.25">
      <c r="A2921" t="s">
        <v>1296</v>
      </c>
      <c r="B2921">
        <v>249</v>
      </c>
      <c r="C2921" t="s">
        <v>4406</v>
      </c>
      <c r="D2921" t="s">
        <v>4641</v>
      </c>
      <c r="E2921" t="s">
        <v>4754</v>
      </c>
      <c r="F2921" t="s">
        <v>4515</v>
      </c>
      <c r="G2921" t="s">
        <v>4465</v>
      </c>
      <c r="H2921" t="s">
        <v>4406</v>
      </c>
      <c r="I2921" t="s">
        <v>4406</v>
      </c>
      <c r="J2921" t="s">
        <v>5084</v>
      </c>
      <c r="K2921" t="s">
        <v>4854</v>
      </c>
      <c r="L2921" t="s">
        <v>4500</v>
      </c>
      <c r="M2921" t="s">
        <v>5064</v>
      </c>
      <c r="N2921" t="s">
        <v>5084</v>
      </c>
      <c r="O2921" t="s">
        <v>4849</v>
      </c>
      <c r="P2921" t="s">
        <v>4794</v>
      </c>
      <c r="Q2921" t="s">
        <v>4612</v>
      </c>
      <c r="R2921" t="s">
        <v>4501</v>
      </c>
      <c r="S2921" t="s">
        <v>5127</v>
      </c>
    </row>
    <row r="2923" spans="1:19" x14ac:dyDescent="0.25">
      <c r="A2923" t="s">
        <v>5917</v>
      </c>
    </row>
    <row r="2924" spans="1:19" x14ac:dyDescent="0.25">
      <c r="A2924" t="s">
        <v>903</v>
      </c>
      <c r="B2924" t="s">
        <v>4394</v>
      </c>
      <c r="C2924" t="s">
        <v>4732</v>
      </c>
      <c r="D2924" t="s">
        <v>5234</v>
      </c>
      <c r="E2924" t="s">
        <v>5235</v>
      </c>
      <c r="F2924" t="s">
        <v>5236</v>
      </c>
      <c r="G2924" t="s">
        <v>5237</v>
      </c>
      <c r="H2924" t="s">
        <v>4736</v>
      </c>
      <c r="I2924" t="s">
        <v>4737</v>
      </c>
      <c r="J2924" t="s">
        <v>5238</v>
      </c>
      <c r="K2924" t="s">
        <v>5239</v>
      </c>
      <c r="L2924" t="s">
        <v>5240</v>
      </c>
      <c r="M2924" t="s">
        <v>5241</v>
      </c>
      <c r="N2924" t="s">
        <v>5242</v>
      </c>
      <c r="O2924" t="s">
        <v>5243</v>
      </c>
      <c r="P2924" t="s">
        <v>5244</v>
      </c>
      <c r="Q2924" t="s">
        <v>5245</v>
      </c>
      <c r="R2924" t="s">
        <v>5246</v>
      </c>
      <c r="S2924" t="s">
        <v>5247</v>
      </c>
    </row>
    <row r="2925" spans="1:19" x14ac:dyDescent="0.25">
      <c r="A2925" t="s">
        <v>70</v>
      </c>
      <c r="B2925">
        <v>75</v>
      </c>
      <c r="C2925" t="s">
        <v>4406</v>
      </c>
      <c r="D2925" t="s">
        <v>4501</v>
      </c>
      <c r="E2925" t="s">
        <v>4446</v>
      </c>
      <c r="F2925" t="s">
        <v>4508</v>
      </c>
      <c r="G2925" t="s">
        <v>4501</v>
      </c>
      <c r="H2925" t="s">
        <v>4406</v>
      </c>
      <c r="I2925" t="s">
        <v>4406</v>
      </c>
      <c r="J2925" t="s">
        <v>4657</v>
      </c>
      <c r="K2925" t="s">
        <v>4472</v>
      </c>
      <c r="L2925" t="s">
        <v>4629</v>
      </c>
      <c r="M2925" t="s">
        <v>4614</v>
      </c>
      <c r="N2925" t="s">
        <v>4416</v>
      </c>
      <c r="O2925" t="s">
        <v>4598</v>
      </c>
      <c r="P2925" t="s">
        <v>5079</v>
      </c>
      <c r="Q2925" t="s">
        <v>5153</v>
      </c>
      <c r="R2925" t="s">
        <v>4598</v>
      </c>
      <c r="S2925" t="s">
        <v>4766</v>
      </c>
    </row>
    <row r="2926" spans="1:19" x14ac:dyDescent="0.25">
      <c r="A2926" t="s">
        <v>71</v>
      </c>
      <c r="B2926">
        <v>174</v>
      </c>
      <c r="C2926" t="s">
        <v>4406</v>
      </c>
      <c r="D2926" t="s">
        <v>4686</v>
      </c>
      <c r="E2926" t="s">
        <v>4530</v>
      </c>
      <c r="F2926" t="s">
        <v>5257</v>
      </c>
      <c r="G2926" t="s">
        <v>5222</v>
      </c>
      <c r="H2926" t="s">
        <v>4406</v>
      </c>
      <c r="I2926" t="s">
        <v>4406</v>
      </c>
      <c r="J2926" t="s">
        <v>4681</v>
      </c>
      <c r="K2926" t="s">
        <v>4632</v>
      </c>
      <c r="L2926" t="s">
        <v>5248</v>
      </c>
      <c r="M2926" t="s">
        <v>4850</v>
      </c>
      <c r="N2926" t="s">
        <v>4459</v>
      </c>
      <c r="O2926" t="s">
        <v>4654</v>
      </c>
      <c r="P2926" t="s">
        <v>5085</v>
      </c>
      <c r="Q2926" t="s">
        <v>5074</v>
      </c>
      <c r="R2926" t="s">
        <v>4411</v>
      </c>
      <c r="S2926" t="s">
        <v>5074</v>
      </c>
    </row>
    <row r="2927" spans="1:19" x14ac:dyDescent="0.25">
      <c r="A2927" t="s">
        <v>1296</v>
      </c>
      <c r="B2927">
        <v>249</v>
      </c>
      <c r="C2927" t="s">
        <v>4406</v>
      </c>
      <c r="D2927" t="s">
        <v>4641</v>
      </c>
      <c r="E2927" t="s">
        <v>4754</v>
      </c>
      <c r="F2927" t="s">
        <v>4515</v>
      </c>
      <c r="G2927" t="s">
        <v>4465</v>
      </c>
      <c r="H2927" t="s">
        <v>4406</v>
      </c>
      <c r="I2927" t="s">
        <v>4406</v>
      </c>
      <c r="J2927" t="s">
        <v>5084</v>
      </c>
      <c r="K2927" t="s">
        <v>4854</v>
      </c>
      <c r="L2927" t="s">
        <v>4500</v>
      </c>
      <c r="M2927" t="s">
        <v>5064</v>
      </c>
      <c r="N2927" t="s">
        <v>5084</v>
      </c>
      <c r="O2927" t="s">
        <v>4849</v>
      </c>
      <c r="P2927" t="s">
        <v>4794</v>
      </c>
      <c r="Q2927" t="s">
        <v>4612</v>
      </c>
      <c r="R2927" t="s">
        <v>4501</v>
      </c>
      <c r="S2927" t="s">
        <v>5127</v>
      </c>
    </row>
    <row r="2929" spans="1:11" x14ac:dyDescent="0.25">
      <c r="A2929" t="s">
        <v>5265</v>
      </c>
    </row>
    <row r="2930" spans="1:11" x14ac:dyDescent="0.25">
      <c r="A2930" t="s">
        <v>4394</v>
      </c>
      <c r="B2930" t="s">
        <v>109</v>
      </c>
      <c r="C2930" t="s">
        <v>192</v>
      </c>
    </row>
    <row r="2931" spans="1:11" x14ac:dyDescent="0.25">
      <c r="A2931">
        <v>297</v>
      </c>
      <c r="B2931" t="s">
        <v>4592</v>
      </c>
      <c r="C2931" t="s">
        <v>4855</v>
      </c>
    </row>
    <row r="2933" spans="1:11" x14ac:dyDescent="0.25">
      <c r="A2933" t="s">
        <v>5505</v>
      </c>
    </row>
    <row r="2934" spans="1:11" x14ac:dyDescent="0.25">
      <c r="A2934" t="s">
        <v>1297</v>
      </c>
      <c r="B2934" t="s">
        <v>4394</v>
      </c>
      <c r="C2934" t="s">
        <v>1336</v>
      </c>
      <c r="D2934" t="s">
        <v>1526</v>
      </c>
      <c r="E2934" t="s">
        <v>1368</v>
      </c>
    </row>
    <row r="2935" spans="1:11" x14ac:dyDescent="0.25">
      <c r="A2935" t="s">
        <v>5549</v>
      </c>
      <c r="B2935">
        <v>198</v>
      </c>
      <c r="C2935" t="s">
        <v>5214</v>
      </c>
      <c r="D2935" t="s">
        <v>4606</v>
      </c>
      <c r="E2935" t="s">
        <v>4882</v>
      </c>
    </row>
    <row r="2936" spans="1:11" x14ac:dyDescent="0.25">
      <c r="A2936" t="s">
        <v>1397</v>
      </c>
      <c r="B2936">
        <v>99</v>
      </c>
      <c r="C2936" t="s">
        <v>5147</v>
      </c>
      <c r="D2936" t="s">
        <v>5054</v>
      </c>
      <c r="E2936" t="s">
        <v>4405</v>
      </c>
    </row>
    <row r="2937" spans="1:11" x14ac:dyDescent="0.25">
      <c r="A2937" t="s">
        <v>1296</v>
      </c>
      <c r="B2937">
        <v>297</v>
      </c>
      <c r="C2937" t="s">
        <v>4562</v>
      </c>
      <c r="D2937" t="s">
        <v>5118</v>
      </c>
      <c r="E2937" t="s">
        <v>4759</v>
      </c>
    </row>
    <row r="2939" spans="1:11" x14ac:dyDescent="0.25">
      <c r="A2939" t="s">
        <v>5918</v>
      </c>
    </row>
    <row r="2940" spans="1:11" x14ac:dyDescent="0.25">
      <c r="A2940" t="s">
        <v>1297</v>
      </c>
      <c r="B2940" t="s">
        <v>4394</v>
      </c>
      <c r="C2940" t="s">
        <v>4732</v>
      </c>
      <c r="D2940" t="s">
        <v>5266</v>
      </c>
      <c r="E2940" t="s">
        <v>5267</v>
      </c>
      <c r="F2940" t="s">
        <v>4736</v>
      </c>
      <c r="G2940" t="s">
        <v>4737</v>
      </c>
      <c r="H2940" t="s">
        <v>5268</v>
      </c>
      <c r="I2940" t="s">
        <v>5269</v>
      </c>
      <c r="J2940" t="s">
        <v>5270</v>
      </c>
      <c r="K2940" t="s">
        <v>5271</v>
      </c>
    </row>
    <row r="2941" spans="1:11" x14ac:dyDescent="0.25">
      <c r="A2941" t="s">
        <v>5549</v>
      </c>
      <c r="B2941">
        <v>198</v>
      </c>
      <c r="C2941" t="s">
        <v>4406</v>
      </c>
      <c r="D2941" t="s">
        <v>4454</v>
      </c>
      <c r="E2941" t="s">
        <v>4402</v>
      </c>
      <c r="F2941" t="s">
        <v>4406</v>
      </c>
      <c r="G2941" t="s">
        <v>4406</v>
      </c>
      <c r="H2941" t="s">
        <v>5272</v>
      </c>
      <c r="I2941" t="s">
        <v>4539</v>
      </c>
      <c r="J2941" t="s">
        <v>4405</v>
      </c>
      <c r="K2941" t="s">
        <v>4741</v>
      </c>
    </row>
    <row r="2942" spans="1:11" x14ac:dyDescent="0.25">
      <c r="A2942" t="s">
        <v>1397</v>
      </c>
      <c r="B2942">
        <v>97</v>
      </c>
      <c r="C2942" t="s">
        <v>4406</v>
      </c>
      <c r="D2942" t="s">
        <v>5161</v>
      </c>
      <c r="E2942" t="s">
        <v>4402</v>
      </c>
      <c r="F2942" t="s">
        <v>4406</v>
      </c>
      <c r="G2942" t="s">
        <v>4406</v>
      </c>
      <c r="H2942" t="s">
        <v>5085</v>
      </c>
      <c r="I2942" t="s">
        <v>4759</v>
      </c>
      <c r="J2942" t="s">
        <v>4516</v>
      </c>
      <c r="K2942" t="s">
        <v>4957</v>
      </c>
    </row>
    <row r="2943" spans="1:11" x14ac:dyDescent="0.25">
      <c r="A2943" t="s">
        <v>1296</v>
      </c>
      <c r="B2943">
        <v>295</v>
      </c>
      <c r="C2943" t="s">
        <v>4406</v>
      </c>
      <c r="D2943" t="s">
        <v>5273</v>
      </c>
      <c r="E2943" t="s">
        <v>4402</v>
      </c>
      <c r="F2943" t="s">
        <v>4406</v>
      </c>
      <c r="G2943" t="s">
        <v>4406</v>
      </c>
      <c r="H2943" t="s">
        <v>5274</v>
      </c>
      <c r="I2943" t="s">
        <v>4859</v>
      </c>
      <c r="J2943" t="s">
        <v>4824</v>
      </c>
      <c r="K2943" t="s">
        <v>4558</v>
      </c>
    </row>
    <row r="2945" spans="1:11" x14ac:dyDescent="0.25">
      <c r="A2945" t="s">
        <v>5919</v>
      </c>
    </row>
    <row r="2946" spans="1:11" x14ac:dyDescent="0.25">
      <c r="A2946" t="s">
        <v>906</v>
      </c>
      <c r="B2946" t="s">
        <v>4394</v>
      </c>
      <c r="C2946" t="s">
        <v>4732</v>
      </c>
      <c r="D2946" t="s">
        <v>5266</v>
      </c>
      <c r="E2946" t="s">
        <v>5267</v>
      </c>
      <c r="F2946" t="s">
        <v>4736</v>
      </c>
      <c r="G2946" t="s">
        <v>4737</v>
      </c>
      <c r="H2946" t="s">
        <v>5268</v>
      </c>
      <c r="I2946" t="s">
        <v>5269</v>
      </c>
      <c r="J2946" t="s">
        <v>5270</v>
      </c>
      <c r="K2946" t="s">
        <v>5271</v>
      </c>
    </row>
    <row r="2947" spans="1:11" x14ac:dyDescent="0.25">
      <c r="A2947" t="s">
        <v>1338</v>
      </c>
      <c r="B2947">
        <v>46</v>
      </c>
      <c r="C2947" t="s">
        <v>4406</v>
      </c>
      <c r="D2947" t="s">
        <v>4454</v>
      </c>
      <c r="E2947" t="s">
        <v>4581</v>
      </c>
      <c r="F2947" t="s">
        <v>4406</v>
      </c>
      <c r="G2947" t="s">
        <v>4406</v>
      </c>
      <c r="H2947" t="s">
        <v>4971</v>
      </c>
      <c r="I2947" t="s">
        <v>4549</v>
      </c>
      <c r="J2947" t="s">
        <v>4670</v>
      </c>
      <c r="K2947" t="s">
        <v>4670</v>
      </c>
    </row>
    <row r="2948" spans="1:11" x14ac:dyDescent="0.25">
      <c r="A2948" t="s">
        <v>1370</v>
      </c>
      <c r="B2948">
        <v>33</v>
      </c>
      <c r="C2948" t="s">
        <v>4406</v>
      </c>
      <c r="D2948" t="s">
        <v>4454</v>
      </c>
      <c r="E2948" t="s">
        <v>4406</v>
      </c>
      <c r="F2948" t="s">
        <v>4406</v>
      </c>
      <c r="G2948" t="s">
        <v>4406</v>
      </c>
      <c r="H2948" t="s">
        <v>5002</v>
      </c>
      <c r="I2948" t="s">
        <v>4863</v>
      </c>
      <c r="J2948" t="s">
        <v>4741</v>
      </c>
      <c r="K2948" t="s">
        <v>4532</v>
      </c>
    </row>
    <row r="2949" spans="1:11" x14ac:dyDescent="0.25">
      <c r="A2949" t="s">
        <v>1439</v>
      </c>
      <c r="B2949">
        <v>20</v>
      </c>
      <c r="C2949" t="s">
        <v>4406</v>
      </c>
      <c r="D2949" t="s">
        <v>4454</v>
      </c>
      <c r="E2949" t="s">
        <v>4406</v>
      </c>
      <c r="F2949" t="s">
        <v>4406</v>
      </c>
      <c r="G2949" t="s">
        <v>4406</v>
      </c>
      <c r="H2949" t="s">
        <v>5027</v>
      </c>
      <c r="I2949" t="s">
        <v>4643</v>
      </c>
      <c r="J2949" t="s">
        <v>4472</v>
      </c>
      <c r="K2949" t="s">
        <v>4472</v>
      </c>
    </row>
    <row r="2950" spans="1:11" x14ac:dyDescent="0.25">
      <c r="A2950" t="s">
        <v>1476</v>
      </c>
      <c r="B2950">
        <v>71</v>
      </c>
      <c r="C2950" t="s">
        <v>4406</v>
      </c>
      <c r="D2950" t="s">
        <v>4454</v>
      </c>
      <c r="E2950" t="s">
        <v>4406</v>
      </c>
      <c r="F2950" t="s">
        <v>4406</v>
      </c>
      <c r="G2950" t="s">
        <v>4406</v>
      </c>
      <c r="H2950" t="s">
        <v>5275</v>
      </c>
      <c r="I2950" t="s">
        <v>4414</v>
      </c>
      <c r="J2950" t="s">
        <v>4524</v>
      </c>
      <c r="K2950" t="s">
        <v>4824</v>
      </c>
    </row>
    <row r="2951" spans="1:11" x14ac:dyDescent="0.25">
      <c r="A2951" t="s">
        <v>5476</v>
      </c>
      <c r="B2951">
        <v>6</v>
      </c>
      <c r="C2951" t="s">
        <v>4406</v>
      </c>
      <c r="D2951" t="s">
        <v>4454</v>
      </c>
      <c r="E2951" t="s">
        <v>4406</v>
      </c>
      <c r="F2951" t="s">
        <v>4406</v>
      </c>
      <c r="G2951" t="s">
        <v>4406</v>
      </c>
      <c r="H2951" t="s">
        <v>4468</v>
      </c>
      <c r="I2951" t="s">
        <v>4596</v>
      </c>
      <c r="J2951" t="s">
        <v>4468</v>
      </c>
      <c r="K2951" t="s">
        <v>4596</v>
      </c>
    </row>
    <row r="2952" spans="1:11" x14ac:dyDescent="0.25">
      <c r="A2952" t="s">
        <v>1399</v>
      </c>
      <c r="B2952">
        <v>43</v>
      </c>
      <c r="C2952" t="s">
        <v>4406</v>
      </c>
      <c r="D2952" t="s">
        <v>5276</v>
      </c>
      <c r="E2952" t="s">
        <v>4753</v>
      </c>
      <c r="F2952" t="s">
        <v>4406</v>
      </c>
      <c r="G2952" t="s">
        <v>4406</v>
      </c>
      <c r="H2952" t="s">
        <v>5210</v>
      </c>
      <c r="I2952" t="s">
        <v>5065</v>
      </c>
      <c r="J2952" t="s">
        <v>4523</v>
      </c>
      <c r="K2952" t="s">
        <v>4523</v>
      </c>
    </row>
    <row r="2953" spans="1:11" x14ac:dyDescent="0.25">
      <c r="A2953" t="s">
        <v>1415</v>
      </c>
      <c r="B2953">
        <v>76</v>
      </c>
      <c r="C2953" t="s">
        <v>4406</v>
      </c>
      <c r="D2953" t="s">
        <v>4454</v>
      </c>
      <c r="E2953" t="s">
        <v>4659</v>
      </c>
      <c r="F2953" t="s">
        <v>4406</v>
      </c>
      <c r="G2953" t="s">
        <v>4406</v>
      </c>
      <c r="H2953" t="s">
        <v>4830</v>
      </c>
      <c r="I2953" t="s">
        <v>4591</v>
      </c>
      <c r="J2953" t="s">
        <v>4715</v>
      </c>
      <c r="K2953" t="s">
        <v>4527</v>
      </c>
    </row>
    <row r="2954" spans="1:11" x14ac:dyDescent="0.25">
      <c r="A2954" t="s">
        <v>1296</v>
      </c>
      <c r="B2954">
        <v>295</v>
      </c>
      <c r="C2954" t="s">
        <v>4406</v>
      </c>
      <c r="D2954" t="s">
        <v>5273</v>
      </c>
      <c r="E2954" t="s">
        <v>4402</v>
      </c>
      <c r="F2954" t="s">
        <v>4406</v>
      </c>
      <c r="G2954" t="s">
        <v>4406</v>
      </c>
      <c r="H2954" t="s">
        <v>5274</v>
      </c>
      <c r="I2954" t="s">
        <v>4859</v>
      </c>
      <c r="J2954" t="s">
        <v>4824</v>
      </c>
      <c r="K2954" t="s">
        <v>4558</v>
      </c>
    </row>
    <row r="2956" spans="1:11" x14ac:dyDescent="0.25">
      <c r="A2956" t="s">
        <v>5920</v>
      </c>
    </row>
    <row r="2957" spans="1:11" x14ac:dyDescent="0.25">
      <c r="A2957" t="s">
        <v>907</v>
      </c>
      <c r="B2957" t="s">
        <v>4394</v>
      </c>
      <c r="C2957" t="s">
        <v>4732</v>
      </c>
      <c r="D2957" t="s">
        <v>5266</v>
      </c>
      <c r="E2957" t="s">
        <v>5267</v>
      </c>
      <c r="F2957" t="s">
        <v>4736</v>
      </c>
      <c r="G2957" t="s">
        <v>4737</v>
      </c>
      <c r="H2957" t="s">
        <v>5268</v>
      </c>
      <c r="I2957" t="s">
        <v>5269</v>
      </c>
      <c r="J2957" t="s">
        <v>5270</v>
      </c>
      <c r="K2957" t="s">
        <v>5271</v>
      </c>
    </row>
    <row r="2958" spans="1:11" x14ac:dyDescent="0.25">
      <c r="A2958" t="s">
        <v>109</v>
      </c>
      <c r="B2958">
        <v>255</v>
      </c>
      <c r="C2958" t="s">
        <v>4406</v>
      </c>
      <c r="D2958" t="s">
        <v>5277</v>
      </c>
      <c r="E2958" t="s">
        <v>4422</v>
      </c>
      <c r="F2958" t="s">
        <v>4406</v>
      </c>
      <c r="G2958" t="s">
        <v>4406</v>
      </c>
      <c r="H2958" t="s">
        <v>5278</v>
      </c>
      <c r="I2958" t="s">
        <v>4459</v>
      </c>
      <c r="J2958" t="s">
        <v>4614</v>
      </c>
      <c r="K2958" t="s">
        <v>4558</v>
      </c>
    </row>
    <row r="2959" spans="1:11" x14ac:dyDescent="0.25">
      <c r="A2959" t="s">
        <v>192</v>
      </c>
      <c r="B2959">
        <v>40</v>
      </c>
      <c r="C2959" t="s">
        <v>4406</v>
      </c>
      <c r="D2959" t="s">
        <v>4454</v>
      </c>
      <c r="E2959" t="s">
        <v>4406</v>
      </c>
      <c r="F2959" t="s">
        <v>4406</v>
      </c>
      <c r="G2959" t="s">
        <v>4406</v>
      </c>
      <c r="H2959" t="s">
        <v>5027</v>
      </c>
      <c r="I2959" t="s">
        <v>4650</v>
      </c>
      <c r="J2959" t="s">
        <v>4462</v>
      </c>
      <c r="K2959" t="s">
        <v>4480</v>
      </c>
    </row>
    <row r="2960" spans="1:11" x14ac:dyDescent="0.25">
      <c r="A2960" t="s">
        <v>1296</v>
      </c>
      <c r="B2960">
        <v>295</v>
      </c>
      <c r="C2960" t="s">
        <v>4406</v>
      </c>
      <c r="D2960" t="s">
        <v>5273</v>
      </c>
      <c r="E2960" t="s">
        <v>4402</v>
      </c>
      <c r="F2960" t="s">
        <v>4406</v>
      </c>
      <c r="G2960" t="s">
        <v>4406</v>
      </c>
      <c r="H2960" t="s">
        <v>5274</v>
      </c>
      <c r="I2960" t="s">
        <v>4859</v>
      </c>
      <c r="J2960" t="s">
        <v>4824</v>
      </c>
      <c r="K2960" t="s">
        <v>4558</v>
      </c>
    </row>
    <row r="2962" spans="1:11" x14ac:dyDescent="0.25">
      <c r="A2962" t="s">
        <v>5921</v>
      </c>
    </row>
    <row r="2963" spans="1:11" x14ac:dyDescent="0.25">
      <c r="A2963" t="s">
        <v>1295</v>
      </c>
      <c r="B2963" t="s">
        <v>4394</v>
      </c>
      <c r="C2963" t="s">
        <v>4732</v>
      </c>
      <c r="D2963" t="s">
        <v>5266</v>
      </c>
      <c r="E2963" t="s">
        <v>5267</v>
      </c>
      <c r="F2963" t="s">
        <v>4736</v>
      </c>
      <c r="G2963" t="s">
        <v>4737</v>
      </c>
      <c r="H2963" t="s">
        <v>5268</v>
      </c>
      <c r="I2963" t="s">
        <v>5269</v>
      </c>
      <c r="J2963" t="s">
        <v>5270</v>
      </c>
      <c r="K2963" t="s">
        <v>5271</v>
      </c>
    </row>
    <row r="2964" spans="1:11" x14ac:dyDescent="0.25">
      <c r="A2964" t="s">
        <v>4395</v>
      </c>
      <c r="B2964">
        <v>31</v>
      </c>
      <c r="C2964" t="s">
        <v>4406</v>
      </c>
      <c r="D2964" t="s">
        <v>4454</v>
      </c>
      <c r="E2964" t="s">
        <v>4406</v>
      </c>
      <c r="F2964" t="s">
        <v>4406</v>
      </c>
      <c r="G2964" t="s">
        <v>4406</v>
      </c>
      <c r="H2964" t="s">
        <v>4969</v>
      </c>
      <c r="I2964" t="s">
        <v>4564</v>
      </c>
      <c r="J2964" t="s">
        <v>4670</v>
      </c>
      <c r="K2964" t="s">
        <v>5263</v>
      </c>
    </row>
    <row r="2965" spans="1:11" x14ac:dyDescent="0.25">
      <c r="A2965" t="s">
        <v>4396</v>
      </c>
      <c r="B2965">
        <v>169</v>
      </c>
      <c r="C2965" t="s">
        <v>4406</v>
      </c>
      <c r="D2965" t="s">
        <v>4454</v>
      </c>
      <c r="E2965" t="s">
        <v>4422</v>
      </c>
      <c r="F2965" t="s">
        <v>4406</v>
      </c>
      <c r="G2965" t="s">
        <v>4406</v>
      </c>
      <c r="H2965" t="s">
        <v>5279</v>
      </c>
      <c r="I2965" t="s">
        <v>4663</v>
      </c>
      <c r="J2965" t="s">
        <v>5074</v>
      </c>
      <c r="K2965" t="s">
        <v>4626</v>
      </c>
    </row>
    <row r="2966" spans="1:11" x14ac:dyDescent="0.25">
      <c r="A2966" t="s">
        <v>4397</v>
      </c>
      <c r="B2966">
        <v>2</v>
      </c>
      <c r="C2966" t="s">
        <v>4406</v>
      </c>
      <c r="D2966" t="s">
        <v>4454</v>
      </c>
      <c r="E2966" t="s">
        <v>4406</v>
      </c>
      <c r="F2966" t="s">
        <v>4406</v>
      </c>
      <c r="G2966" t="s">
        <v>4406</v>
      </c>
      <c r="H2966" t="s">
        <v>4454</v>
      </c>
      <c r="I2966" t="s">
        <v>4406</v>
      </c>
      <c r="J2966" t="s">
        <v>4406</v>
      </c>
      <c r="K2966" t="s">
        <v>4406</v>
      </c>
    </row>
    <row r="2967" spans="1:11" x14ac:dyDescent="0.25">
      <c r="A2967" t="s">
        <v>4398</v>
      </c>
      <c r="B2967">
        <v>91</v>
      </c>
      <c r="C2967" t="s">
        <v>4406</v>
      </c>
      <c r="D2967" t="s">
        <v>5280</v>
      </c>
      <c r="E2967" t="s">
        <v>4825</v>
      </c>
      <c r="F2967" t="s">
        <v>4406</v>
      </c>
      <c r="G2967" t="s">
        <v>4406</v>
      </c>
      <c r="H2967" t="s">
        <v>5281</v>
      </c>
      <c r="I2967" t="s">
        <v>4616</v>
      </c>
      <c r="J2967" t="s">
        <v>4616</v>
      </c>
      <c r="K2967" t="s">
        <v>5282</v>
      </c>
    </row>
    <row r="2968" spans="1:11" x14ac:dyDescent="0.25">
      <c r="A2968" t="s">
        <v>4399</v>
      </c>
      <c r="B2968">
        <v>2</v>
      </c>
      <c r="C2968" t="s">
        <v>4406</v>
      </c>
      <c r="D2968" t="s">
        <v>4454</v>
      </c>
      <c r="E2968" t="s">
        <v>4406</v>
      </c>
      <c r="F2968" t="s">
        <v>4406</v>
      </c>
      <c r="G2968" t="s">
        <v>4406</v>
      </c>
      <c r="H2968" t="s">
        <v>4468</v>
      </c>
      <c r="I2968" t="s">
        <v>4406</v>
      </c>
      <c r="J2968" t="s">
        <v>4468</v>
      </c>
      <c r="K2968" t="s">
        <v>4468</v>
      </c>
    </row>
    <row r="2969" spans="1:11" x14ac:dyDescent="0.25">
      <c r="A2969" t="s">
        <v>1296</v>
      </c>
      <c r="B2969">
        <v>295</v>
      </c>
      <c r="C2969" t="s">
        <v>4406</v>
      </c>
      <c r="D2969" t="s">
        <v>5273</v>
      </c>
      <c r="E2969" t="s">
        <v>4402</v>
      </c>
      <c r="F2969" t="s">
        <v>4406</v>
      </c>
      <c r="G2969" t="s">
        <v>4406</v>
      </c>
      <c r="H2969" t="s">
        <v>5274</v>
      </c>
      <c r="I2969" t="s">
        <v>4859</v>
      </c>
      <c r="J2969" t="s">
        <v>4824</v>
      </c>
      <c r="K2969" t="s">
        <v>4558</v>
      </c>
    </row>
    <row r="2971" spans="1:11" x14ac:dyDescent="0.25">
      <c r="A2971" t="s">
        <v>5922</v>
      </c>
    </row>
    <row r="2972" spans="1:11" x14ac:dyDescent="0.25">
      <c r="A2972" t="s">
        <v>903</v>
      </c>
      <c r="B2972" t="s">
        <v>4394</v>
      </c>
      <c r="C2972" t="s">
        <v>4732</v>
      </c>
      <c r="D2972" t="s">
        <v>5266</v>
      </c>
      <c r="E2972" t="s">
        <v>5267</v>
      </c>
      <c r="F2972" t="s">
        <v>4736</v>
      </c>
      <c r="G2972" t="s">
        <v>4737</v>
      </c>
      <c r="H2972" t="s">
        <v>5268</v>
      </c>
      <c r="I2972" t="s">
        <v>5269</v>
      </c>
      <c r="J2972" t="s">
        <v>5270</v>
      </c>
      <c r="K2972" t="s">
        <v>5271</v>
      </c>
    </row>
    <row r="2973" spans="1:11" x14ac:dyDescent="0.25">
      <c r="A2973" t="s">
        <v>70</v>
      </c>
      <c r="B2973">
        <v>85</v>
      </c>
      <c r="C2973" t="s">
        <v>4406</v>
      </c>
      <c r="D2973" t="s">
        <v>4454</v>
      </c>
      <c r="E2973" t="s">
        <v>4406</v>
      </c>
      <c r="F2973" t="s">
        <v>4406</v>
      </c>
      <c r="G2973" t="s">
        <v>4406</v>
      </c>
      <c r="H2973" t="s">
        <v>5001</v>
      </c>
      <c r="I2973" t="s">
        <v>4423</v>
      </c>
      <c r="J2973" t="s">
        <v>4959</v>
      </c>
      <c r="K2973" t="s">
        <v>4472</v>
      </c>
    </row>
    <row r="2974" spans="1:11" x14ac:dyDescent="0.25">
      <c r="A2974" t="s">
        <v>71</v>
      </c>
      <c r="B2974">
        <v>210</v>
      </c>
      <c r="C2974" t="s">
        <v>4406</v>
      </c>
      <c r="D2974" t="s">
        <v>5283</v>
      </c>
      <c r="E2974" t="s">
        <v>4750</v>
      </c>
      <c r="F2974" t="s">
        <v>4406</v>
      </c>
      <c r="G2974" t="s">
        <v>4406</v>
      </c>
      <c r="H2974" t="s">
        <v>5284</v>
      </c>
      <c r="I2974" t="s">
        <v>4863</v>
      </c>
      <c r="J2974" t="s">
        <v>4785</v>
      </c>
      <c r="K2974" t="s">
        <v>5039</v>
      </c>
    </row>
    <row r="2975" spans="1:11" x14ac:dyDescent="0.25">
      <c r="A2975" t="s">
        <v>1296</v>
      </c>
      <c r="B2975">
        <v>295</v>
      </c>
      <c r="C2975" t="s">
        <v>4406</v>
      </c>
      <c r="D2975" t="s">
        <v>5273</v>
      </c>
      <c r="E2975" t="s">
        <v>4402</v>
      </c>
      <c r="F2975" t="s">
        <v>4406</v>
      </c>
      <c r="G2975" t="s">
        <v>4406</v>
      </c>
      <c r="H2975" t="s">
        <v>5274</v>
      </c>
      <c r="I2975" t="s">
        <v>4859</v>
      </c>
      <c r="J2975" t="s">
        <v>4824</v>
      </c>
      <c r="K2975" t="s">
        <v>4558</v>
      </c>
    </row>
    <row r="2977" spans="1:6" x14ac:dyDescent="0.25">
      <c r="A2977" t="s">
        <v>5506</v>
      </c>
    </row>
    <row r="2978" spans="1:6" x14ac:dyDescent="0.25">
      <c r="A2978" t="s">
        <v>4394</v>
      </c>
      <c r="B2978" t="s">
        <v>5478</v>
      </c>
      <c r="C2978" t="s">
        <v>5479</v>
      </c>
    </row>
    <row r="2979" spans="1:6" x14ac:dyDescent="0.25">
      <c r="A2979">
        <v>297</v>
      </c>
      <c r="B2979" t="s">
        <v>5008</v>
      </c>
      <c r="C2979" t="s">
        <v>4701</v>
      </c>
    </row>
    <row r="2981" spans="1:6" x14ac:dyDescent="0.25">
      <c r="A2981" t="s">
        <v>5923</v>
      </c>
    </row>
    <row r="2982" spans="1:6" x14ac:dyDescent="0.25">
      <c r="A2982" t="s">
        <v>1297</v>
      </c>
      <c r="B2982" t="s">
        <v>4394</v>
      </c>
      <c r="C2982" t="s">
        <v>4732</v>
      </c>
      <c r="D2982" t="s">
        <v>109</v>
      </c>
      <c r="E2982" t="s">
        <v>4737</v>
      </c>
      <c r="F2982" t="s">
        <v>192</v>
      </c>
    </row>
    <row r="2983" spans="1:6" x14ac:dyDescent="0.25">
      <c r="A2983" t="s">
        <v>5549</v>
      </c>
      <c r="B2983">
        <v>198</v>
      </c>
      <c r="C2983" t="s">
        <v>4741</v>
      </c>
      <c r="D2983" t="s">
        <v>4468</v>
      </c>
      <c r="E2983" t="s">
        <v>4404</v>
      </c>
      <c r="F2983" t="s">
        <v>4719</v>
      </c>
    </row>
    <row r="2984" spans="1:6" x14ac:dyDescent="0.25">
      <c r="A2984" t="s">
        <v>1397</v>
      </c>
      <c r="B2984">
        <v>99</v>
      </c>
      <c r="C2984" t="s">
        <v>4676</v>
      </c>
      <c r="D2984" t="s">
        <v>4540</v>
      </c>
      <c r="E2984" t="s">
        <v>4406</v>
      </c>
      <c r="F2984" t="s">
        <v>4520</v>
      </c>
    </row>
    <row r="2985" spans="1:6" x14ac:dyDescent="0.25">
      <c r="A2985" t="s">
        <v>1296</v>
      </c>
      <c r="B2985">
        <v>297</v>
      </c>
      <c r="C2985" t="s">
        <v>4705</v>
      </c>
      <c r="D2985" t="s">
        <v>4595</v>
      </c>
      <c r="E2985" t="s">
        <v>4808</v>
      </c>
      <c r="F2985" t="s">
        <v>4807</v>
      </c>
    </row>
    <row r="2987" spans="1:6" x14ac:dyDescent="0.25">
      <c r="A2987" t="s">
        <v>5924</v>
      </c>
    </row>
    <row r="2988" spans="1:6" x14ac:dyDescent="0.25">
      <c r="A2988" t="s">
        <v>905</v>
      </c>
      <c r="B2988" t="s">
        <v>4394</v>
      </c>
      <c r="C2988" t="s">
        <v>4732</v>
      </c>
      <c r="D2988" t="s">
        <v>109</v>
      </c>
      <c r="E2988" t="s">
        <v>4737</v>
      </c>
      <c r="F2988" t="s">
        <v>192</v>
      </c>
    </row>
    <row r="2989" spans="1:6" x14ac:dyDescent="0.25">
      <c r="A2989" t="s">
        <v>4844</v>
      </c>
      <c r="B2989">
        <v>36</v>
      </c>
      <c r="C2989" t="s">
        <v>4649</v>
      </c>
      <c r="D2989" t="s">
        <v>5219</v>
      </c>
      <c r="E2989" t="s">
        <v>4649</v>
      </c>
      <c r="F2989" t="s">
        <v>5219</v>
      </c>
    </row>
    <row r="2990" spans="1:6" x14ac:dyDescent="0.25">
      <c r="A2990" t="s">
        <v>4845</v>
      </c>
      <c r="B2990">
        <v>230</v>
      </c>
      <c r="C2990" t="s">
        <v>4403</v>
      </c>
      <c r="D2990" t="s">
        <v>5114</v>
      </c>
      <c r="E2990" t="s">
        <v>4406</v>
      </c>
      <c r="F2990" t="s">
        <v>4712</v>
      </c>
    </row>
    <row r="2991" spans="1:6" x14ac:dyDescent="0.25">
      <c r="A2991" t="s">
        <v>4846</v>
      </c>
      <c r="B2991">
        <v>31</v>
      </c>
      <c r="C2991" t="s">
        <v>4406</v>
      </c>
      <c r="D2991" t="s">
        <v>4577</v>
      </c>
      <c r="E2991" t="s">
        <v>4406</v>
      </c>
      <c r="F2991" t="s">
        <v>4862</v>
      </c>
    </row>
    <row r="2992" spans="1:6" x14ac:dyDescent="0.25">
      <c r="A2992" t="s">
        <v>1296</v>
      </c>
      <c r="B2992">
        <v>297</v>
      </c>
      <c r="C2992" t="s">
        <v>4705</v>
      </c>
      <c r="D2992" t="s">
        <v>4595</v>
      </c>
      <c r="E2992" t="s">
        <v>4808</v>
      </c>
      <c r="F2992" t="s">
        <v>4807</v>
      </c>
    </row>
    <row r="2994" spans="1:6" x14ac:dyDescent="0.25">
      <c r="A2994" t="s">
        <v>5925</v>
      </c>
    </row>
    <row r="2995" spans="1:6" x14ac:dyDescent="0.25">
      <c r="A2995" t="s">
        <v>906</v>
      </c>
      <c r="B2995" t="s">
        <v>4394</v>
      </c>
      <c r="C2995" t="s">
        <v>4732</v>
      </c>
      <c r="D2995" t="s">
        <v>109</v>
      </c>
      <c r="E2995" t="s">
        <v>4737</v>
      </c>
      <c r="F2995" t="s">
        <v>192</v>
      </c>
    </row>
    <row r="2996" spans="1:6" x14ac:dyDescent="0.25">
      <c r="A2996" t="s">
        <v>1338</v>
      </c>
      <c r="B2996">
        <v>46</v>
      </c>
      <c r="C2996" t="s">
        <v>4667</v>
      </c>
      <c r="D2996" t="s">
        <v>4786</v>
      </c>
      <c r="E2996" t="s">
        <v>4581</v>
      </c>
      <c r="F2996" t="s">
        <v>4468</v>
      </c>
    </row>
    <row r="2997" spans="1:6" x14ac:dyDescent="0.25">
      <c r="A2997" t="s">
        <v>1370</v>
      </c>
      <c r="B2997">
        <v>33</v>
      </c>
      <c r="C2997" t="s">
        <v>4863</v>
      </c>
      <c r="D2997" t="s">
        <v>5055</v>
      </c>
      <c r="E2997" t="s">
        <v>4406</v>
      </c>
      <c r="F2997" t="s">
        <v>4451</v>
      </c>
    </row>
    <row r="2998" spans="1:6" x14ac:dyDescent="0.25">
      <c r="A2998" t="s">
        <v>1439</v>
      </c>
      <c r="B2998">
        <v>21</v>
      </c>
      <c r="C2998" t="s">
        <v>4675</v>
      </c>
      <c r="D2998" t="s">
        <v>5285</v>
      </c>
      <c r="E2998" t="s">
        <v>4406</v>
      </c>
      <c r="F2998" t="s">
        <v>4450</v>
      </c>
    </row>
    <row r="2999" spans="1:6" x14ac:dyDescent="0.25">
      <c r="A2999" t="s">
        <v>1476</v>
      </c>
      <c r="B2999">
        <v>71</v>
      </c>
      <c r="C2999" t="s">
        <v>4861</v>
      </c>
      <c r="D2999" t="s">
        <v>5119</v>
      </c>
      <c r="E2999" t="s">
        <v>4406</v>
      </c>
      <c r="F2999" t="s">
        <v>4669</v>
      </c>
    </row>
    <row r="3000" spans="1:6" x14ac:dyDescent="0.25">
      <c r="A3000" t="s">
        <v>5476</v>
      </c>
      <c r="B3000">
        <v>6</v>
      </c>
      <c r="C3000" t="s">
        <v>4596</v>
      </c>
      <c r="D3000" t="s">
        <v>4469</v>
      </c>
      <c r="E3000" t="s">
        <v>4406</v>
      </c>
      <c r="F3000" t="s">
        <v>4596</v>
      </c>
    </row>
    <row r="3001" spans="1:6" x14ac:dyDescent="0.25">
      <c r="A3001" t="s">
        <v>1399</v>
      </c>
      <c r="B3001">
        <v>44</v>
      </c>
      <c r="C3001" t="s">
        <v>4852</v>
      </c>
      <c r="D3001" t="s">
        <v>4792</v>
      </c>
      <c r="E3001" t="s">
        <v>4406</v>
      </c>
      <c r="F3001" t="s">
        <v>4492</v>
      </c>
    </row>
    <row r="3002" spans="1:6" x14ac:dyDescent="0.25">
      <c r="A3002" t="s">
        <v>1415</v>
      </c>
      <c r="B3002">
        <v>76</v>
      </c>
      <c r="C3002" t="s">
        <v>4640</v>
      </c>
      <c r="D3002" t="s">
        <v>5180</v>
      </c>
      <c r="E3002" t="s">
        <v>4406</v>
      </c>
      <c r="F3002" t="s">
        <v>5168</v>
      </c>
    </row>
    <row r="3003" spans="1:6" x14ac:dyDescent="0.25">
      <c r="A3003" t="s">
        <v>1296</v>
      </c>
      <c r="B3003">
        <v>297</v>
      </c>
      <c r="C3003" t="s">
        <v>4705</v>
      </c>
      <c r="D3003" t="s">
        <v>4595</v>
      </c>
      <c r="E3003" t="s">
        <v>4808</v>
      </c>
      <c r="F3003" t="s">
        <v>4807</v>
      </c>
    </row>
    <row r="3005" spans="1:6" x14ac:dyDescent="0.25">
      <c r="A3005" t="s">
        <v>5926</v>
      </c>
    </row>
    <row r="3006" spans="1:6" x14ac:dyDescent="0.25">
      <c r="A3006" t="s">
        <v>907</v>
      </c>
      <c r="B3006" t="s">
        <v>4394</v>
      </c>
      <c r="C3006" t="s">
        <v>4732</v>
      </c>
      <c r="D3006" t="s">
        <v>109</v>
      </c>
      <c r="E3006" t="s">
        <v>4737</v>
      </c>
      <c r="F3006" t="s">
        <v>192</v>
      </c>
    </row>
    <row r="3007" spans="1:6" x14ac:dyDescent="0.25">
      <c r="A3007" t="s">
        <v>109</v>
      </c>
      <c r="B3007">
        <v>257</v>
      </c>
      <c r="C3007" t="s">
        <v>4696</v>
      </c>
      <c r="D3007" t="s">
        <v>5286</v>
      </c>
      <c r="E3007" t="s">
        <v>4818</v>
      </c>
      <c r="F3007" t="s">
        <v>4871</v>
      </c>
    </row>
    <row r="3008" spans="1:6" x14ac:dyDescent="0.25">
      <c r="A3008" t="s">
        <v>192</v>
      </c>
      <c r="B3008">
        <v>40</v>
      </c>
      <c r="C3008" t="s">
        <v>4758</v>
      </c>
      <c r="D3008" t="s">
        <v>5080</v>
      </c>
      <c r="E3008" t="s">
        <v>4406</v>
      </c>
      <c r="F3008" t="s">
        <v>4760</v>
      </c>
    </row>
    <row r="3009" spans="1:6" x14ac:dyDescent="0.25">
      <c r="A3009" t="s">
        <v>1296</v>
      </c>
      <c r="B3009">
        <v>297</v>
      </c>
      <c r="C3009" t="s">
        <v>4705</v>
      </c>
      <c r="D3009" t="s">
        <v>4595</v>
      </c>
      <c r="E3009" t="s">
        <v>4808</v>
      </c>
      <c r="F3009" t="s">
        <v>4807</v>
      </c>
    </row>
    <row r="3011" spans="1:6" x14ac:dyDescent="0.25">
      <c r="A3011" t="s">
        <v>5927</v>
      </c>
    </row>
    <row r="3012" spans="1:6" x14ac:dyDescent="0.25">
      <c r="A3012" t="s">
        <v>910</v>
      </c>
      <c r="B3012" t="s">
        <v>4394</v>
      </c>
      <c r="C3012" t="s">
        <v>4732</v>
      </c>
      <c r="D3012" t="s">
        <v>109</v>
      </c>
      <c r="E3012" t="s">
        <v>4737</v>
      </c>
      <c r="F3012" t="s">
        <v>192</v>
      </c>
    </row>
    <row r="3013" spans="1:6" x14ac:dyDescent="0.25">
      <c r="A3013" t="s">
        <v>1371</v>
      </c>
      <c r="B3013">
        <v>42</v>
      </c>
      <c r="C3013" t="s">
        <v>4703</v>
      </c>
      <c r="D3013" t="s">
        <v>4865</v>
      </c>
      <c r="E3013" t="s">
        <v>4406</v>
      </c>
      <c r="F3013" t="s">
        <v>4449</v>
      </c>
    </row>
    <row r="3014" spans="1:6" x14ac:dyDescent="0.25">
      <c r="A3014" t="s">
        <v>1452</v>
      </c>
      <c r="B3014">
        <v>18</v>
      </c>
      <c r="C3014" t="s">
        <v>4571</v>
      </c>
      <c r="D3014" t="s">
        <v>4444</v>
      </c>
      <c r="E3014" t="s">
        <v>4406</v>
      </c>
      <c r="F3014" t="s">
        <v>4727</v>
      </c>
    </row>
    <row r="3015" spans="1:6" x14ac:dyDescent="0.25">
      <c r="A3015" t="s">
        <v>5560</v>
      </c>
      <c r="B3015">
        <v>59</v>
      </c>
      <c r="C3015" t="s">
        <v>4414</v>
      </c>
      <c r="D3015" t="s">
        <v>4829</v>
      </c>
      <c r="E3015" t="s">
        <v>4406</v>
      </c>
      <c r="F3015" t="s">
        <v>5053</v>
      </c>
    </row>
    <row r="3016" spans="1:6" x14ac:dyDescent="0.25">
      <c r="A3016" t="s">
        <v>1424</v>
      </c>
      <c r="B3016">
        <v>120</v>
      </c>
      <c r="C3016" t="s">
        <v>4650</v>
      </c>
      <c r="D3016" t="s">
        <v>5205</v>
      </c>
      <c r="E3016" t="s">
        <v>4417</v>
      </c>
      <c r="F3016" t="s">
        <v>4481</v>
      </c>
    </row>
    <row r="3017" spans="1:6" x14ac:dyDescent="0.25">
      <c r="A3017" t="s">
        <v>1340</v>
      </c>
      <c r="B3017">
        <v>31</v>
      </c>
      <c r="C3017" t="s">
        <v>4713</v>
      </c>
      <c r="D3017" t="s">
        <v>5071</v>
      </c>
      <c r="E3017" t="s">
        <v>4406</v>
      </c>
      <c r="F3017" t="s">
        <v>5071</v>
      </c>
    </row>
    <row r="3018" spans="1:6" x14ac:dyDescent="0.25">
      <c r="A3018" t="s">
        <v>5561</v>
      </c>
      <c r="B3018">
        <v>8</v>
      </c>
      <c r="C3018" t="s">
        <v>4462</v>
      </c>
      <c r="D3018" t="s">
        <v>4481</v>
      </c>
      <c r="E3018" t="s">
        <v>4406</v>
      </c>
      <c r="F3018" t="s">
        <v>4481</v>
      </c>
    </row>
    <row r="3019" spans="1:6" x14ac:dyDescent="0.25">
      <c r="A3019" t="s">
        <v>1416</v>
      </c>
      <c r="B3019">
        <v>19</v>
      </c>
      <c r="C3019" t="s">
        <v>4406</v>
      </c>
      <c r="D3019" t="s">
        <v>4491</v>
      </c>
      <c r="E3019" t="s">
        <v>4406</v>
      </c>
      <c r="F3019" t="s">
        <v>4796</v>
      </c>
    </row>
    <row r="3020" spans="1:6" x14ac:dyDescent="0.25">
      <c r="A3020" t="s">
        <v>1296</v>
      </c>
      <c r="B3020">
        <v>297</v>
      </c>
      <c r="C3020" t="s">
        <v>4705</v>
      </c>
      <c r="D3020" t="s">
        <v>4595</v>
      </c>
      <c r="E3020" t="s">
        <v>4808</v>
      </c>
      <c r="F3020" t="s">
        <v>4807</v>
      </c>
    </row>
    <row r="3022" spans="1:6" x14ac:dyDescent="0.25">
      <c r="A3022" t="s">
        <v>5928</v>
      </c>
    </row>
    <row r="3023" spans="1:6" x14ac:dyDescent="0.25">
      <c r="A3023" t="s">
        <v>928</v>
      </c>
      <c r="B3023" t="s">
        <v>4394</v>
      </c>
      <c r="C3023" t="s">
        <v>4732</v>
      </c>
      <c r="D3023" t="s">
        <v>109</v>
      </c>
      <c r="E3023" t="s">
        <v>4737</v>
      </c>
      <c r="F3023" t="s">
        <v>192</v>
      </c>
    </row>
    <row r="3024" spans="1:6" x14ac:dyDescent="0.25">
      <c r="A3024" t="s">
        <v>4433</v>
      </c>
      <c r="B3024">
        <v>5</v>
      </c>
      <c r="C3024" t="s">
        <v>4472</v>
      </c>
      <c r="D3024" t="s">
        <v>4458</v>
      </c>
      <c r="E3024" t="s">
        <v>4472</v>
      </c>
      <c r="F3024" t="s">
        <v>4472</v>
      </c>
    </row>
    <row r="3025" spans="1:6" x14ac:dyDescent="0.25">
      <c r="A3025" t="s">
        <v>4434</v>
      </c>
      <c r="B3025">
        <v>119</v>
      </c>
      <c r="C3025" t="s">
        <v>5142</v>
      </c>
      <c r="D3025" t="s">
        <v>5212</v>
      </c>
      <c r="E3025" t="s">
        <v>4406</v>
      </c>
      <c r="F3025" t="s">
        <v>4661</v>
      </c>
    </row>
    <row r="3026" spans="1:6" x14ac:dyDescent="0.25">
      <c r="A3026" t="s">
        <v>4435</v>
      </c>
      <c r="B3026">
        <v>90</v>
      </c>
      <c r="C3026" t="s">
        <v>5066</v>
      </c>
      <c r="D3026" t="s">
        <v>4727</v>
      </c>
      <c r="E3026" t="s">
        <v>4406</v>
      </c>
      <c r="F3026" t="s">
        <v>5129</v>
      </c>
    </row>
    <row r="3027" spans="1:6" x14ac:dyDescent="0.25">
      <c r="A3027" t="s">
        <v>4436</v>
      </c>
      <c r="B3027">
        <v>81</v>
      </c>
      <c r="C3027" t="s">
        <v>4917</v>
      </c>
      <c r="D3027" t="s">
        <v>4478</v>
      </c>
      <c r="E3027" t="s">
        <v>4406</v>
      </c>
      <c r="F3027" t="s">
        <v>4790</v>
      </c>
    </row>
    <row r="3028" spans="1:6" x14ac:dyDescent="0.25">
      <c r="A3028" t="s">
        <v>4437</v>
      </c>
      <c r="B3028">
        <v>2</v>
      </c>
      <c r="C3028" t="s">
        <v>4406</v>
      </c>
      <c r="D3028" t="s">
        <v>4454</v>
      </c>
      <c r="E3028" t="s">
        <v>4406</v>
      </c>
      <c r="F3028" t="s">
        <v>4406</v>
      </c>
    </row>
    <row r="3029" spans="1:6" x14ac:dyDescent="0.25">
      <c r="A3029" t="s">
        <v>1296</v>
      </c>
      <c r="B3029">
        <v>297</v>
      </c>
      <c r="C3029" t="s">
        <v>4705</v>
      </c>
      <c r="D3029" t="s">
        <v>4595</v>
      </c>
      <c r="E3029" t="s">
        <v>4808</v>
      </c>
      <c r="F3029" t="s">
        <v>4807</v>
      </c>
    </row>
    <row r="3031" spans="1:6" x14ac:dyDescent="0.25">
      <c r="A3031" t="s">
        <v>5929</v>
      </c>
    </row>
    <row r="3032" spans="1:6" x14ac:dyDescent="0.25">
      <c r="A3032" t="s">
        <v>5481</v>
      </c>
      <c r="B3032" t="s">
        <v>4394</v>
      </c>
      <c r="C3032" t="s">
        <v>4732</v>
      </c>
      <c r="D3032" t="s">
        <v>109</v>
      </c>
      <c r="E3032" t="s">
        <v>4737</v>
      </c>
      <c r="F3032" t="s">
        <v>192</v>
      </c>
    </row>
    <row r="3033" spans="1:6" x14ac:dyDescent="0.25">
      <c r="A3033" t="s">
        <v>4438</v>
      </c>
      <c r="B3033">
        <v>129</v>
      </c>
      <c r="C3033" t="s">
        <v>4698</v>
      </c>
      <c r="D3033" t="s">
        <v>5102</v>
      </c>
      <c r="E3033" t="s">
        <v>4406</v>
      </c>
      <c r="F3033" t="s">
        <v>5101</v>
      </c>
    </row>
    <row r="3034" spans="1:6" x14ac:dyDescent="0.25">
      <c r="A3034" t="s">
        <v>4439</v>
      </c>
      <c r="B3034">
        <v>93</v>
      </c>
      <c r="C3034" t="s">
        <v>4850</v>
      </c>
      <c r="D3034" t="s">
        <v>4932</v>
      </c>
      <c r="E3034" t="s">
        <v>4406</v>
      </c>
      <c r="F3034" t="s">
        <v>4658</v>
      </c>
    </row>
    <row r="3035" spans="1:6" x14ac:dyDescent="0.25">
      <c r="A3035" t="s">
        <v>1400</v>
      </c>
      <c r="B3035">
        <v>5</v>
      </c>
      <c r="C3035" t="s">
        <v>4406</v>
      </c>
      <c r="D3035" t="s">
        <v>4454</v>
      </c>
      <c r="E3035" t="s">
        <v>4406</v>
      </c>
      <c r="F3035" t="s">
        <v>4406</v>
      </c>
    </row>
    <row r="3036" spans="1:6" x14ac:dyDescent="0.25">
      <c r="A3036" t="s">
        <v>5566</v>
      </c>
      <c r="B3036">
        <v>36</v>
      </c>
      <c r="C3036" t="s">
        <v>4571</v>
      </c>
      <c r="D3036" t="s">
        <v>4468</v>
      </c>
      <c r="E3036" t="s">
        <v>4406</v>
      </c>
      <c r="F3036" t="s">
        <v>4570</v>
      </c>
    </row>
    <row r="3037" spans="1:6" x14ac:dyDescent="0.25">
      <c r="A3037" t="s">
        <v>1372</v>
      </c>
      <c r="B3037">
        <v>34</v>
      </c>
      <c r="C3037" t="s">
        <v>4697</v>
      </c>
      <c r="D3037" t="s">
        <v>4822</v>
      </c>
      <c r="E3037" t="s">
        <v>4697</v>
      </c>
      <c r="F3037" t="s">
        <v>4514</v>
      </c>
    </row>
    <row r="3038" spans="1:6" x14ac:dyDescent="0.25">
      <c r="A3038" t="s">
        <v>1296</v>
      </c>
      <c r="B3038">
        <v>297</v>
      </c>
      <c r="C3038" t="s">
        <v>4705</v>
      </c>
      <c r="D3038" t="s">
        <v>4595</v>
      </c>
      <c r="E3038" t="s">
        <v>4808</v>
      </c>
      <c r="F3038" t="s">
        <v>4807</v>
      </c>
    </row>
    <row r="3040" spans="1:6" x14ac:dyDescent="0.25">
      <c r="A3040" t="s">
        <v>5930</v>
      </c>
    </row>
    <row r="3041" spans="1:6" x14ac:dyDescent="0.25">
      <c r="A3041" t="s">
        <v>5477</v>
      </c>
      <c r="B3041" t="s">
        <v>4394</v>
      </c>
      <c r="C3041" t="s">
        <v>4732</v>
      </c>
      <c r="D3041" t="s">
        <v>109</v>
      </c>
      <c r="E3041" t="s">
        <v>4737</v>
      </c>
      <c r="F3041" t="s">
        <v>192</v>
      </c>
    </row>
    <row r="3042" spans="1:6" x14ac:dyDescent="0.25">
      <c r="A3042" t="s">
        <v>4438</v>
      </c>
      <c r="B3042">
        <v>95</v>
      </c>
      <c r="C3042" t="s">
        <v>4873</v>
      </c>
      <c r="D3042" t="s">
        <v>4426</v>
      </c>
      <c r="E3042" t="s">
        <v>4406</v>
      </c>
      <c r="F3042" t="s">
        <v>4816</v>
      </c>
    </row>
    <row r="3043" spans="1:6" x14ac:dyDescent="0.25">
      <c r="A3043" t="s">
        <v>4439</v>
      </c>
      <c r="B3043">
        <v>128</v>
      </c>
      <c r="C3043" t="s">
        <v>4681</v>
      </c>
      <c r="D3043" t="s">
        <v>4588</v>
      </c>
      <c r="E3043" t="s">
        <v>4406</v>
      </c>
      <c r="F3043" t="s">
        <v>5129</v>
      </c>
    </row>
    <row r="3044" spans="1:6" x14ac:dyDescent="0.25">
      <c r="A3044" t="s">
        <v>1400</v>
      </c>
      <c r="B3044">
        <v>7</v>
      </c>
      <c r="C3044" t="s">
        <v>4406</v>
      </c>
      <c r="D3044" t="s">
        <v>4814</v>
      </c>
      <c r="E3044" t="s">
        <v>4406</v>
      </c>
      <c r="F3044" t="s">
        <v>4450</v>
      </c>
    </row>
    <row r="3045" spans="1:6" x14ac:dyDescent="0.25">
      <c r="A3045" t="s">
        <v>5566</v>
      </c>
      <c r="B3045">
        <v>36</v>
      </c>
      <c r="C3045" t="s">
        <v>4571</v>
      </c>
      <c r="D3045" t="s">
        <v>4468</v>
      </c>
      <c r="E3045" t="s">
        <v>4406</v>
      </c>
      <c r="F3045" t="s">
        <v>4570</v>
      </c>
    </row>
    <row r="3046" spans="1:6" x14ac:dyDescent="0.25">
      <c r="A3046" t="s">
        <v>1426</v>
      </c>
      <c r="B3046">
        <v>1</v>
      </c>
      <c r="C3046" t="s">
        <v>4406</v>
      </c>
      <c r="D3046" t="s">
        <v>4454</v>
      </c>
      <c r="E3046" t="s">
        <v>4406</v>
      </c>
      <c r="F3046" t="s">
        <v>4406</v>
      </c>
    </row>
    <row r="3047" spans="1:6" x14ac:dyDescent="0.25">
      <c r="A3047" t="s">
        <v>1372</v>
      </c>
      <c r="B3047">
        <v>30</v>
      </c>
      <c r="C3047" t="s">
        <v>4651</v>
      </c>
      <c r="D3047" t="s">
        <v>4652</v>
      </c>
      <c r="E3047" t="s">
        <v>4651</v>
      </c>
      <c r="F3047" t="s">
        <v>5129</v>
      </c>
    </row>
    <row r="3048" spans="1:6" x14ac:dyDescent="0.25">
      <c r="A3048" t="s">
        <v>1296</v>
      </c>
      <c r="B3048">
        <v>297</v>
      </c>
      <c r="C3048" t="s">
        <v>4705</v>
      </c>
      <c r="D3048" t="s">
        <v>4595</v>
      </c>
      <c r="E3048" t="s">
        <v>4808</v>
      </c>
      <c r="F3048" t="s">
        <v>4807</v>
      </c>
    </row>
    <row r="3050" spans="1:6" x14ac:dyDescent="0.25">
      <c r="A3050" t="s">
        <v>5931</v>
      </c>
    </row>
    <row r="3051" spans="1:6" x14ac:dyDescent="0.25">
      <c r="A3051" t="s">
        <v>911</v>
      </c>
      <c r="B3051" t="s">
        <v>4394</v>
      </c>
      <c r="C3051" t="s">
        <v>4732</v>
      </c>
      <c r="D3051" t="s">
        <v>109</v>
      </c>
      <c r="E3051" t="s">
        <v>4737</v>
      </c>
      <c r="F3051" t="s">
        <v>192</v>
      </c>
    </row>
    <row r="3052" spans="1:6" x14ac:dyDescent="0.25">
      <c r="A3052" t="s">
        <v>4438</v>
      </c>
      <c r="B3052">
        <v>122</v>
      </c>
      <c r="C3052" t="s">
        <v>4636</v>
      </c>
      <c r="D3052" t="s">
        <v>5106</v>
      </c>
      <c r="E3052" t="s">
        <v>4406</v>
      </c>
      <c r="F3052" t="s">
        <v>4634</v>
      </c>
    </row>
    <row r="3053" spans="1:6" x14ac:dyDescent="0.25">
      <c r="A3053" t="s">
        <v>4439</v>
      </c>
      <c r="B3053">
        <v>79</v>
      </c>
      <c r="C3053" t="s">
        <v>4627</v>
      </c>
      <c r="D3053" t="s">
        <v>4939</v>
      </c>
      <c r="E3053" t="s">
        <v>4406</v>
      </c>
      <c r="F3053" t="s">
        <v>5129</v>
      </c>
    </row>
    <row r="3054" spans="1:6" x14ac:dyDescent="0.25">
      <c r="A3054" t="s">
        <v>1400</v>
      </c>
      <c r="B3054">
        <v>19</v>
      </c>
      <c r="C3054" t="s">
        <v>4867</v>
      </c>
      <c r="D3054" t="s">
        <v>4528</v>
      </c>
      <c r="E3054" t="s">
        <v>4406</v>
      </c>
      <c r="F3054" t="s">
        <v>4490</v>
      </c>
    </row>
    <row r="3055" spans="1:6" x14ac:dyDescent="0.25">
      <c r="A3055" t="s">
        <v>1340</v>
      </c>
      <c r="B3055">
        <v>31</v>
      </c>
      <c r="C3055" t="s">
        <v>4713</v>
      </c>
      <c r="D3055" t="s">
        <v>5071</v>
      </c>
      <c r="E3055" t="s">
        <v>4406</v>
      </c>
      <c r="F3055" t="s">
        <v>5071</v>
      </c>
    </row>
    <row r="3056" spans="1:6" x14ac:dyDescent="0.25">
      <c r="A3056" t="s">
        <v>1426</v>
      </c>
      <c r="B3056">
        <v>8</v>
      </c>
      <c r="C3056" t="s">
        <v>4462</v>
      </c>
      <c r="D3056" t="s">
        <v>4602</v>
      </c>
      <c r="E3056" t="s">
        <v>4406</v>
      </c>
      <c r="F3056" t="s">
        <v>4479</v>
      </c>
    </row>
    <row r="3057" spans="1:6" x14ac:dyDescent="0.25">
      <c r="A3057" t="s">
        <v>1372</v>
      </c>
      <c r="B3057">
        <v>38</v>
      </c>
      <c r="C3057" t="s">
        <v>4640</v>
      </c>
      <c r="D3057" t="s">
        <v>4603</v>
      </c>
      <c r="E3057" t="s">
        <v>4864</v>
      </c>
      <c r="F3057" t="s">
        <v>4490</v>
      </c>
    </row>
    <row r="3058" spans="1:6" x14ac:dyDescent="0.25">
      <c r="A3058" t="s">
        <v>1296</v>
      </c>
      <c r="B3058">
        <v>297</v>
      </c>
      <c r="C3058" t="s">
        <v>4705</v>
      </c>
      <c r="D3058" t="s">
        <v>4595</v>
      </c>
      <c r="E3058" t="s">
        <v>4808</v>
      </c>
      <c r="F3058" t="s">
        <v>4807</v>
      </c>
    </row>
    <row r="3060" spans="1:6" x14ac:dyDescent="0.25">
      <c r="A3060" t="s">
        <v>5932</v>
      </c>
    </row>
    <row r="3061" spans="1:6" x14ac:dyDescent="0.25">
      <c r="A3061" t="s">
        <v>912</v>
      </c>
      <c r="B3061" t="s">
        <v>4394</v>
      </c>
      <c r="C3061" t="s">
        <v>4732</v>
      </c>
      <c r="D3061" t="s">
        <v>109</v>
      </c>
      <c r="E3061" t="s">
        <v>4737</v>
      </c>
      <c r="F3061" t="s">
        <v>192</v>
      </c>
    </row>
    <row r="3062" spans="1:6" x14ac:dyDescent="0.25">
      <c r="A3062" t="s">
        <v>4438</v>
      </c>
      <c r="B3062">
        <v>80</v>
      </c>
      <c r="C3062" t="s">
        <v>4720</v>
      </c>
      <c r="D3062" t="s">
        <v>4595</v>
      </c>
      <c r="E3062" t="s">
        <v>4406</v>
      </c>
      <c r="F3062" t="s">
        <v>4916</v>
      </c>
    </row>
    <row r="3063" spans="1:6" x14ac:dyDescent="0.25">
      <c r="A3063" t="s">
        <v>4439</v>
      </c>
      <c r="B3063">
        <v>106</v>
      </c>
      <c r="C3063" t="s">
        <v>4414</v>
      </c>
      <c r="D3063" t="s">
        <v>5394</v>
      </c>
      <c r="E3063" t="s">
        <v>4406</v>
      </c>
      <c r="F3063" t="s">
        <v>4456</v>
      </c>
    </row>
    <row r="3064" spans="1:6" x14ac:dyDescent="0.25">
      <c r="A3064" t="s">
        <v>1400</v>
      </c>
      <c r="B3064">
        <v>30</v>
      </c>
      <c r="C3064" t="s">
        <v>4596</v>
      </c>
      <c r="D3064" t="s">
        <v>4468</v>
      </c>
      <c r="E3064" t="s">
        <v>4406</v>
      </c>
      <c r="F3064" t="s">
        <v>4465</v>
      </c>
    </row>
    <row r="3065" spans="1:6" x14ac:dyDescent="0.25">
      <c r="A3065" t="s">
        <v>1340</v>
      </c>
      <c r="B3065">
        <v>31</v>
      </c>
      <c r="C3065" t="s">
        <v>4713</v>
      </c>
      <c r="D3065" t="s">
        <v>5071</v>
      </c>
      <c r="E3065" t="s">
        <v>4406</v>
      </c>
      <c r="F3065" t="s">
        <v>5071</v>
      </c>
    </row>
    <row r="3066" spans="1:6" x14ac:dyDescent="0.25">
      <c r="A3066" t="s">
        <v>1426</v>
      </c>
      <c r="B3066">
        <v>15</v>
      </c>
      <c r="C3066" t="s">
        <v>4472</v>
      </c>
      <c r="D3066" t="s">
        <v>4457</v>
      </c>
      <c r="E3066" t="s">
        <v>4406</v>
      </c>
      <c r="F3066" t="s">
        <v>4472</v>
      </c>
    </row>
    <row r="3067" spans="1:6" x14ac:dyDescent="0.25">
      <c r="A3067" t="s">
        <v>1372</v>
      </c>
      <c r="B3067">
        <v>35</v>
      </c>
      <c r="C3067" t="s">
        <v>4654</v>
      </c>
      <c r="D3067" t="s">
        <v>4778</v>
      </c>
      <c r="E3067" t="s">
        <v>4697</v>
      </c>
      <c r="F3067" t="s">
        <v>4710</v>
      </c>
    </row>
    <row r="3068" spans="1:6" x14ac:dyDescent="0.25">
      <c r="A3068" t="s">
        <v>1296</v>
      </c>
      <c r="B3068">
        <v>297</v>
      </c>
      <c r="C3068" t="s">
        <v>4705</v>
      </c>
      <c r="D3068" t="s">
        <v>4595</v>
      </c>
      <c r="E3068" t="s">
        <v>4808</v>
      </c>
      <c r="F3068" t="s">
        <v>4807</v>
      </c>
    </row>
    <row r="3070" spans="1:6" x14ac:dyDescent="0.25">
      <c r="A3070" t="s">
        <v>5933</v>
      </c>
    </row>
    <row r="3071" spans="1:6" x14ac:dyDescent="0.25">
      <c r="A3071" t="s">
        <v>903</v>
      </c>
      <c r="B3071" t="s">
        <v>4394</v>
      </c>
      <c r="C3071" t="s">
        <v>4732</v>
      </c>
      <c r="D3071" t="s">
        <v>109</v>
      </c>
      <c r="E3071" t="s">
        <v>4737</v>
      </c>
      <c r="F3071" t="s">
        <v>192</v>
      </c>
    </row>
    <row r="3072" spans="1:6" x14ac:dyDescent="0.25">
      <c r="A3072" t="s">
        <v>70</v>
      </c>
      <c r="B3072">
        <v>85</v>
      </c>
      <c r="C3072" t="s">
        <v>4656</v>
      </c>
      <c r="D3072" t="s">
        <v>4770</v>
      </c>
      <c r="E3072" t="s">
        <v>4406</v>
      </c>
      <c r="F3072" t="s">
        <v>4786</v>
      </c>
    </row>
    <row r="3073" spans="1:15" x14ac:dyDescent="0.25">
      <c r="A3073" t="s">
        <v>71</v>
      </c>
      <c r="B3073">
        <v>212</v>
      </c>
      <c r="C3073" t="s">
        <v>4636</v>
      </c>
      <c r="D3073" t="s">
        <v>4648</v>
      </c>
      <c r="E3073" t="s">
        <v>4404</v>
      </c>
      <c r="F3073" t="s">
        <v>5287</v>
      </c>
    </row>
    <row r="3074" spans="1:15" x14ac:dyDescent="0.25">
      <c r="A3074" t="s">
        <v>1296</v>
      </c>
      <c r="B3074">
        <v>297</v>
      </c>
      <c r="C3074" t="s">
        <v>4705</v>
      </c>
      <c r="D3074" t="s">
        <v>4595</v>
      </c>
      <c r="E3074" t="s">
        <v>4808</v>
      </c>
      <c r="F3074" t="s">
        <v>4807</v>
      </c>
    </row>
    <row r="3076" spans="1:15" x14ac:dyDescent="0.25">
      <c r="A3076" t="s">
        <v>5934</v>
      </c>
    </row>
    <row r="3077" spans="1:15" x14ac:dyDescent="0.25">
      <c r="A3077" t="s">
        <v>1297</v>
      </c>
      <c r="B3077" t="s">
        <v>4394</v>
      </c>
      <c r="C3077" t="s">
        <v>5288</v>
      </c>
      <c r="D3077" t="s">
        <v>4732</v>
      </c>
      <c r="E3077" t="s">
        <v>5289</v>
      </c>
      <c r="F3077" t="s">
        <v>5290</v>
      </c>
      <c r="G3077" t="s">
        <v>5291</v>
      </c>
      <c r="H3077" t="s">
        <v>5292</v>
      </c>
      <c r="I3077" t="s">
        <v>4736</v>
      </c>
      <c r="J3077" t="s">
        <v>4737</v>
      </c>
      <c r="K3077" t="s">
        <v>5293</v>
      </c>
      <c r="L3077" t="s">
        <v>5294</v>
      </c>
      <c r="M3077" t="s">
        <v>5295</v>
      </c>
      <c r="N3077" t="s">
        <v>5296</v>
      </c>
      <c r="O3077" t="s">
        <v>5297</v>
      </c>
    </row>
    <row r="3078" spans="1:15" x14ac:dyDescent="0.25">
      <c r="A3078" t="s">
        <v>5549</v>
      </c>
      <c r="B3078">
        <v>86</v>
      </c>
      <c r="C3078" t="s">
        <v>4406</v>
      </c>
      <c r="D3078" t="s">
        <v>4422</v>
      </c>
      <c r="E3078" t="s">
        <v>5039</v>
      </c>
      <c r="F3078" t="s">
        <v>4756</v>
      </c>
      <c r="G3078" t="s">
        <v>5065</v>
      </c>
      <c r="H3078" t="s">
        <v>4757</v>
      </c>
      <c r="I3078" t="s">
        <v>4406</v>
      </c>
      <c r="J3078" t="s">
        <v>4406</v>
      </c>
      <c r="K3078" t="s">
        <v>4810</v>
      </c>
      <c r="L3078" t="s">
        <v>5097</v>
      </c>
      <c r="M3078" t="s">
        <v>5039</v>
      </c>
      <c r="N3078" t="s">
        <v>4656</v>
      </c>
      <c r="O3078" t="s">
        <v>4485</v>
      </c>
    </row>
    <row r="3079" spans="1:15" x14ac:dyDescent="0.25">
      <c r="A3079" t="s">
        <v>1397</v>
      </c>
      <c r="B3079">
        <v>31</v>
      </c>
      <c r="C3079" t="s">
        <v>4406</v>
      </c>
      <c r="D3079" t="s">
        <v>4406</v>
      </c>
      <c r="E3079" t="s">
        <v>4670</v>
      </c>
      <c r="F3079" t="s">
        <v>4406</v>
      </c>
      <c r="G3079" t="s">
        <v>4670</v>
      </c>
      <c r="H3079" t="s">
        <v>4713</v>
      </c>
      <c r="I3079" t="s">
        <v>4406</v>
      </c>
      <c r="J3079" t="s">
        <v>4406</v>
      </c>
      <c r="K3079" t="s">
        <v>4561</v>
      </c>
      <c r="L3079" t="s">
        <v>4995</v>
      </c>
      <c r="M3079" t="s">
        <v>4858</v>
      </c>
      <c r="N3079" t="s">
        <v>4670</v>
      </c>
      <c r="O3079" t="s">
        <v>4420</v>
      </c>
    </row>
    <row r="3080" spans="1:15" x14ac:dyDescent="0.25">
      <c r="A3080" t="s">
        <v>1296</v>
      </c>
      <c r="B3080">
        <v>117</v>
      </c>
      <c r="C3080" t="s">
        <v>4406</v>
      </c>
      <c r="D3080" t="s">
        <v>4902</v>
      </c>
      <c r="E3080" t="s">
        <v>4944</v>
      </c>
      <c r="F3080" t="s">
        <v>4667</v>
      </c>
      <c r="G3080" t="s">
        <v>4671</v>
      </c>
      <c r="H3080" t="s">
        <v>4888</v>
      </c>
      <c r="I3080" t="s">
        <v>4406</v>
      </c>
      <c r="J3080" t="s">
        <v>4406</v>
      </c>
      <c r="K3080" t="s">
        <v>5108</v>
      </c>
      <c r="L3080" t="s">
        <v>5010</v>
      </c>
      <c r="M3080" t="s">
        <v>4731</v>
      </c>
      <c r="N3080" t="s">
        <v>4627</v>
      </c>
      <c r="O3080" t="s">
        <v>4685</v>
      </c>
    </row>
    <row r="3082" spans="1:15" x14ac:dyDescent="0.25">
      <c r="A3082" t="s">
        <v>5935</v>
      </c>
    </row>
    <row r="3083" spans="1:15" x14ac:dyDescent="0.25">
      <c r="A3083" t="s">
        <v>906</v>
      </c>
      <c r="B3083" t="s">
        <v>4394</v>
      </c>
      <c r="C3083" t="s">
        <v>5288</v>
      </c>
      <c r="D3083" t="s">
        <v>4732</v>
      </c>
      <c r="E3083" t="s">
        <v>5289</v>
      </c>
      <c r="F3083" t="s">
        <v>5290</v>
      </c>
      <c r="G3083" t="s">
        <v>5291</v>
      </c>
      <c r="H3083" t="s">
        <v>5292</v>
      </c>
      <c r="I3083" t="s">
        <v>4736</v>
      </c>
      <c r="J3083" t="s">
        <v>4737</v>
      </c>
      <c r="K3083" t="s">
        <v>5293</v>
      </c>
      <c r="L3083" t="s">
        <v>5294</v>
      </c>
      <c r="M3083" t="s">
        <v>5295</v>
      </c>
      <c r="N3083" t="s">
        <v>5296</v>
      </c>
      <c r="O3083" t="s">
        <v>5297</v>
      </c>
    </row>
    <row r="3084" spans="1:15" x14ac:dyDescent="0.25">
      <c r="A3084" t="s">
        <v>1338</v>
      </c>
      <c r="B3084">
        <v>23</v>
      </c>
      <c r="C3084" t="s">
        <v>4406</v>
      </c>
      <c r="D3084" t="s">
        <v>4406</v>
      </c>
      <c r="E3084" t="s">
        <v>4663</v>
      </c>
      <c r="F3084" t="s">
        <v>4406</v>
      </c>
      <c r="G3084" t="s">
        <v>4663</v>
      </c>
      <c r="H3084" t="s">
        <v>4667</v>
      </c>
      <c r="I3084" t="s">
        <v>4406</v>
      </c>
      <c r="J3084" t="s">
        <v>4406</v>
      </c>
      <c r="K3084" t="s">
        <v>4682</v>
      </c>
      <c r="L3084" t="s">
        <v>4923</v>
      </c>
      <c r="M3084" t="s">
        <v>4712</v>
      </c>
      <c r="N3084" t="s">
        <v>4406</v>
      </c>
      <c r="O3084" t="s">
        <v>4663</v>
      </c>
    </row>
    <row r="3085" spans="1:15" x14ac:dyDescent="0.25">
      <c r="A3085" t="s">
        <v>1370</v>
      </c>
      <c r="B3085">
        <v>8</v>
      </c>
      <c r="C3085" t="s">
        <v>4406</v>
      </c>
      <c r="D3085" t="s">
        <v>4406</v>
      </c>
      <c r="E3085" t="s">
        <v>4602</v>
      </c>
      <c r="F3085" t="s">
        <v>4406</v>
      </c>
      <c r="G3085" t="s">
        <v>4406</v>
      </c>
      <c r="H3085" t="s">
        <v>4479</v>
      </c>
      <c r="I3085" t="s">
        <v>4406</v>
      </c>
      <c r="J3085" t="s">
        <v>4406</v>
      </c>
      <c r="K3085" t="s">
        <v>4462</v>
      </c>
      <c r="L3085" t="s">
        <v>4602</v>
      </c>
      <c r="M3085" t="s">
        <v>4479</v>
      </c>
      <c r="N3085" t="s">
        <v>4479</v>
      </c>
      <c r="O3085" t="s">
        <v>4481</v>
      </c>
    </row>
    <row r="3086" spans="1:15" x14ac:dyDescent="0.25">
      <c r="A3086" t="s">
        <v>1439</v>
      </c>
      <c r="B3086">
        <v>6</v>
      </c>
      <c r="C3086" t="s">
        <v>4406</v>
      </c>
      <c r="D3086" t="s">
        <v>4406</v>
      </c>
      <c r="E3086" t="s">
        <v>4406</v>
      </c>
      <c r="F3086" t="s">
        <v>4596</v>
      </c>
      <c r="G3086" t="s">
        <v>4406</v>
      </c>
      <c r="H3086" t="s">
        <v>4406</v>
      </c>
      <c r="I3086" t="s">
        <v>4406</v>
      </c>
      <c r="J3086" t="s">
        <v>4406</v>
      </c>
      <c r="K3086" t="s">
        <v>4406</v>
      </c>
      <c r="L3086" t="s">
        <v>4783</v>
      </c>
      <c r="M3086" t="s">
        <v>4596</v>
      </c>
      <c r="N3086" t="s">
        <v>4596</v>
      </c>
      <c r="O3086" t="s">
        <v>4596</v>
      </c>
    </row>
    <row r="3087" spans="1:15" x14ac:dyDescent="0.25">
      <c r="A3087" t="s">
        <v>1476</v>
      </c>
      <c r="B3087">
        <v>26</v>
      </c>
      <c r="C3087" t="s">
        <v>4406</v>
      </c>
      <c r="D3087" t="s">
        <v>4406</v>
      </c>
      <c r="E3087" t="s">
        <v>4632</v>
      </c>
      <c r="F3087" t="s">
        <v>4720</v>
      </c>
      <c r="G3087" t="s">
        <v>4474</v>
      </c>
      <c r="H3087" t="s">
        <v>4406</v>
      </c>
      <c r="I3087" t="s">
        <v>4406</v>
      </c>
      <c r="J3087" t="s">
        <v>4406</v>
      </c>
      <c r="K3087" t="s">
        <v>4519</v>
      </c>
      <c r="L3087" t="s">
        <v>4993</v>
      </c>
      <c r="M3087" t="s">
        <v>4705</v>
      </c>
      <c r="N3087" t="s">
        <v>4632</v>
      </c>
      <c r="O3087" t="s">
        <v>4519</v>
      </c>
    </row>
    <row r="3088" spans="1:15" x14ac:dyDescent="0.25">
      <c r="A3088" t="s">
        <v>5476</v>
      </c>
      <c r="B3088">
        <v>1</v>
      </c>
      <c r="C3088" t="s">
        <v>4406</v>
      </c>
      <c r="D3088" t="s">
        <v>4406</v>
      </c>
      <c r="E3088" t="s">
        <v>4406</v>
      </c>
      <c r="F3088" t="s">
        <v>4406</v>
      </c>
      <c r="G3088" t="s">
        <v>4406</v>
      </c>
      <c r="H3088" t="s">
        <v>4406</v>
      </c>
      <c r="I3088" t="s">
        <v>4406</v>
      </c>
      <c r="J3088" t="s">
        <v>4406</v>
      </c>
      <c r="K3088" t="s">
        <v>4406</v>
      </c>
      <c r="L3088" t="s">
        <v>4454</v>
      </c>
      <c r="M3088" t="s">
        <v>4406</v>
      </c>
      <c r="N3088" t="s">
        <v>4406</v>
      </c>
      <c r="O3088" t="s">
        <v>4454</v>
      </c>
    </row>
    <row r="3089" spans="1:15" x14ac:dyDescent="0.25">
      <c r="A3089" t="s">
        <v>1399</v>
      </c>
      <c r="B3089">
        <v>16</v>
      </c>
      <c r="C3089" t="s">
        <v>4406</v>
      </c>
      <c r="D3089" t="s">
        <v>4917</v>
      </c>
      <c r="E3089" t="s">
        <v>4917</v>
      </c>
      <c r="F3089" t="s">
        <v>4406</v>
      </c>
      <c r="G3089" t="s">
        <v>4917</v>
      </c>
      <c r="H3089" t="s">
        <v>4406</v>
      </c>
      <c r="I3089" t="s">
        <v>4406</v>
      </c>
      <c r="J3089" t="s">
        <v>4406</v>
      </c>
      <c r="K3089" t="s">
        <v>4462</v>
      </c>
      <c r="L3089" t="s">
        <v>4602</v>
      </c>
      <c r="M3089" t="s">
        <v>4918</v>
      </c>
      <c r="N3089" t="s">
        <v>4406</v>
      </c>
      <c r="O3089" t="s">
        <v>4479</v>
      </c>
    </row>
    <row r="3090" spans="1:15" x14ac:dyDescent="0.25">
      <c r="A3090" t="s">
        <v>1415</v>
      </c>
      <c r="B3090">
        <v>37</v>
      </c>
      <c r="C3090" t="s">
        <v>4406</v>
      </c>
      <c r="D3090" t="s">
        <v>4406</v>
      </c>
      <c r="E3090" t="s">
        <v>4553</v>
      </c>
      <c r="F3090" t="s">
        <v>4883</v>
      </c>
      <c r="G3090" t="s">
        <v>4924</v>
      </c>
      <c r="H3090" t="s">
        <v>4746</v>
      </c>
      <c r="I3090" t="s">
        <v>4406</v>
      </c>
      <c r="J3090" t="s">
        <v>4406</v>
      </c>
      <c r="K3090" t="s">
        <v>4533</v>
      </c>
      <c r="L3090" t="s">
        <v>5145</v>
      </c>
      <c r="M3090" t="s">
        <v>4924</v>
      </c>
      <c r="N3090" t="s">
        <v>4931</v>
      </c>
      <c r="O3090" t="s">
        <v>5222</v>
      </c>
    </row>
    <row r="3091" spans="1:15" x14ac:dyDescent="0.25">
      <c r="A3091" t="s">
        <v>1296</v>
      </c>
      <c r="B3091">
        <v>117</v>
      </c>
      <c r="C3091" t="s">
        <v>4406</v>
      </c>
      <c r="D3091" t="s">
        <v>4902</v>
      </c>
      <c r="E3091" t="s">
        <v>4944</v>
      </c>
      <c r="F3091" t="s">
        <v>4667</v>
      </c>
      <c r="G3091" t="s">
        <v>4671</v>
      </c>
      <c r="H3091" t="s">
        <v>4888</v>
      </c>
      <c r="I3091" t="s">
        <v>4406</v>
      </c>
      <c r="J3091" t="s">
        <v>4406</v>
      </c>
      <c r="K3091" t="s">
        <v>5108</v>
      </c>
      <c r="L3091" t="s">
        <v>5010</v>
      </c>
      <c r="M3091" t="s">
        <v>4731</v>
      </c>
      <c r="N3091" t="s">
        <v>4627</v>
      </c>
      <c r="O3091" t="s">
        <v>4685</v>
      </c>
    </row>
    <row r="3093" spans="1:15" x14ac:dyDescent="0.25">
      <c r="A3093" t="s">
        <v>5936</v>
      </c>
    </row>
    <row r="3094" spans="1:15" x14ac:dyDescent="0.25">
      <c r="A3094" t="s">
        <v>907</v>
      </c>
      <c r="B3094" t="s">
        <v>4394</v>
      </c>
      <c r="C3094" t="s">
        <v>5288</v>
      </c>
      <c r="D3094" t="s">
        <v>4732</v>
      </c>
      <c r="E3094" t="s">
        <v>5289</v>
      </c>
      <c r="F3094" t="s">
        <v>5290</v>
      </c>
      <c r="G3094" t="s">
        <v>5291</v>
      </c>
      <c r="H3094" t="s">
        <v>5292</v>
      </c>
      <c r="I3094" t="s">
        <v>4736</v>
      </c>
      <c r="J3094" t="s">
        <v>4737</v>
      </c>
      <c r="K3094" t="s">
        <v>5293</v>
      </c>
      <c r="L3094" t="s">
        <v>5294</v>
      </c>
      <c r="M3094" t="s">
        <v>5295</v>
      </c>
      <c r="N3094" t="s">
        <v>5296</v>
      </c>
      <c r="O3094" t="s">
        <v>5297</v>
      </c>
    </row>
    <row r="3095" spans="1:15" x14ac:dyDescent="0.25">
      <c r="A3095" t="s">
        <v>109</v>
      </c>
      <c r="B3095">
        <v>106</v>
      </c>
      <c r="C3095" t="s">
        <v>4406</v>
      </c>
      <c r="D3095" t="s">
        <v>4902</v>
      </c>
      <c r="E3095" t="s">
        <v>4584</v>
      </c>
      <c r="F3095" t="s">
        <v>4649</v>
      </c>
      <c r="G3095" t="s">
        <v>4576</v>
      </c>
      <c r="H3095" t="s">
        <v>4952</v>
      </c>
      <c r="I3095" t="s">
        <v>4406</v>
      </c>
      <c r="J3095" t="s">
        <v>4406</v>
      </c>
      <c r="K3095" t="s">
        <v>4580</v>
      </c>
      <c r="L3095" t="s">
        <v>5017</v>
      </c>
      <c r="M3095" t="s">
        <v>4747</v>
      </c>
      <c r="N3095" t="s">
        <v>4654</v>
      </c>
      <c r="O3095" t="s">
        <v>5123</v>
      </c>
    </row>
    <row r="3096" spans="1:15" x14ac:dyDescent="0.25">
      <c r="A3096" t="s">
        <v>192</v>
      </c>
      <c r="B3096">
        <v>11</v>
      </c>
      <c r="C3096" t="s">
        <v>4406</v>
      </c>
      <c r="D3096" t="s">
        <v>4406</v>
      </c>
      <c r="E3096" t="s">
        <v>4726</v>
      </c>
      <c r="F3096" t="s">
        <v>4405</v>
      </c>
      <c r="G3096" t="s">
        <v>4406</v>
      </c>
      <c r="H3096" t="s">
        <v>4405</v>
      </c>
      <c r="I3096" t="s">
        <v>4406</v>
      </c>
      <c r="J3096" t="s">
        <v>4406</v>
      </c>
      <c r="K3096" t="s">
        <v>4405</v>
      </c>
      <c r="L3096" t="s">
        <v>4767</v>
      </c>
      <c r="M3096" t="s">
        <v>4852</v>
      </c>
      <c r="N3096" t="s">
        <v>4406</v>
      </c>
      <c r="O3096" t="s">
        <v>4405</v>
      </c>
    </row>
    <row r="3097" spans="1:15" x14ac:dyDescent="0.25">
      <c r="A3097" t="s">
        <v>1296</v>
      </c>
      <c r="B3097">
        <v>117</v>
      </c>
      <c r="C3097" t="s">
        <v>4406</v>
      </c>
      <c r="D3097" t="s">
        <v>4902</v>
      </c>
      <c r="E3097" t="s">
        <v>4944</v>
      </c>
      <c r="F3097" t="s">
        <v>4667</v>
      </c>
      <c r="G3097" t="s">
        <v>4671</v>
      </c>
      <c r="H3097" t="s">
        <v>4888</v>
      </c>
      <c r="I3097" t="s">
        <v>4406</v>
      </c>
      <c r="J3097" t="s">
        <v>4406</v>
      </c>
      <c r="K3097" t="s">
        <v>5108</v>
      </c>
      <c r="L3097" t="s">
        <v>5010</v>
      </c>
      <c r="M3097" t="s">
        <v>4731</v>
      </c>
      <c r="N3097" t="s">
        <v>4627</v>
      </c>
      <c r="O3097" t="s">
        <v>4685</v>
      </c>
    </row>
    <row r="3099" spans="1:15" x14ac:dyDescent="0.25">
      <c r="A3099" t="s">
        <v>5937</v>
      </c>
    </row>
    <row r="3100" spans="1:15" x14ac:dyDescent="0.25">
      <c r="A3100" t="s">
        <v>910</v>
      </c>
      <c r="B3100" t="s">
        <v>4394</v>
      </c>
      <c r="C3100" t="s">
        <v>5288</v>
      </c>
      <c r="D3100" t="s">
        <v>4732</v>
      </c>
      <c r="E3100" t="s">
        <v>5289</v>
      </c>
      <c r="F3100" t="s">
        <v>5290</v>
      </c>
      <c r="G3100" t="s">
        <v>5291</v>
      </c>
      <c r="H3100" t="s">
        <v>5292</v>
      </c>
      <c r="I3100" t="s">
        <v>4736</v>
      </c>
      <c r="J3100" t="s">
        <v>4737</v>
      </c>
      <c r="K3100" t="s">
        <v>5293</v>
      </c>
      <c r="L3100" t="s">
        <v>5294</v>
      </c>
      <c r="M3100" t="s">
        <v>5295</v>
      </c>
      <c r="N3100" t="s">
        <v>5296</v>
      </c>
      <c r="O3100" t="s">
        <v>5297</v>
      </c>
    </row>
    <row r="3101" spans="1:15" x14ac:dyDescent="0.25">
      <c r="A3101" t="s">
        <v>1371</v>
      </c>
      <c r="B3101">
        <v>15</v>
      </c>
      <c r="C3101" t="s">
        <v>4406</v>
      </c>
      <c r="D3101" t="s">
        <v>4406</v>
      </c>
      <c r="E3101" t="s">
        <v>4458</v>
      </c>
      <c r="F3101" t="s">
        <v>4416</v>
      </c>
      <c r="G3101" t="s">
        <v>4416</v>
      </c>
      <c r="H3101" t="s">
        <v>4416</v>
      </c>
      <c r="I3101" t="s">
        <v>4406</v>
      </c>
      <c r="J3101" t="s">
        <v>4406</v>
      </c>
      <c r="K3101" t="s">
        <v>4415</v>
      </c>
      <c r="L3101" t="s">
        <v>5220</v>
      </c>
      <c r="M3101" t="s">
        <v>4472</v>
      </c>
      <c r="N3101" t="s">
        <v>4416</v>
      </c>
      <c r="O3101" t="s">
        <v>4458</v>
      </c>
    </row>
    <row r="3102" spans="1:15" x14ac:dyDescent="0.25">
      <c r="A3102" t="s">
        <v>1452</v>
      </c>
      <c r="B3102">
        <v>10</v>
      </c>
      <c r="C3102" t="s">
        <v>4406</v>
      </c>
      <c r="D3102" t="s">
        <v>4646</v>
      </c>
      <c r="E3102" t="s">
        <v>4489</v>
      </c>
      <c r="F3102" t="s">
        <v>4646</v>
      </c>
      <c r="G3102" t="s">
        <v>4646</v>
      </c>
      <c r="H3102" t="s">
        <v>4646</v>
      </c>
      <c r="I3102" t="s">
        <v>4406</v>
      </c>
      <c r="J3102" t="s">
        <v>4406</v>
      </c>
      <c r="K3102" t="s">
        <v>4472</v>
      </c>
      <c r="L3102" t="s">
        <v>4782</v>
      </c>
      <c r="M3102" t="s">
        <v>4472</v>
      </c>
      <c r="N3102" t="s">
        <v>4406</v>
      </c>
      <c r="O3102" t="s">
        <v>4646</v>
      </c>
    </row>
    <row r="3103" spans="1:15" x14ac:dyDescent="0.25">
      <c r="A3103" t="s">
        <v>5560</v>
      </c>
      <c r="B3103">
        <v>17</v>
      </c>
      <c r="C3103" t="s">
        <v>4406</v>
      </c>
      <c r="D3103" t="s">
        <v>4406</v>
      </c>
      <c r="E3103" t="s">
        <v>4699</v>
      </c>
      <c r="F3103" t="s">
        <v>4406</v>
      </c>
      <c r="G3103" t="s">
        <v>4617</v>
      </c>
      <c r="H3103" t="s">
        <v>4406</v>
      </c>
      <c r="I3103" t="s">
        <v>4406</v>
      </c>
      <c r="J3103" t="s">
        <v>4406</v>
      </c>
      <c r="K3103" t="s">
        <v>4616</v>
      </c>
      <c r="L3103" t="s">
        <v>4729</v>
      </c>
      <c r="M3103" t="s">
        <v>4616</v>
      </c>
      <c r="N3103" t="s">
        <v>4406</v>
      </c>
      <c r="O3103" t="s">
        <v>4617</v>
      </c>
    </row>
    <row r="3104" spans="1:15" x14ac:dyDescent="0.25">
      <c r="A3104" t="s">
        <v>1424</v>
      </c>
      <c r="B3104">
        <v>45</v>
      </c>
      <c r="C3104" t="s">
        <v>4406</v>
      </c>
      <c r="D3104" t="s">
        <v>4406</v>
      </c>
      <c r="E3104" t="s">
        <v>4530</v>
      </c>
      <c r="F3104" t="s">
        <v>4581</v>
      </c>
      <c r="G3104" t="s">
        <v>4416</v>
      </c>
      <c r="H3104" t="s">
        <v>4406</v>
      </c>
      <c r="I3104" t="s">
        <v>4406</v>
      </c>
      <c r="J3104" t="s">
        <v>4406</v>
      </c>
      <c r="K3104" t="s">
        <v>4415</v>
      </c>
      <c r="L3104" t="s">
        <v>4985</v>
      </c>
      <c r="M3104" t="s">
        <v>4472</v>
      </c>
      <c r="N3104" t="s">
        <v>4716</v>
      </c>
      <c r="O3104" t="s">
        <v>4839</v>
      </c>
    </row>
    <row r="3105" spans="1:15" x14ac:dyDescent="0.25">
      <c r="A3105" t="s">
        <v>1340</v>
      </c>
      <c r="B3105">
        <v>15</v>
      </c>
      <c r="C3105" t="s">
        <v>4406</v>
      </c>
      <c r="D3105" t="s">
        <v>4406</v>
      </c>
      <c r="E3105" t="s">
        <v>4607</v>
      </c>
      <c r="F3105" t="s">
        <v>4416</v>
      </c>
      <c r="G3105" t="s">
        <v>4415</v>
      </c>
      <c r="H3105" t="s">
        <v>4416</v>
      </c>
      <c r="I3105" t="s">
        <v>4406</v>
      </c>
      <c r="J3105" t="s">
        <v>4406</v>
      </c>
      <c r="K3105" t="s">
        <v>5107</v>
      </c>
      <c r="L3105" t="s">
        <v>5092</v>
      </c>
      <c r="M3105" t="s">
        <v>4458</v>
      </c>
      <c r="N3105" t="s">
        <v>4406</v>
      </c>
      <c r="O3105" t="s">
        <v>4472</v>
      </c>
    </row>
    <row r="3106" spans="1:15" x14ac:dyDescent="0.25">
      <c r="A3106" t="s">
        <v>5561</v>
      </c>
      <c r="B3106">
        <v>3</v>
      </c>
      <c r="C3106" t="s">
        <v>4406</v>
      </c>
      <c r="D3106" t="s">
        <v>4406</v>
      </c>
      <c r="E3106" t="s">
        <v>4406</v>
      </c>
      <c r="F3106" t="s">
        <v>4465</v>
      </c>
      <c r="G3106" t="s">
        <v>4465</v>
      </c>
      <c r="H3106" t="s">
        <v>4406</v>
      </c>
      <c r="I3106" t="s">
        <v>4406</v>
      </c>
      <c r="J3106" t="s">
        <v>4406</v>
      </c>
      <c r="K3106" t="s">
        <v>4465</v>
      </c>
      <c r="L3106" t="s">
        <v>4454</v>
      </c>
      <c r="M3106" t="s">
        <v>4406</v>
      </c>
      <c r="N3106" t="s">
        <v>4465</v>
      </c>
      <c r="O3106" t="s">
        <v>4454</v>
      </c>
    </row>
    <row r="3107" spans="1:15" x14ac:dyDescent="0.25">
      <c r="A3107" t="s">
        <v>1416</v>
      </c>
      <c r="B3107">
        <v>12</v>
      </c>
      <c r="C3107" t="s">
        <v>4406</v>
      </c>
      <c r="D3107" t="s">
        <v>4406</v>
      </c>
      <c r="E3107" t="s">
        <v>4596</v>
      </c>
      <c r="F3107" t="s">
        <v>4406</v>
      </c>
      <c r="G3107" t="s">
        <v>4465</v>
      </c>
      <c r="H3107" t="s">
        <v>4943</v>
      </c>
      <c r="I3107" t="s">
        <v>4406</v>
      </c>
      <c r="J3107" t="s">
        <v>4406</v>
      </c>
      <c r="K3107" t="s">
        <v>4596</v>
      </c>
      <c r="L3107" t="s">
        <v>4783</v>
      </c>
      <c r="M3107" t="s">
        <v>4462</v>
      </c>
      <c r="N3107" t="s">
        <v>4406</v>
      </c>
      <c r="O3107" t="s">
        <v>4943</v>
      </c>
    </row>
    <row r="3108" spans="1:15" x14ac:dyDescent="0.25">
      <c r="A3108" t="s">
        <v>1296</v>
      </c>
      <c r="B3108">
        <v>117</v>
      </c>
      <c r="C3108" t="s">
        <v>4406</v>
      </c>
      <c r="D3108" t="s">
        <v>4902</v>
      </c>
      <c r="E3108" t="s">
        <v>4944</v>
      </c>
      <c r="F3108" t="s">
        <v>4667</v>
      </c>
      <c r="G3108" t="s">
        <v>4671</v>
      </c>
      <c r="H3108" t="s">
        <v>4888</v>
      </c>
      <c r="I3108" t="s">
        <v>4406</v>
      </c>
      <c r="J3108" t="s">
        <v>4406</v>
      </c>
      <c r="K3108" t="s">
        <v>5108</v>
      </c>
      <c r="L3108" t="s">
        <v>5010</v>
      </c>
      <c r="M3108" t="s">
        <v>4731</v>
      </c>
      <c r="N3108" t="s">
        <v>4627</v>
      </c>
      <c r="O3108" t="s">
        <v>4685</v>
      </c>
    </row>
    <row r="3110" spans="1:15" x14ac:dyDescent="0.25">
      <c r="A3110" t="s">
        <v>5938</v>
      </c>
    </row>
    <row r="3111" spans="1:15" x14ac:dyDescent="0.25">
      <c r="A3111" t="s">
        <v>928</v>
      </c>
      <c r="B3111" t="s">
        <v>4394</v>
      </c>
      <c r="C3111" t="s">
        <v>5288</v>
      </c>
      <c r="D3111" t="s">
        <v>4732</v>
      </c>
      <c r="E3111" t="s">
        <v>5289</v>
      </c>
      <c r="F3111" t="s">
        <v>5290</v>
      </c>
      <c r="G3111" t="s">
        <v>5291</v>
      </c>
      <c r="H3111" t="s">
        <v>5292</v>
      </c>
      <c r="I3111" t="s">
        <v>4736</v>
      </c>
      <c r="J3111" t="s">
        <v>4737</v>
      </c>
      <c r="K3111" t="s">
        <v>5293</v>
      </c>
      <c r="L3111" t="s">
        <v>5294</v>
      </c>
      <c r="M3111" t="s">
        <v>5295</v>
      </c>
      <c r="N3111" t="s">
        <v>5296</v>
      </c>
      <c r="O3111" t="s">
        <v>5297</v>
      </c>
    </row>
    <row r="3112" spans="1:15" x14ac:dyDescent="0.25">
      <c r="A3112" t="s">
        <v>4433</v>
      </c>
      <c r="B3112">
        <v>1</v>
      </c>
      <c r="C3112" t="s">
        <v>4406</v>
      </c>
      <c r="D3112" t="s">
        <v>4406</v>
      </c>
      <c r="E3112" t="s">
        <v>4406</v>
      </c>
      <c r="F3112" t="s">
        <v>4406</v>
      </c>
      <c r="G3112" t="s">
        <v>4406</v>
      </c>
      <c r="H3112" t="s">
        <v>4406</v>
      </c>
      <c r="I3112" t="s">
        <v>4406</v>
      </c>
      <c r="J3112" t="s">
        <v>4406</v>
      </c>
      <c r="K3112" t="s">
        <v>4406</v>
      </c>
      <c r="L3112" t="s">
        <v>4454</v>
      </c>
      <c r="M3112" t="s">
        <v>4454</v>
      </c>
      <c r="N3112" t="s">
        <v>4406</v>
      </c>
      <c r="O3112" t="s">
        <v>4406</v>
      </c>
    </row>
    <row r="3113" spans="1:15" x14ac:dyDescent="0.25">
      <c r="A3113" t="s">
        <v>4434</v>
      </c>
      <c r="B3113">
        <v>50</v>
      </c>
      <c r="C3113" t="s">
        <v>4406</v>
      </c>
      <c r="D3113" t="s">
        <v>4744</v>
      </c>
      <c r="E3113" t="s">
        <v>5126</v>
      </c>
      <c r="F3113" t="s">
        <v>4744</v>
      </c>
      <c r="G3113" t="s">
        <v>4921</v>
      </c>
      <c r="H3113" t="s">
        <v>4744</v>
      </c>
      <c r="I3113" t="s">
        <v>4406</v>
      </c>
      <c r="J3113" t="s">
        <v>4406</v>
      </c>
      <c r="K3113" t="s">
        <v>4629</v>
      </c>
      <c r="L3113" t="s">
        <v>4996</v>
      </c>
      <c r="M3113" t="s">
        <v>5174</v>
      </c>
      <c r="N3113" t="s">
        <v>4744</v>
      </c>
      <c r="O3113" t="s">
        <v>4707</v>
      </c>
    </row>
    <row r="3114" spans="1:15" x14ac:dyDescent="0.25">
      <c r="A3114" t="s">
        <v>4435</v>
      </c>
      <c r="B3114">
        <v>33</v>
      </c>
      <c r="C3114" t="s">
        <v>4406</v>
      </c>
      <c r="D3114" t="s">
        <v>4406</v>
      </c>
      <c r="E3114" t="s">
        <v>4626</v>
      </c>
      <c r="F3114" t="s">
        <v>4406</v>
      </c>
      <c r="G3114" t="s">
        <v>4405</v>
      </c>
      <c r="H3114" t="s">
        <v>4741</v>
      </c>
      <c r="I3114" t="s">
        <v>4406</v>
      </c>
      <c r="J3114" t="s">
        <v>4406</v>
      </c>
      <c r="K3114" t="s">
        <v>4405</v>
      </c>
      <c r="L3114" t="s">
        <v>4982</v>
      </c>
      <c r="M3114" t="s">
        <v>4453</v>
      </c>
      <c r="N3114" t="s">
        <v>4626</v>
      </c>
      <c r="O3114" t="s">
        <v>4406</v>
      </c>
    </row>
    <row r="3115" spans="1:15" x14ac:dyDescent="0.25">
      <c r="A3115" t="s">
        <v>4436</v>
      </c>
      <c r="B3115">
        <v>33</v>
      </c>
      <c r="C3115" t="s">
        <v>4406</v>
      </c>
      <c r="D3115" t="s">
        <v>4406</v>
      </c>
      <c r="E3115" t="s">
        <v>4492</v>
      </c>
      <c r="F3115" t="s">
        <v>4539</v>
      </c>
      <c r="G3115" t="s">
        <v>4852</v>
      </c>
      <c r="H3115" t="s">
        <v>4626</v>
      </c>
      <c r="I3115" t="s">
        <v>4406</v>
      </c>
      <c r="J3115" t="s">
        <v>4406</v>
      </c>
      <c r="K3115" t="s">
        <v>4453</v>
      </c>
      <c r="L3115" t="s">
        <v>4781</v>
      </c>
      <c r="M3115" t="s">
        <v>4741</v>
      </c>
      <c r="N3115" t="s">
        <v>4539</v>
      </c>
      <c r="O3115" t="s">
        <v>4781</v>
      </c>
    </row>
    <row r="3116" spans="1:15" x14ac:dyDescent="0.25">
      <c r="A3116" t="s">
        <v>1296</v>
      </c>
      <c r="B3116">
        <v>117</v>
      </c>
      <c r="C3116" t="s">
        <v>4406</v>
      </c>
      <c r="D3116" t="s">
        <v>4902</v>
      </c>
      <c r="E3116" t="s">
        <v>4944</v>
      </c>
      <c r="F3116" t="s">
        <v>4667</v>
      </c>
      <c r="G3116" t="s">
        <v>4671</v>
      </c>
      <c r="H3116" t="s">
        <v>4888</v>
      </c>
      <c r="I3116" t="s">
        <v>4406</v>
      </c>
      <c r="J3116" t="s">
        <v>4406</v>
      </c>
      <c r="K3116" t="s">
        <v>5108</v>
      </c>
      <c r="L3116" t="s">
        <v>5010</v>
      </c>
      <c r="M3116" t="s">
        <v>4731</v>
      </c>
      <c r="N3116" t="s">
        <v>4627</v>
      </c>
      <c r="O3116" t="s">
        <v>4685</v>
      </c>
    </row>
    <row r="3118" spans="1:15" x14ac:dyDescent="0.25">
      <c r="A3118" t="s">
        <v>5939</v>
      </c>
    </row>
    <row r="3119" spans="1:15" x14ac:dyDescent="0.25">
      <c r="A3119" t="s">
        <v>903</v>
      </c>
      <c r="B3119" t="s">
        <v>4394</v>
      </c>
      <c r="C3119" t="s">
        <v>5288</v>
      </c>
      <c r="D3119" t="s">
        <v>4732</v>
      </c>
      <c r="E3119" t="s">
        <v>5289</v>
      </c>
      <c r="F3119" t="s">
        <v>5290</v>
      </c>
      <c r="G3119" t="s">
        <v>5291</v>
      </c>
      <c r="H3119" t="s">
        <v>5292</v>
      </c>
      <c r="I3119" t="s">
        <v>4736</v>
      </c>
      <c r="J3119" t="s">
        <v>4737</v>
      </c>
      <c r="K3119" t="s">
        <v>5293</v>
      </c>
      <c r="L3119" t="s">
        <v>5294</v>
      </c>
      <c r="M3119" t="s">
        <v>5295</v>
      </c>
      <c r="N3119" t="s">
        <v>5296</v>
      </c>
      <c r="O3119" t="s">
        <v>5297</v>
      </c>
    </row>
    <row r="3120" spans="1:15" x14ac:dyDescent="0.25">
      <c r="A3120" t="s">
        <v>70</v>
      </c>
      <c r="B3120">
        <v>37</v>
      </c>
      <c r="C3120" t="s">
        <v>4406</v>
      </c>
      <c r="D3120" t="s">
        <v>4406</v>
      </c>
      <c r="E3120" t="s">
        <v>4533</v>
      </c>
      <c r="F3120" t="s">
        <v>4494</v>
      </c>
      <c r="G3120" t="s">
        <v>4625</v>
      </c>
      <c r="H3120" t="s">
        <v>4931</v>
      </c>
      <c r="I3120" t="s">
        <v>4406</v>
      </c>
      <c r="J3120" t="s">
        <v>4406</v>
      </c>
      <c r="K3120" t="s">
        <v>5157</v>
      </c>
      <c r="L3120" t="s">
        <v>5300</v>
      </c>
      <c r="M3120" t="s">
        <v>4494</v>
      </c>
      <c r="N3120" t="s">
        <v>4494</v>
      </c>
      <c r="O3120" t="s">
        <v>5301</v>
      </c>
    </row>
    <row r="3121" spans="1:15" x14ac:dyDescent="0.25">
      <c r="A3121" t="s">
        <v>71</v>
      </c>
      <c r="B3121">
        <v>80</v>
      </c>
      <c r="C3121" t="s">
        <v>4406</v>
      </c>
      <c r="D3121" t="s">
        <v>4422</v>
      </c>
      <c r="E3121" t="s">
        <v>4479</v>
      </c>
      <c r="F3121" t="s">
        <v>4406</v>
      </c>
      <c r="G3121" t="s">
        <v>4479</v>
      </c>
      <c r="H3121" t="s">
        <v>4720</v>
      </c>
      <c r="I3121" t="s">
        <v>4406</v>
      </c>
      <c r="J3121" t="s">
        <v>4406</v>
      </c>
      <c r="K3121" t="s">
        <v>5053</v>
      </c>
      <c r="L3121" t="s">
        <v>4945</v>
      </c>
      <c r="M3121" t="s">
        <v>4674</v>
      </c>
      <c r="N3121" t="s">
        <v>4422</v>
      </c>
      <c r="O3121" t="s">
        <v>4646</v>
      </c>
    </row>
    <row r="3122" spans="1:15" x14ac:dyDescent="0.25">
      <c r="A3122" t="s">
        <v>1296</v>
      </c>
      <c r="B3122">
        <v>117</v>
      </c>
      <c r="C3122" t="s">
        <v>4406</v>
      </c>
      <c r="D3122" t="s">
        <v>4902</v>
      </c>
      <c r="E3122" t="s">
        <v>4944</v>
      </c>
      <c r="F3122" t="s">
        <v>4667</v>
      </c>
      <c r="G3122" t="s">
        <v>4671</v>
      </c>
      <c r="H3122" t="s">
        <v>4888</v>
      </c>
      <c r="I3122" t="s">
        <v>4406</v>
      </c>
      <c r="J3122" t="s">
        <v>4406</v>
      </c>
      <c r="K3122" t="s">
        <v>5108</v>
      </c>
      <c r="L3122" t="s">
        <v>5010</v>
      </c>
      <c r="M3122" t="s">
        <v>4731</v>
      </c>
      <c r="N3122" t="s">
        <v>4627</v>
      </c>
      <c r="O3122" t="s">
        <v>4685</v>
      </c>
    </row>
    <row r="3124" spans="1:15" x14ac:dyDescent="0.25">
      <c r="A3124" t="s">
        <v>5940</v>
      </c>
    </row>
    <row r="3125" spans="1:15" x14ac:dyDescent="0.25">
      <c r="A3125" t="s">
        <v>1297</v>
      </c>
      <c r="B3125" t="s">
        <v>4394</v>
      </c>
      <c r="C3125" t="s">
        <v>4622</v>
      </c>
      <c r="D3125" t="s">
        <v>4624</v>
      </c>
    </row>
    <row r="3126" spans="1:15" x14ac:dyDescent="0.25">
      <c r="A3126" t="s">
        <v>5549</v>
      </c>
      <c r="B3126">
        <v>70</v>
      </c>
      <c r="C3126" t="s">
        <v>4458</v>
      </c>
      <c r="D3126" t="s">
        <v>4457</v>
      </c>
    </row>
    <row r="3127" spans="1:15" x14ac:dyDescent="0.25">
      <c r="A3127" t="s">
        <v>1397</v>
      </c>
      <c r="B3127">
        <v>28</v>
      </c>
      <c r="C3127" t="s">
        <v>4778</v>
      </c>
      <c r="D3127" t="s">
        <v>4447</v>
      </c>
    </row>
    <row r="3128" spans="1:15" x14ac:dyDescent="0.25">
      <c r="A3128" t="s">
        <v>1296</v>
      </c>
      <c r="B3128">
        <v>98</v>
      </c>
      <c r="C3128" t="s">
        <v>4476</v>
      </c>
      <c r="D3128" t="s">
        <v>4586</v>
      </c>
    </row>
    <row r="3130" spans="1:15" x14ac:dyDescent="0.25">
      <c r="A3130" t="s">
        <v>5941</v>
      </c>
    </row>
    <row r="3131" spans="1:15" x14ac:dyDescent="0.25">
      <c r="A3131" t="s">
        <v>906</v>
      </c>
      <c r="B3131" t="s">
        <v>4394</v>
      </c>
      <c r="C3131" t="s">
        <v>4622</v>
      </c>
      <c r="D3131" t="s">
        <v>4624</v>
      </c>
    </row>
    <row r="3132" spans="1:15" x14ac:dyDescent="0.25">
      <c r="A3132" t="s">
        <v>1338</v>
      </c>
      <c r="B3132">
        <v>14</v>
      </c>
      <c r="C3132" t="s">
        <v>4449</v>
      </c>
      <c r="D3132" t="s">
        <v>4700</v>
      </c>
    </row>
    <row r="3133" spans="1:15" x14ac:dyDescent="0.25">
      <c r="A3133" t="s">
        <v>1370</v>
      </c>
      <c r="B3133">
        <v>5</v>
      </c>
      <c r="C3133" t="s">
        <v>4458</v>
      </c>
      <c r="D3133" t="s">
        <v>4457</v>
      </c>
    </row>
    <row r="3134" spans="1:15" x14ac:dyDescent="0.25">
      <c r="A3134" t="s">
        <v>1439</v>
      </c>
      <c r="B3134">
        <v>5</v>
      </c>
      <c r="C3134" t="s">
        <v>4458</v>
      </c>
      <c r="D3134" t="s">
        <v>4457</v>
      </c>
    </row>
    <row r="3135" spans="1:15" x14ac:dyDescent="0.25">
      <c r="A3135" t="s">
        <v>1476</v>
      </c>
      <c r="B3135">
        <v>51</v>
      </c>
      <c r="C3135" t="s">
        <v>4655</v>
      </c>
      <c r="D3135" t="s">
        <v>5164</v>
      </c>
    </row>
    <row r="3136" spans="1:15" x14ac:dyDescent="0.25">
      <c r="A3136" t="s">
        <v>5476</v>
      </c>
      <c r="B3136">
        <v>4</v>
      </c>
      <c r="C3136" t="s">
        <v>4462</v>
      </c>
      <c r="D3136" t="s">
        <v>4793</v>
      </c>
    </row>
    <row r="3137" spans="1:4" x14ac:dyDescent="0.25">
      <c r="A3137" t="s">
        <v>1399</v>
      </c>
      <c r="B3137">
        <v>10</v>
      </c>
      <c r="C3137" t="s">
        <v>4468</v>
      </c>
      <c r="D3137" t="s">
        <v>4468</v>
      </c>
    </row>
    <row r="3138" spans="1:4" x14ac:dyDescent="0.25">
      <c r="A3138" t="s">
        <v>1415</v>
      </c>
      <c r="B3138">
        <v>9</v>
      </c>
      <c r="C3138" t="s">
        <v>4727</v>
      </c>
      <c r="D3138" t="s">
        <v>4570</v>
      </c>
    </row>
    <row r="3139" spans="1:4" x14ac:dyDescent="0.25">
      <c r="A3139" t="s">
        <v>1296</v>
      </c>
      <c r="B3139">
        <v>98</v>
      </c>
      <c r="C3139" t="s">
        <v>4476</v>
      </c>
      <c r="D3139" t="s">
        <v>4586</v>
      </c>
    </row>
    <row r="3141" spans="1:4" x14ac:dyDescent="0.25">
      <c r="A3141" t="s">
        <v>5942</v>
      </c>
    </row>
    <row r="3142" spans="1:4" x14ac:dyDescent="0.25">
      <c r="A3142" t="s">
        <v>907</v>
      </c>
      <c r="B3142" t="s">
        <v>4394</v>
      </c>
      <c r="C3142" t="s">
        <v>4622</v>
      </c>
      <c r="D3142" t="s">
        <v>4624</v>
      </c>
    </row>
    <row r="3143" spans="1:4" x14ac:dyDescent="0.25">
      <c r="A3143" t="s">
        <v>109</v>
      </c>
      <c r="B3143">
        <v>80</v>
      </c>
      <c r="C3143" t="s">
        <v>4502</v>
      </c>
      <c r="D3143" t="s">
        <v>5210</v>
      </c>
    </row>
    <row r="3144" spans="1:4" x14ac:dyDescent="0.25">
      <c r="A3144" t="s">
        <v>192</v>
      </c>
      <c r="B3144">
        <v>18</v>
      </c>
      <c r="C3144" t="s">
        <v>4482</v>
      </c>
      <c r="D3144" t="s">
        <v>5228</v>
      </c>
    </row>
    <row r="3145" spans="1:4" x14ac:dyDescent="0.25">
      <c r="A3145" t="s">
        <v>1296</v>
      </c>
      <c r="B3145">
        <v>98</v>
      </c>
      <c r="C3145" t="s">
        <v>4476</v>
      </c>
      <c r="D3145" t="s">
        <v>4586</v>
      </c>
    </row>
    <row r="3147" spans="1:4" x14ac:dyDescent="0.25">
      <c r="A3147" t="s">
        <v>5943</v>
      </c>
    </row>
    <row r="3148" spans="1:4" x14ac:dyDescent="0.25">
      <c r="A3148" t="s">
        <v>903</v>
      </c>
      <c r="B3148" t="s">
        <v>4394</v>
      </c>
      <c r="C3148" t="s">
        <v>4622</v>
      </c>
      <c r="D3148" t="s">
        <v>4624</v>
      </c>
    </row>
    <row r="3149" spans="1:4" x14ac:dyDescent="0.25">
      <c r="A3149" t="s">
        <v>70</v>
      </c>
      <c r="B3149">
        <v>47</v>
      </c>
      <c r="C3149" t="s">
        <v>5128</v>
      </c>
      <c r="D3149" t="s">
        <v>5258</v>
      </c>
    </row>
    <row r="3150" spans="1:4" x14ac:dyDescent="0.25">
      <c r="A3150" t="s">
        <v>71</v>
      </c>
      <c r="B3150">
        <v>51</v>
      </c>
      <c r="C3150" t="s">
        <v>5169</v>
      </c>
      <c r="D3150" t="s">
        <v>4694</v>
      </c>
    </row>
    <row r="3151" spans="1:4" x14ac:dyDescent="0.25">
      <c r="A3151" t="s">
        <v>1296</v>
      </c>
      <c r="B3151">
        <v>98</v>
      </c>
      <c r="C3151" t="s">
        <v>4476</v>
      </c>
      <c r="D3151" t="s">
        <v>4586</v>
      </c>
    </row>
    <row r="3153" spans="1:7" x14ac:dyDescent="0.25">
      <c r="A3153" t="s">
        <v>5944</v>
      </c>
    </row>
    <row r="3154" spans="1:7" x14ac:dyDescent="0.25">
      <c r="A3154" t="s">
        <v>1297</v>
      </c>
      <c r="B3154" t="s">
        <v>4394</v>
      </c>
      <c r="C3154" t="s">
        <v>5302</v>
      </c>
      <c r="D3154" t="s">
        <v>5303</v>
      </c>
      <c r="E3154" t="s">
        <v>5304</v>
      </c>
      <c r="F3154" t="s">
        <v>5305</v>
      </c>
      <c r="G3154" t="s">
        <v>5306</v>
      </c>
    </row>
    <row r="3155" spans="1:7" x14ac:dyDescent="0.25">
      <c r="A3155" t="s">
        <v>5549</v>
      </c>
      <c r="B3155">
        <v>198</v>
      </c>
      <c r="C3155" t="s">
        <v>5307</v>
      </c>
      <c r="D3155" t="s">
        <v>4999</v>
      </c>
      <c r="E3155" t="s">
        <v>4627</v>
      </c>
      <c r="F3155" t="s">
        <v>4404</v>
      </c>
      <c r="G3155" t="s">
        <v>4402</v>
      </c>
    </row>
    <row r="3156" spans="1:7" x14ac:dyDescent="0.25">
      <c r="A3156" t="s">
        <v>1397</v>
      </c>
      <c r="B3156">
        <v>99</v>
      </c>
      <c r="C3156" t="s">
        <v>4841</v>
      </c>
      <c r="D3156" t="s">
        <v>4453</v>
      </c>
      <c r="E3156" t="s">
        <v>4626</v>
      </c>
      <c r="F3156" t="s">
        <v>4402</v>
      </c>
      <c r="G3156" t="s">
        <v>4406</v>
      </c>
    </row>
    <row r="3157" spans="1:7" x14ac:dyDescent="0.25">
      <c r="A3157" t="s">
        <v>1296</v>
      </c>
      <c r="B3157">
        <v>297</v>
      </c>
      <c r="C3157" t="s">
        <v>5133</v>
      </c>
      <c r="D3157" t="s">
        <v>4548</v>
      </c>
      <c r="E3157" t="s">
        <v>4885</v>
      </c>
      <c r="F3157" t="s">
        <v>4410</v>
      </c>
      <c r="G3157" t="s">
        <v>4410</v>
      </c>
    </row>
    <row r="3159" spans="1:7" x14ac:dyDescent="0.25">
      <c r="A3159" t="s">
        <v>5945</v>
      </c>
    </row>
    <row r="3160" spans="1:7" x14ac:dyDescent="0.25">
      <c r="A3160" t="s">
        <v>905</v>
      </c>
      <c r="B3160" t="s">
        <v>4394</v>
      </c>
      <c r="C3160" t="s">
        <v>5302</v>
      </c>
      <c r="D3160" t="s">
        <v>5303</v>
      </c>
      <c r="E3160" t="s">
        <v>5304</v>
      </c>
      <c r="F3160" t="s">
        <v>5305</v>
      </c>
      <c r="G3160" t="s">
        <v>5306</v>
      </c>
    </row>
    <row r="3161" spans="1:7" x14ac:dyDescent="0.25">
      <c r="A3161" t="s">
        <v>4844</v>
      </c>
      <c r="B3161">
        <v>36</v>
      </c>
      <c r="C3161" t="s">
        <v>5005</v>
      </c>
      <c r="D3161" t="s">
        <v>4676</v>
      </c>
      <c r="E3161" t="s">
        <v>4406</v>
      </c>
      <c r="F3161" t="s">
        <v>4406</v>
      </c>
      <c r="G3161" t="s">
        <v>4406</v>
      </c>
    </row>
    <row r="3162" spans="1:7" x14ac:dyDescent="0.25">
      <c r="A3162" t="s">
        <v>4845</v>
      </c>
      <c r="B3162">
        <v>230</v>
      </c>
      <c r="C3162" t="s">
        <v>5310</v>
      </c>
      <c r="D3162" t="s">
        <v>4992</v>
      </c>
      <c r="E3162" t="s">
        <v>4749</v>
      </c>
      <c r="F3162" t="s">
        <v>4818</v>
      </c>
      <c r="G3162" t="s">
        <v>4818</v>
      </c>
    </row>
    <row r="3163" spans="1:7" x14ac:dyDescent="0.25">
      <c r="A3163" t="s">
        <v>4846</v>
      </c>
      <c r="B3163">
        <v>31</v>
      </c>
      <c r="C3163" t="s">
        <v>4562</v>
      </c>
      <c r="D3163" t="s">
        <v>4561</v>
      </c>
      <c r="E3163" t="s">
        <v>4670</v>
      </c>
      <c r="F3163" t="s">
        <v>4713</v>
      </c>
      <c r="G3163" t="s">
        <v>4713</v>
      </c>
    </row>
    <row r="3164" spans="1:7" x14ac:dyDescent="0.25">
      <c r="A3164" t="s">
        <v>1296</v>
      </c>
      <c r="B3164">
        <v>297</v>
      </c>
      <c r="C3164" t="s">
        <v>5133</v>
      </c>
      <c r="D3164" t="s">
        <v>4548</v>
      </c>
      <c r="E3164" t="s">
        <v>4885</v>
      </c>
      <c r="F3164" t="s">
        <v>4410</v>
      </c>
      <c r="G3164" t="s">
        <v>4410</v>
      </c>
    </row>
    <row r="3166" spans="1:7" x14ac:dyDescent="0.25">
      <c r="A3166" t="s">
        <v>5946</v>
      </c>
    </row>
    <row r="3167" spans="1:7" x14ac:dyDescent="0.25">
      <c r="A3167" t="s">
        <v>906</v>
      </c>
      <c r="B3167" t="s">
        <v>4394</v>
      </c>
      <c r="C3167" t="s">
        <v>5302</v>
      </c>
      <c r="D3167" t="s">
        <v>5303</v>
      </c>
      <c r="E3167" t="s">
        <v>5304</v>
      </c>
      <c r="F3167" t="s">
        <v>5305</v>
      </c>
      <c r="G3167" t="s">
        <v>5306</v>
      </c>
    </row>
    <row r="3168" spans="1:7" x14ac:dyDescent="0.25">
      <c r="A3168" t="s">
        <v>1338</v>
      </c>
      <c r="B3168">
        <v>46</v>
      </c>
      <c r="C3168" t="s">
        <v>5024</v>
      </c>
      <c r="D3168" t="s">
        <v>4681</v>
      </c>
      <c r="E3168" t="s">
        <v>4667</v>
      </c>
      <c r="F3168" t="s">
        <v>4406</v>
      </c>
      <c r="G3168" t="s">
        <v>4406</v>
      </c>
    </row>
    <row r="3169" spans="1:7" x14ac:dyDescent="0.25">
      <c r="A3169" t="s">
        <v>1370</v>
      </c>
      <c r="B3169">
        <v>33</v>
      </c>
      <c r="C3169" t="s">
        <v>4767</v>
      </c>
      <c r="D3169" t="s">
        <v>4453</v>
      </c>
      <c r="E3169" t="s">
        <v>4626</v>
      </c>
      <c r="F3169" t="s">
        <v>4626</v>
      </c>
      <c r="G3169" t="s">
        <v>4406</v>
      </c>
    </row>
    <row r="3170" spans="1:7" x14ac:dyDescent="0.25">
      <c r="A3170" t="s">
        <v>1439</v>
      </c>
      <c r="B3170">
        <v>21</v>
      </c>
      <c r="C3170" t="s">
        <v>4814</v>
      </c>
      <c r="D3170" t="s">
        <v>4556</v>
      </c>
      <c r="E3170" t="s">
        <v>4406</v>
      </c>
      <c r="F3170" t="s">
        <v>4749</v>
      </c>
      <c r="G3170" t="s">
        <v>4406</v>
      </c>
    </row>
    <row r="3171" spans="1:7" x14ac:dyDescent="0.25">
      <c r="A3171" t="s">
        <v>1476</v>
      </c>
      <c r="B3171">
        <v>71</v>
      </c>
      <c r="C3171" t="s">
        <v>4968</v>
      </c>
      <c r="D3171" t="s">
        <v>4824</v>
      </c>
      <c r="E3171" t="s">
        <v>4406</v>
      </c>
      <c r="F3171" t="s">
        <v>4406</v>
      </c>
      <c r="G3171" t="s">
        <v>4406</v>
      </c>
    </row>
    <row r="3172" spans="1:7" x14ac:dyDescent="0.25">
      <c r="A3172" t="s">
        <v>5476</v>
      </c>
      <c r="B3172">
        <v>6</v>
      </c>
      <c r="C3172" t="s">
        <v>4783</v>
      </c>
      <c r="D3172" t="s">
        <v>4596</v>
      </c>
      <c r="E3172" t="s">
        <v>4406</v>
      </c>
      <c r="F3172" t="s">
        <v>4406</v>
      </c>
      <c r="G3172" t="s">
        <v>4406</v>
      </c>
    </row>
    <row r="3173" spans="1:7" x14ac:dyDescent="0.25">
      <c r="A3173" t="s">
        <v>1399</v>
      </c>
      <c r="B3173">
        <v>44</v>
      </c>
      <c r="C3173" t="s">
        <v>4837</v>
      </c>
      <c r="D3173" t="s">
        <v>4583</v>
      </c>
      <c r="E3173" t="s">
        <v>4753</v>
      </c>
      <c r="F3173" t="s">
        <v>4406</v>
      </c>
      <c r="G3173" t="s">
        <v>4406</v>
      </c>
    </row>
    <row r="3174" spans="1:7" x14ac:dyDescent="0.25">
      <c r="A3174" t="s">
        <v>1415</v>
      </c>
      <c r="B3174">
        <v>76</v>
      </c>
      <c r="C3174" t="s">
        <v>4884</v>
      </c>
      <c r="D3174" t="s">
        <v>4867</v>
      </c>
      <c r="E3174" t="s">
        <v>4617</v>
      </c>
      <c r="F3174" t="s">
        <v>4406</v>
      </c>
      <c r="G3174" t="s">
        <v>4864</v>
      </c>
    </row>
    <row r="3175" spans="1:7" x14ac:dyDescent="0.25">
      <c r="A3175" t="s">
        <v>1296</v>
      </c>
      <c r="B3175">
        <v>297</v>
      </c>
      <c r="C3175" t="s">
        <v>5133</v>
      </c>
      <c r="D3175" t="s">
        <v>4548</v>
      </c>
      <c r="E3175" t="s">
        <v>4885</v>
      </c>
      <c r="F3175" t="s">
        <v>4410</v>
      </c>
      <c r="G3175" t="s">
        <v>4410</v>
      </c>
    </row>
    <row r="3177" spans="1:7" x14ac:dyDescent="0.25">
      <c r="A3177" t="s">
        <v>5947</v>
      </c>
    </row>
    <row r="3178" spans="1:7" x14ac:dyDescent="0.25">
      <c r="A3178" t="s">
        <v>907</v>
      </c>
      <c r="B3178" t="s">
        <v>4394</v>
      </c>
      <c r="C3178" t="s">
        <v>5302</v>
      </c>
      <c r="D3178" t="s">
        <v>5303</v>
      </c>
      <c r="E3178" t="s">
        <v>5304</v>
      </c>
      <c r="F3178" t="s">
        <v>5305</v>
      </c>
      <c r="G3178" t="s">
        <v>5306</v>
      </c>
    </row>
    <row r="3179" spans="1:7" x14ac:dyDescent="0.25">
      <c r="A3179" t="s">
        <v>109</v>
      </c>
      <c r="B3179">
        <v>257</v>
      </c>
      <c r="C3179" t="s">
        <v>5131</v>
      </c>
      <c r="D3179" t="s">
        <v>4824</v>
      </c>
      <c r="E3179" t="s">
        <v>4667</v>
      </c>
      <c r="F3179" t="s">
        <v>4818</v>
      </c>
      <c r="G3179" t="s">
        <v>4417</v>
      </c>
    </row>
    <row r="3180" spans="1:7" x14ac:dyDescent="0.25">
      <c r="A3180" t="s">
        <v>192</v>
      </c>
      <c r="B3180">
        <v>40</v>
      </c>
      <c r="C3180" t="s">
        <v>5218</v>
      </c>
      <c r="D3180" t="s">
        <v>4472</v>
      </c>
      <c r="E3180" t="s">
        <v>4758</v>
      </c>
      <c r="F3180" t="s">
        <v>4645</v>
      </c>
      <c r="G3180" t="s">
        <v>4406</v>
      </c>
    </row>
    <row r="3181" spans="1:7" x14ac:dyDescent="0.25">
      <c r="A3181" t="s">
        <v>1296</v>
      </c>
      <c r="B3181">
        <v>297</v>
      </c>
      <c r="C3181" t="s">
        <v>5133</v>
      </c>
      <c r="D3181" t="s">
        <v>4548</v>
      </c>
      <c r="E3181" t="s">
        <v>4885</v>
      </c>
      <c r="F3181" t="s">
        <v>4410</v>
      </c>
      <c r="G3181" t="s">
        <v>4410</v>
      </c>
    </row>
    <row r="3183" spans="1:7" x14ac:dyDescent="0.25">
      <c r="A3183" t="s">
        <v>5948</v>
      </c>
    </row>
    <row r="3184" spans="1:7" x14ac:dyDescent="0.25">
      <c r="A3184" t="s">
        <v>910</v>
      </c>
      <c r="B3184" t="s">
        <v>4394</v>
      </c>
      <c r="C3184" t="s">
        <v>5302</v>
      </c>
      <c r="D3184" t="s">
        <v>5303</v>
      </c>
      <c r="E3184" t="s">
        <v>5304</v>
      </c>
      <c r="F3184" t="s">
        <v>5305</v>
      </c>
      <c r="G3184" t="s">
        <v>5306</v>
      </c>
    </row>
    <row r="3185" spans="1:7" x14ac:dyDescent="0.25">
      <c r="A3185" t="s">
        <v>1371</v>
      </c>
      <c r="B3185">
        <v>42</v>
      </c>
      <c r="C3185" t="s">
        <v>4788</v>
      </c>
      <c r="D3185" t="s">
        <v>4785</v>
      </c>
      <c r="E3185" t="s">
        <v>4424</v>
      </c>
      <c r="F3185" t="s">
        <v>4406</v>
      </c>
      <c r="G3185" t="s">
        <v>4406</v>
      </c>
    </row>
    <row r="3186" spans="1:7" x14ac:dyDescent="0.25">
      <c r="A3186" t="s">
        <v>1452</v>
      </c>
      <c r="B3186">
        <v>18</v>
      </c>
      <c r="C3186" t="s">
        <v>5228</v>
      </c>
      <c r="D3186" t="s">
        <v>4731</v>
      </c>
      <c r="E3186" t="s">
        <v>4571</v>
      </c>
      <c r="F3186" t="s">
        <v>4406</v>
      </c>
      <c r="G3186" t="s">
        <v>4406</v>
      </c>
    </row>
    <row r="3187" spans="1:7" x14ac:dyDescent="0.25">
      <c r="A3187" t="s">
        <v>5560</v>
      </c>
      <c r="B3187">
        <v>59</v>
      </c>
      <c r="C3187" t="s">
        <v>5398</v>
      </c>
      <c r="D3187" t="s">
        <v>4933</v>
      </c>
      <c r="E3187" t="s">
        <v>4406</v>
      </c>
      <c r="F3187" t="s">
        <v>4419</v>
      </c>
      <c r="G3187" t="s">
        <v>4406</v>
      </c>
    </row>
    <row r="3188" spans="1:7" x14ac:dyDescent="0.25">
      <c r="A3188" t="s">
        <v>1424</v>
      </c>
      <c r="B3188">
        <v>120</v>
      </c>
      <c r="C3188" t="s">
        <v>5309</v>
      </c>
      <c r="D3188" t="s">
        <v>4472</v>
      </c>
      <c r="E3188" t="s">
        <v>4651</v>
      </c>
      <c r="F3188" t="s">
        <v>4406</v>
      </c>
      <c r="G3188" t="s">
        <v>4406</v>
      </c>
    </row>
    <row r="3189" spans="1:7" x14ac:dyDescent="0.25">
      <c r="A3189" t="s">
        <v>1340</v>
      </c>
      <c r="B3189">
        <v>31</v>
      </c>
      <c r="C3189" t="s">
        <v>4577</v>
      </c>
      <c r="D3189" t="s">
        <v>4641</v>
      </c>
      <c r="E3189" t="s">
        <v>4564</v>
      </c>
      <c r="F3189" t="s">
        <v>4713</v>
      </c>
      <c r="G3189" t="s">
        <v>4713</v>
      </c>
    </row>
    <row r="3190" spans="1:7" x14ac:dyDescent="0.25">
      <c r="A3190" t="s">
        <v>5561</v>
      </c>
      <c r="B3190">
        <v>8</v>
      </c>
      <c r="C3190" t="s">
        <v>4454</v>
      </c>
      <c r="D3190" t="s">
        <v>4406</v>
      </c>
      <c r="E3190" t="s">
        <v>4406</v>
      </c>
      <c r="F3190" t="s">
        <v>4406</v>
      </c>
      <c r="G3190" t="s">
        <v>4406</v>
      </c>
    </row>
    <row r="3191" spans="1:7" x14ac:dyDescent="0.25">
      <c r="A3191" t="s">
        <v>1416</v>
      </c>
      <c r="B3191">
        <v>19</v>
      </c>
      <c r="C3191" t="s">
        <v>4796</v>
      </c>
      <c r="D3191" t="s">
        <v>4600</v>
      </c>
      <c r="E3191" t="s">
        <v>4524</v>
      </c>
      <c r="F3191" t="s">
        <v>4406</v>
      </c>
      <c r="G3191" t="s">
        <v>4640</v>
      </c>
    </row>
    <row r="3192" spans="1:7" x14ac:dyDescent="0.25">
      <c r="A3192" t="s">
        <v>1296</v>
      </c>
      <c r="B3192">
        <v>297</v>
      </c>
      <c r="C3192" t="s">
        <v>5133</v>
      </c>
      <c r="D3192" t="s">
        <v>4548</v>
      </c>
      <c r="E3192" t="s">
        <v>4885</v>
      </c>
      <c r="F3192" t="s">
        <v>4410</v>
      </c>
      <c r="G3192" t="s">
        <v>4410</v>
      </c>
    </row>
    <row r="3194" spans="1:7" x14ac:dyDescent="0.25">
      <c r="A3194" t="s">
        <v>5949</v>
      </c>
    </row>
    <row r="3195" spans="1:7" x14ac:dyDescent="0.25">
      <c r="A3195" t="s">
        <v>912</v>
      </c>
      <c r="B3195" t="s">
        <v>4394</v>
      </c>
      <c r="C3195" t="s">
        <v>5302</v>
      </c>
      <c r="D3195" t="s">
        <v>5303</v>
      </c>
      <c r="E3195" t="s">
        <v>5304</v>
      </c>
      <c r="F3195" t="s">
        <v>5305</v>
      </c>
      <c r="G3195" t="s">
        <v>5306</v>
      </c>
    </row>
    <row r="3196" spans="1:7" x14ac:dyDescent="0.25">
      <c r="A3196" t="s">
        <v>4438</v>
      </c>
      <c r="B3196">
        <v>80</v>
      </c>
      <c r="C3196" t="s">
        <v>5507</v>
      </c>
      <c r="D3196" t="s">
        <v>4479</v>
      </c>
      <c r="E3196" t="s">
        <v>4631</v>
      </c>
      <c r="F3196" t="s">
        <v>4406</v>
      </c>
      <c r="G3196" t="s">
        <v>4659</v>
      </c>
    </row>
    <row r="3197" spans="1:7" x14ac:dyDescent="0.25">
      <c r="A3197" t="s">
        <v>4439</v>
      </c>
      <c r="B3197">
        <v>106</v>
      </c>
      <c r="C3197" t="s">
        <v>5134</v>
      </c>
      <c r="D3197" t="s">
        <v>4606</v>
      </c>
      <c r="E3197" t="s">
        <v>4952</v>
      </c>
      <c r="F3197" t="s">
        <v>4406</v>
      </c>
      <c r="G3197" t="s">
        <v>4406</v>
      </c>
    </row>
    <row r="3198" spans="1:7" x14ac:dyDescent="0.25">
      <c r="A3198" t="s">
        <v>1400</v>
      </c>
      <c r="B3198">
        <v>30</v>
      </c>
      <c r="C3198" t="s">
        <v>4782</v>
      </c>
      <c r="D3198" t="s">
        <v>4489</v>
      </c>
      <c r="E3198" t="s">
        <v>4406</v>
      </c>
      <c r="F3198" t="s">
        <v>4406</v>
      </c>
      <c r="G3198" t="s">
        <v>4406</v>
      </c>
    </row>
    <row r="3199" spans="1:7" x14ac:dyDescent="0.25">
      <c r="A3199" t="s">
        <v>1340</v>
      </c>
      <c r="B3199">
        <v>31</v>
      </c>
      <c r="C3199" t="s">
        <v>4577</v>
      </c>
      <c r="D3199" t="s">
        <v>4641</v>
      </c>
      <c r="E3199" t="s">
        <v>4564</v>
      </c>
      <c r="F3199" t="s">
        <v>4713</v>
      </c>
      <c r="G3199" t="s">
        <v>4713</v>
      </c>
    </row>
    <row r="3200" spans="1:7" x14ac:dyDescent="0.25">
      <c r="A3200" t="s">
        <v>1426</v>
      </c>
      <c r="B3200">
        <v>15</v>
      </c>
      <c r="C3200" t="s">
        <v>4469</v>
      </c>
      <c r="D3200" t="s">
        <v>4415</v>
      </c>
      <c r="E3200" t="s">
        <v>4406</v>
      </c>
      <c r="F3200" t="s">
        <v>4416</v>
      </c>
      <c r="G3200" t="s">
        <v>4406</v>
      </c>
    </row>
    <row r="3201" spans="1:7" x14ac:dyDescent="0.25">
      <c r="A3201" t="s">
        <v>1372</v>
      </c>
      <c r="B3201">
        <v>35</v>
      </c>
      <c r="C3201" t="s">
        <v>4946</v>
      </c>
      <c r="D3201" t="s">
        <v>4637</v>
      </c>
      <c r="E3201" t="s">
        <v>4697</v>
      </c>
      <c r="F3201" t="s">
        <v>4406</v>
      </c>
      <c r="G3201" t="s">
        <v>4406</v>
      </c>
    </row>
    <row r="3202" spans="1:7" x14ac:dyDescent="0.25">
      <c r="A3202" t="s">
        <v>1296</v>
      </c>
      <c r="B3202">
        <v>297</v>
      </c>
      <c r="C3202" t="s">
        <v>5133</v>
      </c>
      <c r="D3202" t="s">
        <v>4548</v>
      </c>
      <c r="E3202" t="s">
        <v>4885</v>
      </c>
      <c r="F3202" t="s">
        <v>4410</v>
      </c>
      <c r="G3202" t="s">
        <v>4410</v>
      </c>
    </row>
    <row r="3204" spans="1:7" x14ac:dyDescent="0.25">
      <c r="A3204" t="s">
        <v>5950</v>
      </c>
    </row>
    <row r="3205" spans="1:7" x14ac:dyDescent="0.25">
      <c r="A3205" t="s">
        <v>5477</v>
      </c>
      <c r="B3205" t="s">
        <v>4394</v>
      </c>
      <c r="C3205" t="s">
        <v>5302</v>
      </c>
      <c r="D3205" t="s">
        <v>5303</v>
      </c>
      <c r="E3205" t="s">
        <v>5304</v>
      </c>
      <c r="F3205" t="s">
        <v>5305</v>
      </c>
      <c r="G3205" t="s">
        <v>5306</v>
      </c>
    </row>
    <row r="3206" spans="1:7" x14ac:dyDescent="0.25">
      <c r="A3206" t="s">
        <v>4438</v>
      </c>
      <c r="B3206">
        <v>95</v>
      </c>
      <c r="C3206" t="s">
        <v>4966</v>
      </c>
      <c r="D3206" t="s">
        <v>4849</v>
      </c>
      <c r="E3206" t="s">
        <v>4873</v>
      </c>
      <c r="F3206" t="s">
        <v>4406</v>
      </c>
      <c r="G3206" t="s">
        <v>4825</v>
      </c>
    </row>
    <row r="3207" spans="1:7" x14ac:dyDescent="0.25">
      <c r="A3207" t="s">
        <v>4439</v>
      </c>
      <c r="B3207">
        <v>128</v>
      </c>
      <c r="C3207" t="s">
        <v>4781</v>
      </c>
      <c r="D3207" t="s">
        <v>4451</v>
      </c>
      <c r="E3207" t="s">
        <v>4753</v>
      </c>
      <c r="F3207" t="s">
        <v>4417</v>
      </c>
      <c r="G3207" t="s">
        <v>4406</v>
      </c>
    </row>
    <row r="3208" spans="1:7" x14ac:dyDescent="0.25">
      <c r="A3208" t="s">
        <v>1400</v>
      </c>
      <c r="B3208">
        <v>7</v>
      </c>
      <c r="C3208" t="s">
        <v>4778</v>
      </c>
      <c r="D3208" t="s">
        <v>4447</v>
      </c>
      <c r="E3208" t="s">
        <v>4406</v>
      </c>
      <c r="F3208" t="s">
        <v>4406</v>
      </c>
      <c r="G3208" t="s">
        <v>4406</v>
      </c>
    </row>
    <row r="3209" spans="1:7" x14ac:dyDescent="0.25">
      <c r="A3209" t="s">
        <v>5566</v>
      </c>
      <c r="B3209">
        <v>36</v>
      </c>
      <c r="C3209" t="s">
        <v>5228</v>
      </c>
      <c r="D3209" t="s">
        <v>4859</v>
      </c>
      <c r="E3209" t="s">
        <v>4943</v>
      </c>
      <c r="F3209" t="s">
        <v>4649</v>
      </c>
      <c r="G3209" t="s">
        <v>4649</v>
      </c>
    </row>
    <row r="3210" spans="1:7" x14ac:dyDescent="0.25">
      <c r="A3210" t="s">
        <v>1426</v>
      </c>
      <c r="B3210">
        <v>1</v>
      </c>
      <c r="C3210" t="s">
        <v>4454</v>
      </c>
      <c r="D3210" t="s">
        <v>4406</v>
      </c>
      <c r="E3210" t="s">
        <v>4406</v>
      </c>
      <c r="F3210" t="s">
        <v>4406</v>
      </c>
      <c r="G3210" t="s">
        <v>4406</v>
      </c>
    </row>
    <row r="3211" spans="1:7" x14ac:dyDescent="0.25">
      <c r="A3211" t="s">
        <v>1372</v>
      </c>
      <c r="B3211">
        <v>30</v>
      </c>
      <c r="C3211" t="s">
        <v>4834</v>
      </c>
      <c r="D3211" t="s">
        <v>4596</v>
      </c>
      <c r="E3211" t="s">
        <v>4651</v>
      </c>
      <c r="F3211" t="s">
        <v>4406</v>
      </c>
      <c r="G3211" t="s">
        <v>4406</v>
      </c>
    </row>
    <row r="3212" spans="1:7" x14ac:dyDescent="0.25">
      <c r="A3212" t="s">
        <v>1296</v>
      </c>
      <c r="B3212">
        <v>297</v>
      </c>
      <c r="C3212" t="s">
        <v>5133</v>
      </c>
      <c r="D3212" t="s">
        <v>4548</v>
      </c>
      <c r="E3212" t="s">
        <v>4885</v>
      </c>
      <c r="F3212" t="s">
        <v>4410</v>
      </c>
      <c r="G3212" t="s">
        <v>4410</v>
      </c>
    </row>
    <row r="3214" spans="1:7" x14ac:dyDescent="0.25">
      <c r="A3214" t="s">
        <v>5951</v>
      </c>
    </row>
    <row r="3215" spans="1:7" x14ac:dyDescent="0.25">
      <c r="A3215" t="s">
        <v>924</v>
      </c>
      <c r="B3215" t="s">
        <v>4394</v>
      </c>
      <c r="C3215" t="s">
        <v>5302</v>
      </c>
      <c r="D3215" t="s">
        <v>5303</v>
      </c>
      <c r="E3215" t="s">
        <v>5304</v>
      </c>
      <c r="F3215" t="s">
        <v>5305</v>
      </c>
      <c r="G3215" t="s">
        <v>5306</v>
      </c>
    </row>
    <row r="3216" spans="1:7" x14ac:dyDescent="0.25">
      <c r="A3216" t="s">
        <v>1345</v>
      </c>
      <c r="B3216">
        <v>69</v>
      </c>
      <c r="C3216" t="s">
        <v>4986</v>
      </c>
      <c r="D3216" t="s">
        <v>4549</v>
      </c>
      <c r="E3216" t="s">
        <v>4697</v>
      </c>
      <c r="F3216" t="s">
        <v>4406</v>
      </c>
      <c r="G3216" t="s">
        <v>4750</v>
      </c>
    </row>
    <row r="3217" spans="1:7" x14ac:dyDescent="0.25">
      <c r="A3217" t="s">
        <v>1441</v>
      </c>
      <c r="B3217">
        <v>123</v>
      </c>
      <c r="C3217" t="s">
        <v>5308</v>
      </c>
      <c r="D3217" t="s">
        <v>5065</v>
      </c>
      <c r="E3217" t="s">
        <v>4654</v>
      </c>
      <c r="F3217" t="s">
        <v>4406</v>
      </c>
      <c r="G3217" t="s">
        <v>4417</v>
      </c>
    </row>
    <row r="3218" spans="1:7" x14ac:dyDescent="0.25">
      <c r="A3218" t="s">
        <v>1461</v>
      </c>
      <c r="B3218">
        <v>95</v>
      </c>
      <c r="C3218" t="s">
        <v>4407</v>
      </c>
      <c r="D3218" t="s">
        <v>4524</v>
      </c>
      <c r="E3218" t="s">
        <v>4713</v>
      </c>
      <c r="F3218" t="s">
        <v>4673</v>
      </c>
      <c r="G3218" t="s">
        <v>4406</v>
      </c>
    </row>
    <row r="3219" spans="1:7" x14ac:dyDescent="0.25">
      <c r="A3219" t="s">
        <v>5554</v>
      </c>
      <c r="B3219">
        <v>10</v>
      </c>
      <c r="C3219" t="s">
        <v>4457</v>
      </c>
      <c r="D3219" t="s">
        <v>4489</v>
      </c>
      <c r="E3219" t="s">
        <v>4646</v>
      </c>
      <c r="F3219" t="s">
        <v>4406</v>
      </c>
      <c r="G3219" t="s">
        <v>4406</v>
      </c>
    </row>
    <row r="3220" spans="1:7" x14ac:dyDescent="0.25">
      <c r="A3220" t="s">
        <v>1296</v>
      </c>
      <c r="B3220">
        <v>297</v>
      </c>
      <c r="C3220" t="s">
        <v>5133</v>
      </c>
      <c r="D3220" t="s">
        <v>4548</v>
      </c>
      <c r="E3220" t="s">
        <v>4885</v>
      </c>
      <c r="F3220" t="s">
        <v>4410</v>
      </c>
      <c r="G3220" t="s">
        <v>4410</v>
      </c>
    </row>
    <row r="3222" spans="1:7" x14ac:dyDescent="0.25">
      <c r="A3222" t="s">
        <v>5952</v>
      </c>
    </row>
    <row r="3223" spans="1:7" x14ac:dyDescent="0.25">
      <c r="A3223" t="s">
        <v>903</v>
      </c>
      <c r="B3223" t="s">
        <v>4394</v>
      </c>
      <c r="C3223" t="s">
        <v>5302</v>
      </c>
      <c r="D3223" t="s">
        <v>5303</v>
      </c>
      <c r="E3223" t="s">
        <v>5304</v>
      </c>
      <c r="F3223" t="s">
        <v>5305</v>
      </c>
      <c r="G3223" t="s">
        <v>5306</v>
      </c>
    </row>
    <row r="3224" spans="1:7" x14ac:dyDescent="0.25">
      <c r="A3224" t="s">
        <v>70</v>
      </c>
      <c r="B3224">
        <v>85</v>
      </c>
      <c r="C3224" t="s">
        <v>5284</v>
      </c>
      <c r="D3224" t="s">
        <v>4420</v>
      </c>
      <c r="E3224" t="s">
        <v>4757</v>
      </c>
      <c r="F3224" t="s">
        <v>4406</v>
      </c>
      <c r="G3224" t="s">
        <v>4422</v>
      </c>
    </row>
    <row r="3225" spans="1:7" x14ac:dyDescent="0.25">
      <c r="A3225" t="s">
        <v>71</v>
      </c>
      <c r="B3225">
        <v>212</v>
      </c>
      <c r="C3225" t="s">
        <v>5075</v>
      </c>
      <c r="D3225" t="s">
        <v>4909</v>
      </c>
      <c r="E3225" t="s">
        <v>4656</v>
      </c>
      <c r="F3225" t="s">
        <v>4902</v>
      </c>
      <c r="G3225" t="s">
        <v>4404</v>
      </c>
    </row>
    <row r="3226" spans="1:7" x14ac:dyDescent="0.25">
      <c r="A3226" t="s">
        <v>1296</v>
      </c>
      <c r="B3226">
        <v>297</v>
      </c>
      <c r="C3226" t="s">
        <v>5133</v>
      </c>
      <c r="D3226" t="s">
        <v>4548</v>
      </c>
      <c r="E3226" t="s">
        <v>4885</v>
      </c>
      <c r="F3226" t="s">
        <v>4410</v>
      </c>
      <c r="G3226" t="s">
        <v>4410</v>
      </c>
    </row>
    <row r="3228" spans="1:7" x14ac:dyDescent="0.25">
      <c r="A3228" t="s">
        <v>5953</v>
      </c>
    </row>
    <row r="3229" spans="1:7" x14ac:dyDescent="0.25">
      <c r="A3229" t="s">
        <v>1297</v>
      </c>
      <c r="B3229" t="s">
        <v>4394</v>
      </c>
      <c r="C3229" t="s">
        <v>5302</v>
      </c>
      <c r="D3229" t="s">
        <v>5303</v>
      </c>
      <c r="E3229" t="s">
        <v>5304</v>
      </c>
      <c r="F3229" t="s">
        <v>5305</v>
      </c>
      <c r="G3229" t="s">
        <v>5306</v>
      </c>
    </row>
    <row r="3230" spans="1:7" x14ac:dyDescent="0.25">
      <c r="A3230" t="s">
        <v>5549</v>
      </c>
      <c r="B3230">
        <v>198</v>
      </c>
      <c r="C3230" t="s">
        <v>4974</v>
      </c>
      <c r="D3230" t="s">
        <v>4423</v>
      </c>
      <c r="E3230" t="s">
        <v>4742</v>
      </c>
      <c r="F3230" t="s">
        <v>4404</v>
      </c>
      <c r="G3230" t="s">
        <v>4402</v>
      </c>
    </row>
    <row r="3231" spans="1:7" x14ac:dyDescent="0.25">
      <c r="A3231" t="s">
        <v>1397</v>
      </c>
      <c r="B3231">
        <v>99</v>
      </c>
      <c r="C3231" t="s">
        <v>4884</v>
      </c>
      <c r="D3231" t="s">
        <v>4726</v>
      </c>
      <c r="E3231" t="s">
        <v>4744</v>
      </c>
      <c r="F3231" t="s">
        <v>4402</v>
      </c>
      <c r="G3231" t="s">
        <v>4406</v>
      </c>
    </row>
    <row r="3232" spans="1:7" x14ac:dyDescent="0.25">
      <c r="A3232" t="s">
        <v>1296</v>
      </c>
      <c r="B3232">
        <v>297</v>
      </c>
      <c r="C3232" t="s">
        <v>5070</v>
      </c>
      <c r="D3232" t="s">
        <v>4625</v>
      </c>
      <c r="E3232" t="s">
        <v>4627</v>
      </c>
      <c r="F3232" t="s">
        <v>4410</v>
      </c>
      <c r="G3232" t="s">
        <v>4410</v>
      </c>
    </row>
    <row r="3234" spans="1:7" x14ac:dyDescent="0.25">
      <c r="A3234" t="s">
        <v>5954</v>
      </c>
    </row>
    <row r="3235" spans="1:7" x14ac:dyDescent="0.25">
      <c r="A3235" t="s">
        <v>905</v>
      </c>
      <c r="B3235" t="s">
        <v>4394</v>
      </c>
      <c r="C3235" t="s">
        <v>5302</v>
      </c>
      <c r="D3235" t="s">
        <v>5303</v>
      </c>
      <c r="E3235" t="s">
        <v>5304</v>
      </c>
      <c r="F3235" t="s">
        <v>5305</v>
      </c>
      <c r="G3235" t="s">
        <v>5306</v>
      </c>
    </row>
    <row r="3236" spans="1:7" x14ac:dyDescent="0.25">
      <c r="A3236" t="s">
        <v>4844</v>
      </c>
      <c r="B3236">
        <v>36</v>
      </c>
      <c r="C3236" t="s">
        <v>5025</v>
      </c>
      <c r="D3236" t="s">
        <v>4859</v>
      </c>
      <c r="E3236" t="s">
        <v>4406</v>
      </c>
      <c r="F3236" t="s">
        <v>4406</v>
      </c>
      <c r="G3236" t="s">
        <v>4406</v>
      </c>
    </row>
    <row r="3237" spans="1:7" x14ac:dyDescent="0.25">
      <c r="A3237" t="s">
        <v>4845</v>
      </c>
      <c r="B3237">
        <v>230</v>
      </c>
      <c r="C3237" t="s">
        <v>5312</v>
      </c>
      <c r="D3237" t="s">
        <v>4965</v>
      </c>
      <c r="E3237" t="s">
        <v>4749</v>
      </c>
      <c r="F3237" t="s">
        <v>4818</v>
      </c>
      <c r="G3237" t="s">
        <v>4818</v>
      </c>
    </row>
    <row r="3238" spans="1:7" x14ac:dyDescent="0.25">
      <c r="A3238" t="s">
        <v>4846</v>
      </c>
      <c r="B3238">
        <v>31</v>
      </c>
      <c r="C3238" t="s">
        <v>5000</v>
      </c>
      <c r="D3238" t="s">
        <v>4578</v>
      </c>
      <c r="E3238" t="s">
        <v>4420</v>
      </c>
      <c r="F3238" t="s">
        <v>4713</v>
      </c>
      <c r="G3238" t="s">
        <v>4713</v>
      </c>
    </row>
    <row r="3239" spans="1:7" x14ac:dyDescent="0.25">
      <c r="A3239" t="s">
        <v>1296</v>
      </c>
      <c r="B3239">
        <v>297</v>
      </c>
      <c r="C3239" t="s">
        <v>5070</v>
      </c>
      <c r="D3239" t="s">
        <v>4625</v>
      </c>
      <c r="E3239" t="s">
        <v>4627</v>
      </c>
      <c r="F3239" t="s">
        <v>4410</v>
      </c>
      <c r="G3239" t="s">
        <v>4410</v>
      </c>
    </row>
    <row r="3241" spans="1:7" x14ac:dyDescent="0.25">
      <c r="A3241" t="s">
        <v>5955</v>
      </c>
    </row>
    <row r="3242" spans="1:7" x14ac:dyDescent="0.25">
      <c r="A3242" t="s">
        <v>906</v>
      </c>
      <c r="B3242" t="s">
        <v>4394</v>
      </c>
      <c r="C3242" t="s">
        <v>5302</v>
      </c>
      <c r="D3242" t="s">
        <v>5303</v>
      </c>
      <c r="E3242" t="s">
        <v>5304</v>
      </c>
      <c r="F3242" t="s">
        <v>5305</v>
      </c>
      <c r="G3242" t="s">
        <v>5306</v>
      </c>
    </row>
    <row r="3243" spans="1:7" x14ac:dyDescent="0.25">
      <c r="A3243" t="s">
        <v>1338</v>
      </c>
      <c r="B3243">
        <v>46</v>
      </c>
      <c r="C3243" t="s">
        <v>5024</v>
      </c>
      <c r="D3243" t="s">
        <v>4663</v>
      </c>
      <c r="E3243" t="s">
        <v>4581</v>
      </c>
      <c r="F3243" t="s">
        <v>4406</v>
      </c>
      <c r="G3243" t="s">
        <v>4406</v>
      </c>
    </row>
    <row r="3244" spans="1:7" x14ac:dyDescent="0.25">
      <c r="A3244" t="s">
        <v>1370</v>
      </c>
      <c r="B3244">
        <v>33</v>
      </c>
      <c r="C3244" t="s">
        <v>4884</v>
      </c>
      <c r="D3244" t="s">
        <v>5118</v>
      </c>
      <c r="E3244" t="s">
        <v>4741</v>
      </c>
      <c r="F3244" t="s">
        <v>4626</v>
      </c>
      <c r="G3244" t="s">
        <v>4406</v>
      </c>
    </row>
    <row r="3245" spans="1:7" x14ac:dyDescent="0.25">
      <c r="A3245" t="s">
        <v>1439</v>
      </c>
      <c r="B3245">
        <v>21</v>
      </c>
      <c r="C3245" t="s">
        <v>4814</v>
      </c>
      <c r="D3245" t="s">
        <v>4556</v>
      </c>
      <c r="E3245" t="s">
        <v>4406</v>
      </c>
      <c r="F3245" t="s">
        <v>4749</v>
      </c>
      <c r="G3245" t="s">
        <v>4406</v>
      </c>
    </row>
    <row r="3246" spans="1:7" x14ac:dyDescent="0.25">
      <c r="A3246" t="s">
        <v>1476</v>
      </c>
      <c r="B3246">
        <v>71</v>
      </c>
      <c r="C3246" t="s">
        <v>5004</v>
      </c>
      <c r="D3246" t="s">
        <v>4854</v>
      </c>
      <c r="E3246" t="s">
        <v>4406</v>
      </c>
      <c r="F3246" t="s">
        <v>4406</v>
      </c>
      <c r="G3246" t="s">
        <v>4406</v>
      </c>
    </row>
    <row r="3247" spans="1:7" x14ac:dyDescent="0.25">
      <c r="A3247" t="s">
        <v>5476</v>
      </c>
      <c r="B3247">
        <v>6</v>
      </c>
      <c r="C3247" t="s">
        <v>4783</v>
      </c>
      <c r="D3247" t="s">
        <v>4596</v>
      </c>
      <c r="E3247" t="s">
        <v>4406</v>
      </c>
      <c r="F3247" t="s">
        <v>4406</v>
      </c>
      <c r="G3247" t="s">
        <v>4406</v>
      </c>
    </row>
    <row r="3248" spans="1:7" x14ac:dyDescent="0.25">
      <c r="A3248" t="s">
        <v>1399</v>
      </c>
      <c r="B3248">
        <v>44</v>
      </c>
      <c r="C3248" t="s">
        <v>5314</v>
      </c>
      <c r="D3248" t="s">
        <v>4587</v>
      </c>
      <c r="E3248" t="s">
        <v>4406</v>
      </c>
      <c r="F3248" t="s">
        <v>4406</v>
      </c>
      <c r="G3248" t="s">
        <v>4406</v>
      </c>
    </row>
    <row r="3249" spans="1:7" x14ac:dyDescent="0.25">
      <c r="A3249" t="s">
        <v>1415</v>
      </c>
      <c r="B3249">
        <v>76</v>
      </c>
      <c r="C3249" t="s">
        <v>5315</v>
      </c>
      <c r="D3249" t="s">
        <v>4867</v>
      </c>
      <c r="E3249" t="s">
        <v>4867</v>
      </c>
      <c r="F3249" t="s">
        <v>4406</v>
      </c>
      <c r="G3249" t="s">
        <v>4864</v>
      </c>
    </row>
    <row r="3250" spans="1:7" x14ac:dyDescent="0.25">
      <c r="A3250" t="s">
        <v>1296</v>
      </c>
      <c r="B3250">
        <v>297</v>
      </c>
      <c r="C3250" t="s">
        <v>5070</v>
      </c>
      <c r="D3250" t="s">
        <v>4625</v>
      </c>
      <c r="E3250" t="s">
        <v>4627</v>
      </c>
      <c r="F3250" t="s">
        <v>4410</v>
      </c>
      <c r="G3250" t="s">
        <v>4410</v>
      </c>
    </row>
    <row r="3252" spans="1:7" x14ac:dyDescent="0.25">
      <c r="A3252" t="s">
        <v>5956</v>
      </c>
    </row>
    <row r="3253" spans="1:7" x14ac:dyDescent="0.25">
      <c r="A3253" t="s">
        <v>907</v>
      </c>
      <c r="B3253" t="s">
        <v>4394</v>
      </c>
      <c r="C3253" t="s">
        <v>5302</v>
      </c>
      <c r="D3253" t="s">
        <v>5303</v>
      </c>
      <c r="E3253" t="s">
        <v>5304</v>
      </c>
      <c r="F3253" t="s">
        <v>5305</v>
      </c>
      <c r="G3253" t="s">
        <v>5306</v>
      </c>
    </row>
    <row r="3254" spans="1:7" x14ac:dyDescent="0.25">
      <c r="A3254" t="s">
        <v>109</v>
      </c>
      <c r="B3254">
        <v>257</v>
      </c>
      <c r="C3254" t="s">
        <v>4788</v>
      </c>
      <c r="D3254" t="s">
        <v>4657</v>
      </c>
      <c r="E3254" t="s">
        <v>4667</v>
      </c>
      <c r="F3254" t="s">
        <v>4818</v>
      </c>
      <c r="G3254" t="s">
        <v>4417</v>
      </c>
    </row>
    <row r="3255" spans="1:7" x14ac:dyDescent="0.25">
      <c r="A3255" t="s">
        <v>192</v>
      </c>
      <c r="B3255">
        <v>40</v>
      </c>
      <c r="C3255" t="s">
        <v>4782</v>
      </c>
      <c r="D3255" t="s">
        <v>4759</v>
      </c>
      <c r="E3255" t="s">
        <v>4646</v>
      </c>
      <c r="F3255" t="s">
        <v>4645</v>
      </c>
      <c r="G3255" t="s">
        <v>4406</v>
      </c>
    </row>
    <row r="3256" spans="1:7" x14ac:dyDescent="0.25">
      <c r="A3256" t="s">
        <v>1296</v>
      </c>
      <c r="B3256">
        <v>297</v>
      </c>
      <c r="C3256" t="s">
        <v>5070</v>
      </c>
      <c r="D3256" t="s">
        <v>4625</v>
      </c>
      <c r="E3256" t="s">
        <v>4627</v>
      </c>
      <c r="F3256" t="s">
        <v>4410</v>
      </c>
      <c r="G3256" t="s">
        <v>4410</v>
      </c>
    </row>
    <row r="3258" spans="1:7" x14ac:dyDescent="0.25">
      <c r="A3258" t="s">
        <v>5957</v>
      </c>
    </row>
    <row r="3259" spans="1:7" x14ac:dyDescent="0.25">
      <c r="A3259" t="s">
        <v>910</v>
      </c>
      <c r="B3259" t="s">
        <v>4394</v>
      </c>
      <c r="C3259" t="s">
        <v>5302</v>
      </c>
      <c r="D3259" t="s">
        <v>5303</v>
      </c>
      <c r="E3259" t="s">
        <v>5304</v>
      </c>
      <c r="F3259" t="s">
        <v>5305</v>
      </c>
      <c r="G3259" t="s">
        <v>5306</v>
      </c>
    </row>
    <row r="3260" spans="1:7" x14ac:dyDescent="0.25">
      <c r="A3260" t="s">
        <v>1371</v>
      </c>
      <c r="B3260">
        <v>42</v>
      </c>
      <c r="C3260" t="s">
        <v>4788</v>
      </c>
      <c r="D3260" t="s">
        <v>4596</v>
      </c>
      <c r="E3260" t="s">
        <v>4749</v>
      </c>
      <c r="F3260" t="s">
        <v>4406</v>
      </c>
      <c r="G3260" t="s">
        <v>4406</v>
      </c>
    </row>
    <row r="3261" spans="1:7" x14ac:dyDescent="0.25">
      <c r="A3261" t="s">
        <v>1452</v>
      </c>
      <c r="B3261">
        <v>18</v>
      </c>
      <c r="C3261" t="s">
        <v>5228</v>
      </c>
      <c r="D3261" t="s">
        <v>4731</v>
      </c>
      <c r="E3261" t="s">
        <v>4571</v>
      </c>
      <c r="F3261" t="s">
        <v>4406</v>
      </c>
      <c r="G3261" t="s">
        <v>4406</v>
      </c>
    </row>
    <row r="3262" spans="1:7" x14ac:dyDescent="0.25">
      <c r="A3262" t="s">
        <v>5560</v>
      </c>
      <c r="B3262">
        <v>59</v>
      </c>
      <c r="C3262" t="s">
        <v>4991</v>
      </c>
      <c r="D3262" t="s">
        <v>4516</v>
      </c>
      <c r="E3262" t="s">
        <v>4406</v>
      </c>
      <c r="F3262" t="s">
        <v>4419</v>
      </c>
      <c r="G3262" t="s">
        <v>4406</v>
      </c>
    </row>
    <row r="3263" spans="1:7" x14ac:dyDescent="0.25">
      <c r="A3263" t="s">
        <v>1424</v>
      </c>
      <c r="B3263">
        <v>120</v>
      </c>
      <c r="C3263" t="s">
        <v>4834</v>
      </c>
      <c r="D3263" t="s">
        <v>4759</v>
      </c>
      <c r="E3263" t="s">
        <v>4645</v>
      </c>
      <c r="F3263" t="s">
        <v>4406</v>
      </c>
      <c r="G3263" t="s">
        <v>4406</v>
      </c>
    </row>
    <row r="3264" spans="1:7" x14ac:dyDescent="0.25">
      <c r="A3264" t="s">
        <v>1340</v>
      </c>
      <c r="B3264">
        <v>31</v>
      </c>
      <c r="C3264" t="s">
        <v>4577</v>
      </c>
      <c r="D3264" t="s">
        <v>4420</v>
      </c>
      <c r="E3264" t="s">
        <v>4420</v>
      </c>
      <c r="F3264" t="s">
        <v>4713</v>
      </c>
      <c r="G3264" t="s">
        <v>4713</v>
      </c>
    </row>
    <row r="3265" spans="1:7" x14ac:dyDescent="0.25">
      <c r="A3265" t="s">
        <v>5561</v>
      </c>
      <c r="B3265">
        <v>8</v>
      </c>
      <c r="C3265" t="s">
        <v>4454</v>
      </c>
      <c r="D3265" t="s">
        <v>4406</v>
      </c>
      <c r="E3265" t="s">
        <v>4406</v>
      </c>
      <c r="F3265" t="s">
        <v>4406</v>
      </c>
      <c r="G3265" t="s">
        <v>4406</v>
      </c>
    </row>
    <row r="3266" spans="1:7" x14ac:dyDescent="0.25">
      <c r="A3266" t="s">
        <v>1416</v>
      </c>
      <c r="B3266">
        <v>19</v>
      </c>
      <c r="C3266" t="s">
        <v>4796</v>
      </c>
      <c r="D3266" t="s">
        <v>4640</v>
      </c>
      <c r="E3266" t="s">
        <v>4504</v>
      </c>
      <c r="F3266" t="s">
        <v>4406</v>
      </c>
      <c r="G3266" t="s">
        <v>4640</v>
      </c>
    </row>
    <row r="3267" spans="1:7" x14ac:dyDescent="0.25">
      <c r="A3267" t="s">
        <v>1296</v>
      </c>
      <c r="B3267">
        <v>297</v>
      </c>
      <c r="C3267" t="s">
        <v>5070</v>
      </c>
      <c r="D3267" t="s">
        <v>4625</v>
      </c>
      <c r="E3267" t="s">
        <v>4627</v>
      </c>
      <c r="F3267" t="s">
        <v>4410</v>
      </c>
      <c r="G3267" t="s">
        <v>4410</v>
      </c>
    </row>
    <row r="3269" spans="1:7" x14ac:dyDescent="0.25">
      <c r="A3269" t="s">
        <v>5958</v>
      </c>
    </row>
    <row r="3270" spans="1:7" x14ac:dyDescent="0.25">
      <c r="A3270" t="s">
        <v>5481</v>
      </c>
      <c r="B3270" t="s">
        <v>4394</v>
      </c>
      <c r="C3270" t="s">
        <v>5302</v>
      </c>
      <c r="D3270" t="s">
        <v>5303</v>
      </c>
      <c r="E3270" t="s">
        <v>5304</v>
      </c>
      <c r="F3270" t="s">
        <v>5305</v>
      </c>
      <c r="G3270" t="s">
        <v>5306</v>
      </c>
    </row>
    <row r="3271" spans="1:7" x14ac:dyDescent="0.25">
      <c r="A3271" t="s">
        <v>4438</v>
      </c>
      <c r="B3271">
        <v>129</v>
      </c>
      <c r="C3271" t="s">
        <v>4986</v>
      </c>
      <c r="D3271" t="s">
        <v>4921</v>
      </c>
      <c r="E3271" t="s">
        <v>4861</v>
      </c>
      <c r="F3271" t="s">
        <v>4406</v>
      </c>
      <c r="G3271" t="s">
        <v>4417</v>
      </c>
    </row>
    <row r="3272" spans="1:7" x14ac:dyDescent="0.25">
      <c r="A3272" t="s">
        <v>4439</v>
      </c>
      <c r="B3272">
        <v>93</v>
      </c>
      <c r="C3272" t="s">
        <v>5075</v>
      </c>
      <c r="D3272" t="s">
        <v>4511</v>
      </c>
      <c r="E3272" t="s">
        <v>4581</v>
      </c>
      <c r="F3272" t="s">
        <v>4825</v>
      </c>
      <c r="G3272" t="s">
        <v>4406</v>
      </c>
    </row>
    <row r="3273" spans="1:7" x14ac:dyDescent="0.25">
      <c r="A3273" t="s">
        <v>1400</v>
      </c>
      <c r="B3273">
        <v>5</v>
      </c>
      <c r="C3273" t="s">
        <v>4834</v>
      </c>
      <c r="D3273" t="s">
        <v>4472</v>
      </c>
      <c r="E3273" t="s">
        <v>4406</v>
      </c>
      <c r="F3273" t="s">
        <v>4406</v>
      </c>
      <c r="G3273" t="s">
        <v>4406</v>
      </c>
    </row>
    <row r="3274" spans="1:7" x14ac:dyDescent="0.25">
      <c r="A3274" t="s">
        <v>5566</v>
      </c>
      <c r="B3274">
        <v>36</v>
      </c>
      <c r="C3274" t="s">
        <v>5228</v>
      </c>
      <c r="D3274" t="s">
        <v>4676</v>
      </c>
      <c r="E3274" t="s">
        <v>4676</v>
      </c>
      <c r="F3274" t="s">
        <v>4649</v>
      </c>
      <c r="G3274" t="s">
        <v>4649</v>
      </c>
    </row>
    <row r="3275" spans="1:7" x14ac:dyDescent="0.25">
      <c r="A3275" t="s">
        <v>1372</v>
      </c>
      <c r="B3275">
        <v>34</v>
      </c>
      <c r="C3275" t="s">
        <v>5441</v>
      </c>
      <c r="D3275" t="s">
        <v>4631</v>
      </c>
      <c r="E3275" t="s">
        <v>4406</v>
      </c>
      <c r="F3275" t="s">
        <v>4406</v>
      </c>
      <c r="G3275" t="s">
        <v>4406</v>
      </c>
    </row>
    <row r="3276" spans="1:7" x14ac:dyDescent="0.25">
      <c r="A3276" t="s">
        <v>1296</v>
      </c>
      <c r="B3276">
        <v>297</v>
      </c>
      <c r="C3276" t="s">
        <v>5070</v>
      </c>
      <c r="D3276" t="s">
        <v>4625</v>
      </c>
      <c r="E3276" t="s">
        <v>4627</v>
      </c>
      <c r="F3276" t="s">
        <v>4410</v>
      </c>
      <c r="G3276" t="s">
        <v>4410</v>
      </c>
    </row>
    <row r="3278" spans="1:7" x14ac:dyDescent="0.25">
      <c r="A3278" t="s">
        <v>5959</v>
      </c>
    </row>
    <row r="3279" spans="1:7" x14ac:dyDescent="0.25">
      <c r="A3279" t="s">
        <v>911</v>
      </c>
      <c r="B3279" t="s">
        <v>4394</v>
      </c>
      <c r="C3279" t="s">
        <v>5302</v>
      </c>
      <c r="D3279" t="s">
        <v>5303</v>
      </c>
      <c r="E3279" t="s">
        <v>5304</v>
      </c>
      <c r="F3279" t="s">
        <v>5305</v>
      </c>
      <c r="G3279" t="s">
        <v>5306</v>
      </c>
    </row>
    <row r="3280" spans="1:7" x14ac:dyDescent="0.25">
      <c r="A3280" t="s">
        <v>4438</v>
      </c>
      <c r="B3280">
        <v>122</v>
      </c>
      <c r="C3280" t="s">
        <v>5186</v>
      </c>
      <c r="D3280" t="s">
        <v>4987</v>
      </c>
      <c r="E3280" t="s">
        <v>4696</v>
      </c>
      <c r="F3280" t="s">
        <v>4406</v>
      </c>
      <c r="G3280" t="s">
        <v>4417</v>
      </c>
    </row>
    <row r="3281" spans="1:7" x14ac:dyDescent="0.25">
      <c r="A3281" t="s">
        <v>4439</v>
      </c>
      <c r="B3281">
        <v>79</v>
      </c>
      <c r="C3281" t="s">
        <v>5508</v>
      </c>
      <c r="D3281" t="s">
        <v>4482</v>
      </c>
      <c r="E3281" t="s">
        <v>4659</v>
      </c>
      <c r="F3281" t="s">
        <v>4406</v>
      </c>
      <c r="G3281" t="s">
        <v>4406</v>
      </c>
    </row>
    <row r="3282" spans="1:7" x14ac:dyDescent="0.25">
      <c r="A3282" t="s">
        <v>1400</v>
      </c>
      <c r="B3282">
        <v>19</v>
      </c>
      <c r="C3282" t="s">
        <v>5072</v>
      </c>
      <c r="D3282" t="s">
        <v>4600</v>
      </c>
      <c r="E3282" t="s">
        <v>4406</v>
      </c>
      <c r="F3282" t="s">
        <v>4640</v>
      </c>
      <c r="G3282" t="s">
        <v>4406</v>
      </c>
    </row>
    <row r="3283" spans="1:7" x14ac:dyDescent="0.25">
      <c r="A3283" t="s">
        <v>1340</v>
      </c>
      <c r="B3283">
        <v>31</v>
      </c>
      <c r="C3283" t="s">
        <v>4577</v>
      </c>
      <c r="D3283" t="s">
        <v>4420</v>
      </c>
      <c r="E3283" t="s">
        <v>4420</v>
      </c>
      <c r="F3283" t="s">
        <v>4713</v>
      </c>
      <c r="G3283" t="s">
        <v>4713</v>
      </c>
    </row>
    <row r="3284" spans="1:7" x14ac:dyDescent="0.25">
      <c r="A3284" t="s">
        <v>1426</v>
      </c>
      <c r="B3284">
        <v>8</v>
      </c>
      <c r="C3284" t="s">
        <v>4793</v>
      </c>
      <c r="D3284" t="s">
        <v>4462</v>
      </c>
      <c r="E3284" t="s">
        <v>4406</v>
      </c>
      <c r="F3284" t="s">
        <v>4406</v>
      </c>
      <c r="G3284" t="s">
        <v>4406</v>
      </c>
    </row>
    <row r="3285" spans="1:7" x14ac:dyDescent="0.25">
      <c r="A3285" t="s">
        <v>1372</v>
      </c>
      <c r="B3285">
        <v>38</v>
      </c>
      <c r="C3285" t="s">
        <v>5090</v>
      </c>
      <c r="D3285" t="s">
        <v>4715</v>
      </c>
      <c r="E3285" t="s">
        <v>4406</v>
      </c>
      <c r="F3285" t="s">
        <v>4406</v>
      </c>
      <c r="G3285" t="s">
        <v>4406</v>
      </c>
    </row>
    <row r="3286" spans="1:7" x14ac:dyDescent="0.25">
      <c r="A3286" t="s">
        <v>1296</v>
      </c>
      <c r="B3286">
        <v>297</v>
      </c>
      <c r="C3286" t="s">
        <v>5070</v>
      </c>
      <c r="D3286" t="s">
        <v>4625</v>
      </c>
      <c r="E3286" t="s">
        <v>4627</v>
      </c>
      <c r="F3286" t="s">
        <v>4410</v>
      </c>
      <c r="G3286" t="s">
        <v>4410</v>
      </c>
    </row>
    <row r="3288" spans="1:7" x14ac:dyDescent="0.25">
      <c r="A3288" t="s">
        <v>5960</v>
      </c>
    </row>
    <row r="3289" spans="1:7" x14ac:dyDescent="0.25">
      <c r="A3289" t="s">
        <v>920</v>
      </c>
      <c r="B3289" t="s">
        <v>4394</v>
      </c>
      <c r="C3289" t="s">
        <v>5302</v>
      </c>
      <c r="D3289" t="s">
        <v>5303</v>
      </c>
      <c r="E3289" t="s">
        <v>5304</v>
      </c>
      <c r="F3289" t="s">
        <v>5305</v>
      </c>
      <c r="G3289" t="s">
        <v>5306</v>
      </c>
    </row>
    <row r="3290" spans="1:7" x14ac:dyDescent="0.25">
      <c r="A3290" t="s">
        <v>1343</v>
      </c>
      <c r="B3290">
        <v>170</v>
      </c>
      <c r="C3290" t="s">
        <v>5311</v>
      </c>
      <c r="D3290" t="s">
        <v>4959</v>
      </c>
      <c r="E3290" t="s">
        <v>4656</v>
      </c>
      <c r="F3290" t="s">
        <v>4422</v>
      </c>
      <c r="G3290" t="s">
        <v>4413</v>
      </c>
    </row>
    <row r="3291" spans="1:7" x14ac:dyDescent="0.25">
      <c r="A3291" t="s">
        <v>1345</v>
      </c>
      <c r="B3291">
        <v>75</v>
      </c>
      <c r="C3291" t="s">
        <v>5312</v>
      </c>
      <c r="D3291" t="s">
        <v>4607</v>
      </c>
      <c r="E3291" t="s">
        <v>4416</v>
      </c>
      <c r="F3291" t="s">
        <v>4406</v>
      </c>
      <c r="G3291" t="s">
        <v>4659</v>
      </c>
    </row>
    <row r="3292" spans="1:7" x14ac:dyDescent="0.25">
      <c r="A3292" t="s">
        <v>1466</v>
      </c>
      <c r="B3292">
        <v>50</v>
      </c>
      <c r="C3292" t="s">
        <v>5313</v>
      </c>
      <c r="D3292" t="s">
        <v>4472</v>
      </c>
      <c r="E3292" t="s">
        <v>4660</v>
      </c>
      <c r="F3292" t="s">
        <v>4406</v>
      </c>
      <c r="G3292" t="s">
        <v>4406</v>
      </c>
    </row>
    <row r="3293" spans="1:7" x14ac:dyDescent="0.25">
      <c r="A3293" t="s">
        <v>5554</v>
      </c>
      <c r="B3293">
        <v>2</v>
      </c>
      <c r="C3293" t="s">
        <v>4454</v>
      </c>
      <c r="D3293" t="s">
        <v>4406</v>
      </c>
      <c r="E3293" t="s">
        <v>4406</v>
      </c>
      <c r="F3293" t="s">
        <v>4406</v>
      </c>
      <c r="G3293" t="s">
        <v>4406</v>
      </c>
    </row>
    <row r="3294" spans="1:7" x14ac:dyDescent="0.25">
      <c r="A3294" t="s">
        <v>1296</v>
      </c>
      <c r="B3294">
        <v>297</v>
      </c>
      <c r="C3294" t="s">
        <v>5070</v>
      </c>
      <c r="D3294" t="s">
        <v>4625</v>
      </c>
      <c r="E3294" t="s">
        <v>4627</v>
      </c>
      <c r="F3294" t="s">
        <v>4410</v>
      </c>
      <c r="G3294" t="s">
        <v>4410</v>
      </c>
    </row>
    <row r="3296" spans="1:7" x14ac:dyDescent="0.25">
      <c r="A3296" t="s">
        <v>5961</v>
      </c>
    </row>
    <row r="3297" spans="1:7" x14ac:dyDescent="0.25">
      <c r="A3297" t="s">
        <v>903</v>
      </c>
      <c r="B3297" t="s">
        <v>4394</v>
      </c>
      <c r="C3297" t="s">
        <v>5302</v>
      </c>
      <c r="D3297" t="s">
        <v>5303</v>
      </c>
      <c r="E3297" t="s">
        <v>5304</v>
      </c>
      <c r="F3297" t="s">
        <v>5305</v>
      </c>
      <c r="G3297" t="s">
        <v>5306</v>
      </c>
    </row>
    <row r="3298" spans="1:7" x14ac:dyDescent="0.25">
      <c r="A3298" t="s">
        <v>70</v>
      </c>
      <c r="B3298">
        <v>85</v>
      </c>
      <c r="C3298" t="s">
        <v>5088</v>
      </c>
      <c r="D3298" t="s">
        <v>4617</v>
      </c>
      <c r="E3298" t="s">
        <v>4757</v>
      </c>
      <c r="F3298" t="s">
        <v>4406</v>
      </c>
      <c r="G3298" t="s">
        <v>4422</v>
      </c>
    </row>
    <row r="3299" spans="1:7" x14ac:dyDescent="0.25">
      <c r="A3299" t="s">
        <v>71</v>
      </c>
      <c r="B3299">
        <v>212</v>
      </c>
      <c r="C3299" t="s">
        <v>4793</v>
      </c>
      <c r="D3299" t="s">
        <v>4584</v>
      </c>
      <c r="E3299" t="s">
        <v>4654</v>
      </c>
      <c r="F3299" t="s">
        <v>4902</v>
      </c>
      <c r="G3299" t="s">
        <v>4404</v>
      </c>
    </row>
    <row r="3300" spans="1:7" x14ac:dyDescent="0.25">
      <c r="A3300" t="s">
        <v>1296</v>
      </c>
      <c r="B3300">
        <v>297</v>
      </c>
      <c r="C3300" t="s">
        <v>5070</v>
      </c>
      <c r="D3300" t="s">
        <v>4625</v>
      </c>
      <c r="E3300" t="s">
        <v>4627</v>
      </c>
      <c r="F3300" t="s">
        <v>4410</v>
      </c>
      <c r="G3300" t="s">
        <v>4410</v>
      </c>
    </row>
    <row r="3302" spans="1:7" x14ac:dyDescent="0.25">
      <c r="A3302" t="s">
        <v>5962</v>
      </c>
    </row>
    <row r="3303" spans="1:7" x14ac:dyDescent="0.25">
      <c r="A3303" t="s">
        <v>924</v>
      </c>
      <c r="B3303" t="s">
        <v>4394</v>
      </c>
      <c r="C3303" t="s">
        <v>4428</v>
      </c>
      <c r="D3303" t="s">
        <v>4429</v>
      </c>
      <c r="E3303" t="s">
        <v>4430</v>
      </c>
      <c r="F3303" t="s">
        <v>4431</v>
      </c>
      <c r="G3303" t="s">
        <v>4432</v>
      </c>
    </row>
    <row r="3304" spans="1:7" x14ac:dyDescent="0.25">
      <c r="A3304" t="s">
        <v>1345</v>
      </c>
      <c r="B3304">
        <v>69</v>
      </c>
      <c r="C3304">
        <v>2636.96</v>
      </c>
      <c r="D3304">
        <v>2750</v>
      </c>
      <c r="E3304">
        <v>0</v>
      </c>
      <c r="F3304">
        <v>6800</v>
      </c>
      <c r="G3304">
        <v>181950</v>
      </c>
    </row>
    <row r="3305" spans="1:7" x14ac:dyDescent="0.25">
      <c r="A3305" t="s">
        <v>1441</v>
      </c>
      <c r="B3305">
        <v>123</v>
      </c>
      <c r="C3305">
        <v>2459.7600000000002</v>
      </c>
      <c r="D3305">
        <v>2350</v>
      </c>
      <c r="E3305">
        <v>0</v>
      </c>
      <c r="F3305">
        <v>9000</v>
      </c>
      <c r="G3305">
        <v>302550</v>
      </c>
    </row>
    <row r="3306" spans="1:7" x14ac:dyDescent="0.25">
      <c r="A3306" t="s">
        <v>1461</v>
      </c>
      <c r="B3306">
        <v>95</v>
      </c>
      <c r="C3306">
        <v>2946.32</v>
      </c>
      <c r="D3306">
        <v>2900</v>
      </c>
      <c r="E3306">
        <v>0</v>
      </c>
      <c r="F3306">
        <v>6300</v>
      </c>
      <c r="G3306">
        <v>279900</v>
      </c>
    </row>
    <row r="3307" spans="1:7" x14ac:dyDescent="0.25">
      <c r="A3307" t="s">
        <v>5554</v>
      </c>
      <c r="B3307">
        <v>10</v>
      </c>
      <c r="C3307">
        <v>3330</v>
      </c>
      <c r="D3307">
        <v>2700</v>
      </c>
      <c r="E3307">
        <v>200</v>
      </c>
      <c r="F3307">
        <v>6000</v>
      </c>
      <c r="G3307">
        <v>33300</v>
      </c>
    </row>
    <row r="3309" spans="1:7" x14ac:dyDescent="0.25">
      <c r="A3309" t="s">
        <v>5963</v>
      </c>
    </row>
    <row r="3310" spans="1:7" x14ac:dyDescent="0.25">
      <c r="A3310" t="s">
        <v>1297</v>
      </c>
      <c r="B3310" t="s">
        <v>4394</v>
      </c>
      <c r="C3310" t="s">
        <v>4428</v>
      </c>
      <c r="D3310" t="s">
        <v>4429</v>
      </c>
      <c r="E3310" t="s">
        <v>4430</v>
      </c>
      <c r="F3310" t="s">
        <v>4431</v>
      </c>
      <c r="G3310" t="s">
        <v>4432</v>
      </c>
    </row>
    <row r="3311" spans="1:7" x14ac:dyDescent="0.25">
      <c r="A3311" t="s">
        <v>5549</v>
      </c>
      <c r="B3311">
        <v>198</v>
      </c>
      <c r="C3311">
        <v>2759.85</v>
      </c>
      <c r="D3311">
        <v>2750</v>
      </c>
      <c r="E3311">
        <v>0</v>
      </c>
      <c r="F3311">
        <v>9000</v>
      </c>
      <c r="G3311">
        <v>546450</v>
      </c>
    </row>
    <row r="3312" spans="1:7" x14ac:dyDescent="0.25">
      <c r="A3312" t="s">
        <v>1397</v>
      </c>
      <c r="B3312">
        <v>99</v>
      </c>
      <c r="C3312">
        <v>2537.88</v>
      </c>
      <c r="D3312">
        <v>2400</v>
      </c>
      <c r="E3312">
        <v>0</v>
      </c>
      <c r="F3312">
        <v>6800</v>
      </c>
      <c r="G3312">
        <v>251250</v>
      </c>
    </row>
    <row r="3314" spans="1:7" x14ac:dyDescent="0.25">
      <c r="A3314" t="s">
        <v>5964</v>
      </c>
    </row>
    <row r="3315" spans="1:7" x14ac:dyDescent="0.25">
      <c r="A3315" t="s">
        <v>1297</v>
      </c>
      <c r="B3315" t="s">
        <v>4394</v>
      </c>
      <c r="C3315" t="s">
        <v>1373</v>
      </c>
      <c r="D3315" t="s">
        <v>1440</v>
      </c>
      <c r="E3315" t="s">
        <v>1425</v>
      </c>
      <c r="F3315" t="s">
        <v>1374</v>
      </c>
      <c r="G3315" t="s">
        <v>1341</v>
      </c>
    </row>
    <row r="3316" spans="1:7" x14ac:dyDescent="0.25">
      <c r="A3316" t="s">
        <v>5549</v>
      </c>
      <c r="B3316">
        <v>198</v>
      </c>
      <c r="C3316" t="s">
        <v>4850</v>
      </c>
      <c r="D3316" t="s">
        <v>4589</v>
      </c>
      <c r="E3316" t="s">
        <v>4754</v>
      </c>
      <c r="F3316" t="s">
        <v>4539</v>
      </c>
      <c r="G3316" t="s">
        <v>4927</v>
      </c>
    </row>
    <row r="3317" spans="1:7" x14ac:dyDescent="0.25">
      <c r="A3317" t="s">
        <v>1397</v>
      </c>
      <c r="B3317">
        <v>99</v>
      </c>
      <c r="C3317" t="s">
        <v>4883</v>
      </c>
      <c r="D3317" t="s">
        <v>4443</v>
      </c>
      <c r="E3317" t="s">
        <v>4465</v>
      </c>
      <c r="F3317" t="s">
        <v>4627</v>
      </c>
      <c r="G3317" t="s">
        <v>4453</v>
      </c>
    </row>
    <row r="3318" spans="1:7" x14ac:dyDescent="0.25">
      <c r="A3318" t="s">
        <v>1296</v>
      </c>
      <c r="B3318">
        <v>297</v>
      </c>
      <c r="C3318" t="s">
        <v>5142</v>
      </c>
      <c r="D3318" t="s">
        <v>5318</v>
      </c>
      <c r="E3318" t="s">
        <v>4451</v>
      </c>
      <c r="F3318" t="s">
        <v>5170</v>
      </c>
      <c r="G3318" t="s">
        <v>4790</v>
      </c>
    </row>
    <row r="3320" spans="1:7" x14ac:dyDescent="0.25">
      <c r="A3320" t="s">
        <v>5965</v>
      </c>
    </row>
    <row r="3321" spans="1:7" x14ac:dyDescent="0.25">
      <c r="A3321" t="s">
        <v>905</v>
      </c>
      <c r="B3321" t="s">
        <v>4394</v>
      </c>
      <c r="C3321" t="s">
        <v>1373</v>
      </c>
      <c r="D3321" t="s">
        <v>1440</v>
      </c>
      <c r="E3321" t="s">
        <v>1425</v>
      </c>
      <c r="F3321" t="s">
        <v>1374</v>
      </c>
      <c r="G3321" t="s">
        <v>1341</v>
      </c>
    </row>
    <row r="3322" spans="1:7" x14ac:dyDescent="0.25">
      <c r="A3322" t="s">
        <v>4844</v>
      </c>
      <c r="B3322">
        <v>36</v>
      </c>
      <c r="C3322" t="s">
        <v>4462</v>
      </c>
      <c r="D3322" t="s">
        <v>4465</v>
      </c>
      <c r="E3322" t="s">
        <v>4609</v>
      </c>
      <c r="F3322" t="s">
        <v>4649</v>
      </c>
      <c r="G3322" t="s">
        <v>4943</v>
      </c>
    </row>
    <row r="3323" spans="1:7" x14ac:dyDescent="0.25">
      <c r="A3323" t="s">
        <v>4845</v>
      </c>
      <c r="B3323">
        <v>230</v>
      </c>
      <c r="C3323" t="s">
        <v>4741</v>
      </c>
      <c r="D3323" t="s">
        <v>4863</v>
      </c>
      <c r="E3323" t="s">
        <v>4612</v>
      </c>
      <c r="F3323" t="s">
        <v>4677</v>
      </c>
      <c r="G3323" t="s">
        <v>5101</v>
      </c>
    </row>
    <row r="3324" spans="1:7" x14ac:dyDescent="0.25">
      <c r="A3324" t="s">
        <v>4846</v>
      </c>
      <c r="B3324">
        <v>31</v>
      </c>
      <c r="C3324" t="s">
        <v>4670</v>
      </c>
      <c r="D3324" t="s">
        <v>4564</v>
      </c>
      <c r="E3324" t="s">
        <v>4670</v>
      </c>
      <c r="F3324" t="s">
        <v>4420</v>
      </c>
      <c r="G3324" t="s">
        <v>5263</v>
      </c>
    </row>
    <row r="3325" spans="1:7" x14ac:dyDescent="0.25">
      <c r="A3325" t="s">
        <v>1296</v>
      </c>
      <c r="B3325">
        <v>297</v>
      </c>
      <c r="C3325" t="s">
        <v>5142</v>
      </c>
      <c r="D3325" t="s">
        <v>5318</v>
      </c>
      <c r="E3325" t="s">
        <v>4451</v>
      </c>
      <c r="F3325" t="s">
        <v>5170</v>
      </c>
      <c r="G3325" t="s">
        <v>4790</v>
      </c>
    </row>
    <row r="3327" spans="1:7" x14ac:dyDescent="0.25">
      <c r="A3327" t="s">
        <v>5966</v>
      </c>
    </row>
    <row r="3328" spans="1:7" x14ac:dyDescent="0.25">
      <c r="A3328" t="s">
        <v>906</v>
      </c>
      <c r="B3328" t="s">
        <v>4394</v>
      </c>
      <c r="C3328" t="s">
        <v>1373</v>
      </c>
      <c r="D3328" t="s">
        <v>1440</v>
      </c>
      <c r="E3328" t="s">
        <v>1425</v>
      </c>
      <c r="F3328" t="s">
        <v>1374</v>
      </c>
      <c r="G3328" t="s">
        <v>1341</v>
      </c>
    </row>
    <row r="3329" spans="1:7" x14ac:dyDescent="0.25">
      <c r="A3329" t="s">
        <v>1338</v>
      </c>
      <c r="B3329">
        <v>46</v>
      </c>
      <c r="C3329" t="s">
        <v>4670</v>
      </c>
      <c r="D3329" t="s">
        <v>4863</v>
      </c>
      <c r="E3329" t="s">
        <v>4687</v>
      </c>
      <c r="F3329" t="s">
        <v>4684</v>
      </c>
      <c r="G3329" t="s">
        <v>4683</v>
      </c>
    </row>
    <row r="3330" spans="1:7" x14ac:dyDescent="0.25">
      <c r="A3330" t="s">
        <v>1370</v>
      </c>
      <c r="B3330">
        <v>33</v>
      </c>
      <c r="C3330" t="s">
        <v>4741</v>
      </c>
      <c r="D3330" t="s">
        <v>4539</v>
      </c>
      <c r="E3330" t="s">
        <v>4405</v>
      </c>
      <c r="F3330" t="s">
        <v>4852</v>
      </c>
      <c r="G3330" t="s">
        <v>4792</v>
      </c>
    </row>
    <row r="3331" spans="1:7" x14ac:dyDescent="0.25">
      <c r="A3331" t="s">
        <v>1439</v>
      </c>
      <c r="B3331">
        <v>21</v>
      </c>
      <c r="C3331" t="s">
        <v>4749</v>
      </c>
      <c r="D3331" t="s">
        <v>4675</v>
      </c>
      <c r="E3331" t="s">
        <v>4785</v>
      </c>
      <c r="F3331" t="s">
        <v>4450</v>
      </c>
      <c r="G3331" t="s">
        <v>4497</v>
      </c>
    </row>
    <row r="3332" spans="1:7" x14ac:dyDescent="0.25">
      <c r="A3332" t="s">
        <v>1476</v>
      </c>
      <c r="B3332">
        <v>71</v>
      </c>
      <c r="C3332" t="s">
        <v>4701</v>
      </c>
      <c r="D3332" t="s">
        <v>4507</v>
      </c>
      <c r="E3332" t="s">
        <v>5154</v>
      </c>
      <c r="F3332" t="s">
        <v>4599</v>
      </c>
      <c r="G3332" t="s">
        <v>4754</v>
      </c>
    </row>
    <row r="3333" spans="1:7" x14ac:dyDescent="0.25">
      <c r="A3333" t="s">
        <v>5476</v>
      </c>
      <c r="B3333">
        <v>6</v>
      </c>
      <c r="C3333" t="s">
        <v>4465</v>
      </c>
      <c r="D3333" t="s">
        <v>4465</v>
      </c>
      <c r="E3333" t="s">
        <v>4596</v>
      </c>
      <c r="F3333" t="s">
        <v>4406</v>
      </c>
      <c r="G3333" t="s">
        <v>4596</v>
      </c>
    </row>
    <row r="3334" spans="1:7" x14ac:dyDescent="0.25">
      <c r="A3334" t="s">
        <v>1399</v>
      </c>
      <c r="B3334">
        <v>44</v>
      </c>
      <c r="C3334" t="s">
        <v>4689</v>
      </c>
      <c r="D3334" t="s">
        <v>4583</v>
      </c>
      <c r="E3334" t="s">
        <v>4568</v>
      </c>
      <c r="F3334" t="s">
        <v>4691</v>
      </c>
      <c r="G3334" t="s">
        <v>4568</v>
      </c>
    </row>
    <row r="3335" spans="1:7" x14ac:dyDescent="0.25">
      <c r="A3335" t="s">
        <v>1415</v>
      </c>
      <c r="B3335">
        <v>76</v>
      </c>
      <c r="C3335" t="s">
        <v>4692</v>
      </c>
      <c r="D3335" t="s">
        <v>4600</v>
      </c>
      <c r="E3335" t="s">
        <v>4524</v>
      </c>
      <c r="F3335" t="s">
        <v>4742</v>
      </c>
      <c r="G3335" t="s">
        <v>4461</v>
      </c>
    </row>
    <row r="3336" spans="1:7" x14ac:dyDescent="0.25">
      <c r="A3336" t="s">
        <v>1296</v>
      </c>
      <c r="B3336">
        <v>297</v>
      </c>
      <c r="C3336" t="s">
        <v>5142</v>
      </c>
      <c r="D3336" t="s">
        <v>5318</v>
      </c>
      <c r="E3336" t="s">
        <v>4451</v>
      </c>
      <c r="F3336" t="s">
        <v>5170</v>
      </c>
      <c r="G3336" t="s">
        <v>4790</v>
      </c>
    </row>
    <row r="3338" spans="1:7" x14ac:dyDescent="0.25">
      <c r="A3338" t="s">
        <v>5967</v>
      </c>
    </row>
    <row r="3339" spans="1:7" x14ac:dyDescent="0.25">
      <c r="A3339" t="s">
        <v>907</v>
      </c>
      <c r="B3339" t="s">
        <v>4394</v>
      </c>
      <c r="C3339" t="s">
        <v>1373</v>
      </c>
      <c r="D3339" t="s">
        <v>1440</v>
      </c>
      <c r="E3339" t="s">
        <v>1425</v>
      </c>
      <c r="F3339" t="s">
        <v>1374</v>
      </c>
      <c r="G3339" t="s">
        <v>1341</v>
      </c>
    </row>
    <row r="3340" spans="1:7" x14ac:dyDescent="0.25">
      <c r="A3340" t="s">
        <v>109</v>
      </c>
      <c r="B3340">
        <v>257</v>
      </c>
      <c r="C3340" t="s">
        <v>5066</v>
      </c>
      <c r="D3340" t="s">
        <v>4657</v>
      </c>
      <c r="E3340" t="s">
        <v>5264</v>
      </c>
      <c r="F3340" t="s">
        <v>5066</v>
      </c>
      <c r="G3340" t="s">
        <v>4510</v>
      </c>
    </row>
    <row r="3341" spans="1:7" x14ac:dyDescent="0.25">
      <c r="A3341" t="s">
        <v>192</v>
      </c>
      <c r="B3341">
        <v>40</v>
      </c>
      <c r="C3341" t="s">
        <v>4479</v>
      </c>
      <c r="D3341" t="s">
        <v>4480</v>
      </c>
      <c r="E3341" t="s">
        <v>4472</v>
      </c>
      <c r="F3341" t="s">
        <v>4480</v>
      </c>
      <c r="G3341" t="s">
        <v>4480</v>
      </c>
    </row>
    <row r="3342" spans="1:7" x14ac:dyDescent="0.25">
      <c r="A3342" t="s">
        <v>1296</v>
      </c>
      <c r="B3342">
        <v>297</v>
      </c>
      <c r="C3342" t="s">
        <v>5142</v>
      </c>
      <c r="D3342" t="s">
        <v>5318</v>
      </c>
      <c r="E3342" t="s">
        <v>4451</v>
      </c>
      <c r="F3342" t="s">
        <v>5170</v>
      </c>
      <c r="G3342" t="s">
        <v>4790</v>
      </c>
    </row>
    <row r="3344" spans="1:7" x14ac:dyDescent="0.25">
      <c r="A3344" t="s">
        <v>5968</v>
      </c>
    </row>
    <row r="3345" spans="1:7" x14ac:dyDescent="0.25">
      <c r="A3345" t="s">
        <v>910</v>
      </c>
      <c r="B3345" t="s">
        <v>4394</v>
      </c>
      <c r="C3345" t="s">
        <v>1373</v>
      </c>
      <c r="D3345" t="s">
        <v>1440</v>
      </c>
      <c r="E3345" t="s">
        <v>1425</v>
      </c>
      <c r="F3345" t="s">
        <v>1374</v>
      </c>
      <c r="G3345" t="s">
        <v>1341</v>
      </c>
    </row>
    <row r="3346" spans="1:7" x14ac:dyDescent="0.25">
      <c r="A3346" t="s">
        <v>1371</v>
      </c>
      <c r="B3346">
        <v>42</v>
      </c>
      <c r="C3346" t="s">
        <v>4400</v>
      </c>
      <c r="D3346" t="s">
        <v>4400</v>
      </c>
      <c r="E3346" t="s">
        <v>4785</v>
      </c>
      <c r="F3346" t="s">
        <v>4703</v>
      </c>
      <c r="G3346" t="s">
        <v>5159</v>
      </c>
    </row>
    <row r="3347" spans="1:7" x14ac:dyDescent="0.25">
      <c r="A3347" t="s">
        <v>1452</v>
      </c>
      <c r="B3347">
        <v>18</v>
      </c>
      <c r="C3347" t="s">
        <v>4406</v>
      </c>
      <c r="D3347" t="s">
        <v>4406</v>
      </c>
      <c r="E3347" t="s">
        <v>4676</v>
      </c>
      <c r="F3347" t="s">
        <v>4406</v>
      </c>
      <c r="G3347" t="s">
        <v>5005</v>
      </c>
    </row>
    <row r="3348" spans="1:7" x14ac:dyDescent="0.25">
      <c r="A3348" t="s">
        <v>5560</v>
      </c>
      <c r="B3348">
        <v>59</v>
      </c>
      <c r="C3348" t="s">
        <v>4703</v>
      </c>
      <c r="D3348" t="s">
        <v>5248</v>
      </c>
      <c r="E3348" t="s">
        <v>5248</v>
      </c>
      <c r="F3348" t="s">
        <v>4703</v>
      </c>
      <c r="G3348" t="s">
        <v>5125</v>
      </c>
    </row>
    <row r="3349" spans="1:7" x14ac:dyDescent="0.25">
      <c r="A3349" t="s">
        <v>1424</v>
      </c>
      <c r="B3349">
        <v>120</v>
      </c>
      <c r="C3349" t="s">
        <v>4650</v>
      </c>
      <c r="D3349" t="s">
        <v>4467</v>
      </c>
      <c r="E3349" t="s">
        <v>4489</v>
      </c>
      <c r="F3349" t="s">
        <v>4408</v>
      </c>
      <c r="G3349" t="s">
        <v>4535</v>
      </c>
    </row>
    <row r="3350" spans="1:7" x14ac:dyDescent="0.25">
      <c r="A3350" t="s">
        <v>1340</v>
      </c>
      <c r="B3350">
        <v>31</v>
      </c>
      <c r="C3350" t="s">
        <v>4670</v>
      </c>
      <c r="D3350" t="s">
        <v>4564</v>
      </c>
      <c r="E3350" t="s">
        <v>4641</v>
      </c>
      <c r="F3350" t="s">
        <v>4564</v>
      </c>
      <c r="G3350" t="s">
        <v>5000</v>
      </c>
    </row>
    <row r="3351" spans="1:7" x14ac:dyDescent="0.25">
      <c r="A3351" t="s">
        <v>5561</v>
      </c>
      <c r="B3351">
        <v>8</v>
      </c>
      <c r="C3351" t="s">
        <v>4468</v>
      </c>
      <c r="D3351" t="s">
        <v>4462</v>
      </c>
      <c r="E3351" t="s">
        <v>4479</v>
      </c>
      <c r="F3351" t="s">
        <v>4479</v>
      </c>
      <c r="G3351" t="s">
        <v>4406</v>
      </c>
    </row>
    <row r="3352" spans="1:7" x14ac:dyDescent="0.25">
      <c r="A3352" t="s">
        <v>1416</v>
      </c>
      <c r="B3352">
        <v>19</v>
      </c>
      <c r="C3352" t="s">
        <v>4406</v>
      </c>
      <c r="D3352" t="s">
        <v>4640</v>
      </c>
      <c r="E3352" t="s">
        <v>4600</v>
      </c>
      <c r="F3352" t="s">
        <v>4406</v>
      </c>
      <c r="G3352" t="s">
        <v>5072</v>
      </c>
    </row>
    <row r="3353" spans="1:7" x14ac:dyDescent="0.25">
      <c r="A3353" t="s">
        <v>1296</v>
      </c>
      <c r="B3353">
        <v>297</v>
      </c>
      <c r="C3353" t="s">
        <v>5142</v>
      </c>
      <c r="D3353" t="s">
        <v>5318</v>
      </c>
      <c r="E3353" t="s">
        <v>4451</v>
      </c>
      <c r="F3353" t="s">
        <v>5170</v>
      </c>
      <c r="G3353" t="s">
        <v>4790</v>
      </c>
    </row>
    <row r="3355" spans="1:7" x14ac:dyDescent="0.25">
      <c r="A3355" t="s">
        <v>5969</v>
      </c>
    </row>
    <row r="3356" spans="1:7" x14ac:dyDescent="0.25">
      <c r="A3356" t="s">
        <v>928</v>
      </c>
      <c r="B3356" t="s">
        <v>4394</v>
      </c>
      <c r="C3356" t="s">
        <v>1373</v>
      </c>
      <c r="D3356" t="s">
        <v>1440</v>
      </c>
      <c r="E3356" t="s">
        <v>1425</v>
      </c>
      <c r="F3356" t="s">
        <v>1374</v>
      </c>
      <c r="G3356" t="s">
        <v>1341</v>
      </c>
    </row>
    <row r="3357" spans="1:7" x14ac:dyDescent="0.25">
      <c r="A3357" t="s">
        <v>4433</v>
      </c>
      <c r="B3357">
        <v>5</v>
      </c>
      <c r="C3357" t="s">
        <v>4472</v>
      </c>
      <c r="D3357" t="s">
        <v>4458</v>
      </c>
      <c r="E3357" t="s">
        <v>4406</v>
      </c>
      <c r="F3357" t="s">
        <v>4406</v>
      </c>
      <c r="G3357" t="s">
        <v>4458</v>
      </c>
    </row>
    <row r="3358" spans="1:7" x14ac:dyDescent="0.25">
      <c r="A3358" t="s">
        <v>4434</v>
      </c>
      <c r="B3358">
        <v>119</v>
      </c>
      <c r="C3358" t="s">
        <v>4419</v>
      </c>
      <c r="D3358" t="s">
        <v>4576</v>
      </c>
      <c r="E3358" t="s">
        <v>4839</v>
      </c>
      <c r="F3358" t="s">
        <v>4417</v>
      </c>
      <c r="G3358" t="s">
        <v>5114</v>
      </c>
    </row>
    <row r="3359" spans="1:7" x14ac:dyDescent="0.25">
      <c r="A3359" t="s">
        <v>4435</v>
      </c>
      <c r="B3359">
        <v>90</v>
      </c>
      <c r="C3359" t="s">
        <v>4825</v>
      </c>
      <c r="D3359" t="s">
        <v>4546</v>
      </c>
      <c r="E3359" t="s">
        <v>4477</v>
      </c>
      <c r="F3359" t="s">
        <v>4406</v>
      </c>
      <c r="G3359" t="s">
        <v>4468</v>
      </c>
    </row>
    <row r="3360" spans="1:7" x14ac:dyDescent="0.25">
      <c r="A3360" t="s">
        <v>4436</v>
      </c>
      <c r="B3360">
        <v>81</v>
      </c>
      <c r="C3360" t="s">
        <v>4593</v>
      </c>
      <c r="D3360" t="s">
        <v>4953</v>
      </c>
      <c r="E3360" t="s">
        <v>5067</v>
      </c>
      <c r="F3360" t="s">
        <v>4768</v>
      </c>
      <c r="G3360" t="s">
        <v>4589</v>
      </c>
    </row>
    <row r="3361" spans="1:7" x14ac:dyDescent="0.25">
      <c r="A3361" t="s">
        <v>4437</v>
      </c>
      <c r="B3361">
        <v>2</v>
      </c>
      <c r="C3361" t="s">
        <v>4406</v>
      </c>
      <c r="D3361" t="s">
        <v>4406</v>
      </c>
      <c r="E3361" t="s">
        <v>4406</v>
      </c>
      <c r="F3361" t="s">
        <v>4406</v>
      </c>
      <c r="G3361" t="s">
        <v>4454</v>
      </c>
    </row>
    <row r="3362" spans="1:7" x14ac:dyDescent="0.25">
      <c r="A3362" t="s">
        <v>1296</v>
      </c>
      <c r="B3362">
        <v>297</v>
      </c>
      <c r="C3362" t="s">
        <v>5142</v>
      </c>
      <c r="D3362" t="s">
        <v>5318</v>
      </c>
      <c r="E3362" t="s">
        <v>4451</v>
      </c>
      <c r="F3362" t="s">
        <v>5170</v>
      </c>
      <c r="G3362" t="s">
        <v>4790</v>
      </c>
    </row>
    <row r="3364" spans="1:7" x14ac:dyDescent="0.25">
      <c r="A3364" t="s">
        <v>5970</v>
      </c>
    </row>
    <row r="3365" spans="1:7" x14ac:dyDescent="0.25">
      <c r="A3365" t="s">
        <v>913</v>
      </c>
      <c r="B3365" t="s">
        <v>4394</v>
      </c>
      <c r="C3365" t="s">
        <v>1373</v>
      </c>
      <c r="D3365" t="s">
        <v>1440</v>
      </c>
      <c r="E3365" t="s">
        <v>1425</v>
      </c>
      <c r="F3365" t="s">
        <v>1374</v>
      </c>
      <c r="G3365" t="s">
        <v>1341</v>
      </c>
    </row>
    <row r="3366" spans="1:7" x14ac:dyDescent="0.25">
      <c r="A3366" t="s">
        <v>1561</v>
      </c>
      <c r="B3366">
        <v>3</v>
      </c>
      <c r="C3366" t="s">
        <v>4465</v>
      </c>
      <c r="D3366" t="s">
        <v>4469</v>
      </c>
      <c r="E3366" t="s">
        <v>4406</v>
      </c>
      <c r="F3366" t="s">
        <v>4406</v>
      </c>
      <c r="G3366" t="s">
        <v>4406</v>
      </c>
    </row>
    <row r="3367" spans="1:7" x14ac:dyDescent="0.25">
      <c r="A3367" t="s">
        <v>1460</v>
      </c>
      <c r="B3367">
        <v>67</v>
      </c>
      <c r="C3367" t="s">
        <v>4406</v>
      </c>
      <c r="D3367" t="s">
        <v>4558</v>
      </c>
      <c r="E3367" t="s">
        <v>5153</v>
      </c>
      <c r="F3367" t="s">
        <v>4406</v>
      </c>
      <c r="G3367" t="s">
        <v>5202</v>
      </c>
    </row>
    <row r="3368" spans="1:7" x14ac:dyDescent="0.25">
      <c r="A3368" t="s">
        <v>1342</v>
      </c>
      <c r="B3368">
        <v>67</v>
      </c>
      <c r="C3368" t="s">
        <v>4680</v>
      </c>
      <c r="D3368" t="s">
        <v>4573</v>
      </c>
      <c r="E3368" t="s">
        <v>5153</v>
      </c>
      <c r="F3368" t="s">
        <v>4406</v>
      </c>
      <c r="G3368" t="s">
        <v>4441</v>
      </c>
    </row>
    <row r="3369" spans="1:7" x14ac:dyDescent="0.25">
      <c r="A3369" t="s">
        <v>1375</v>
      </c>
      <c r="B3369">
        <v>93</v>
      </c>
      <c r="C3369" t="s">
        <v>4746</v>
      </c>
      <c r="D3369" t="s">
        <v>4420</v>
      </c>
      <c r="E3369" t="s">
        <v>4858</v>
      </c>
      <c r="F3369" t="s">
        <v>4667</v>
      </c>
      <c r="G3369" t="s">
        <v>5000</v>
      </c>
    </row>
    <row r="3370" spans="1:7" x14ac:dyDescent="0.25">
      <c r="A3370" t="s">
        <v>1401</v>
      </c>
      <c r="B3370">
        <v>66</v>
      </c>
      <c r="C3370" t="s">
        <v>4726</v>
      </c>
      <c r="D3370" t="s">
        <v>4863</v>
      </c>
      <c r="E3370" t="s">
        <v>4741</v>
      </c>
      <c r="F3370" t="s">
        <v>4445</v>
      </c>
      <c r="G3370" t="s">
        <v>4589</v>
      </c>
    </row>
    <row r="3371" spans="1:7" x14ac:dyDescent="0.25">
      <c r="A3371" t="s">
        <v>1682</v>
      </c>
      <c r="B3371">
        <v>1</v>
      </c>
      <c r="C3371" t="s">
        <v>4406</v>
      </c>
      <c r="D3371" t="s">
        <v>4406</v>
      </c>
      <c r="E3371" t="s">
        <v>4406</v>
      </c>
      <c r="F3371" t="s">
        <v>4406</v>
      </c>
      <c r="G3371" t="s">
        <v>4454</v>
      </c>
    </row>
    <row r="3372" spans="1:7" x14ac:dyDescent="0.25">
      <c r="A3372" t="s">
        <v>1296</v>
      </c>
      <c r="B3372">
        <v>297</v>
      </c>
      <c r="C3372" t="s">
        <v>5142</v>
      </c>
      <c r="D3372" t="s">
        <v>5318</v>
      </c>
      <c r="E3372" t="s">
        <v>4451</v>
      </c>
      <c r="F3372" t="s">
        <v>5170</v>
      </c>
      <c r="G3372" t="s">
        <v>4790</v>
      </c>
    </row>
    <row r="3374" spans="1:7" x14ac:dyDescent="0.25">
      <c r="A3374" t="s">
        <v>5971</v>
      </c>
    </row>
    <row r="3375" spans="1:7" x14ac:dyDescent="0.25">
      <c r="A3375" t="s">
        <v>924</v>
      </c>
      <c r="B3375" t="s">
        <v>4394</v>
      </c>
      <c r="C3375" t="s">
        <v>1373</v>
      </c>
      <c r="D3375" t="s">
        <v>1440</v>
      </c>
      <c r="E3375" t="s">
        <v>1425</v>
      </c>
      <c r="F3375" t="s">
        <v>1374</v>
      </c>
      <c r="G3375" t="s">
        <v>1341</v>
      </c>
    </row>
    <row r="3376" spans="1:7" x14ac:dyDescent="0.25">
      <c r="A3376" t="s">
        <v>1345</v>
      </c>
      <c r="B3376">
        <v>69</v>
      </c>
      <c r="C3376" t="s">
        <v>4663</v>
      </c>
      <c r="D3376" t="s">
        <v>4849</v>
      </c>
      <c r="E3376" t="s">
        <v>4591</v>
      </c>
      <c r="F3376" t="s">
        <v>4591</v>
      </c>
      <c r="G3376" t="s">
        <v>5199</v>
      </c>
    </row>
    <row r="3377" spans="1:7" x14ac:dyDescent="0.25">
      <c r="A3377" t="s">
        <v>1441</v>
      </c>
      <c r="B3377">
        <v>123</v>
      </c>
      <c r="C3377" t="s">
        <v>5170</v>
      </c>
      <c r="D3377" t="s">
        <v>4584</v>
      </c>
      <c r="E3377" t="s">
        <v>5317</v>
      </c>
      <c r="F3377" t="s">
        <v>4637</v>
      </c>
      <c r="G3377" t="s">
        <v>4535</v>
      </c>
    </row>
    <row r="3378" spans="1:7" x14ac:dyDescent="0.25">
      <c r="A3378" t="s">
        <v>1461</v>
      </c>
      <c r="B3378">
        <v>95</v>
      </c>
      <c r="C3378" t="s">
        <v>4713</v>
      </c>
      <c r="D3378" t="s">
        <v>4472</v>
      </c>
      <c r="E3378" t="s">
        <v>4598</v>
      </c>
      <c r="F3378" t="s">
        <v>4640</v>
      </c>
      <c r="G3378" t="s">
        <v>4555</v>
      </c>
    </row>
    <row r="3379" spans="1:7" x14ac:dyDescent="0.25">
      <c r="A3379" t="s">
        <v>5554</v>
      </c>
      <c r="B3379">
        <v>10</v>
      </c>
      <c r="C3379" t="s">
        <v>4646</v>
      </c>
      <c r="D3379" t="s">
        <v>4646</v>
      </c>
      <c r="E3379" t="s">
        <v>4489</v>
      </c>
      <c r="F3379" t="s">
        <v>4406</v>
      </c>
      <c r="G3379" t="s">
        <v>4468</v>
      </c>
    </row>
    <row r="3380" spans="1:7" x14ac:dyDescent="0.25">
      <c r="A3380" t="s">
        <v>1296</v>
      </c>
      <c r="B3380">
        <v>297</v>
      </c>
      <c r="C3380" t="s">
        <v>5142</v>
      </c>
      <c r="D3380" t="s">
        <v>5318</v>
      </c>
      <c r="E3380" t="s">
        <v>4451</v>
      </c>
      <c r="F3380" t="s">
        <v>5170</v>
      </c>
      <c r="G3380" t="s">
        <v>4790</v>
      </c>
    </row>
    <row r="3382" spans="1:7" x14ac:dyDescent="0.25">
      <c r="A3382" t="s">
        <v>5972</v>
      </c>
    </row>
    <row r="3383" spans="1:7" x14ac:dyDescent="0.25">
      <c r="A3383" t="s">
        <v>903</v>
      </c>
      <c r="B3383" t="s">
        <v>4394</v>
      </c>
      <c r="C3383" t="s">
        <v>1373</v>
      </c>
      <c r="D3383" t="s">
        <v>1440</v>
      </c>
      <c r="E3383" t="s">
        <v>1425</v>
      </c>
      <c r="F3383" t="s">
        <v>1374</v>
      </c>
      <c r="G3383" t="s">
        <v>1341</v>
      </c>
    </row>
    <row r="3384" spans="1:7" x14ac:dyDescent="0.25">
      <c r="A3384" t="s">
        <v>70</v>
      </c>
      <c r="B3384">
        <v>85</v>
      </c>
      <c r="C3384" t="s">
        <v>5118</v>
      </c>
      <c r="D3384" t="s">
        <v>4616</v>
      </c>
      <c r="E3384" t="s">
        <v>4423</v>
      </c>
      <c r="F3384" t="s">
        <v>4558</v>
      </c>
      <c r="G3384" t="s">
        <v>4704</v>
      </c>
    </row>
    <row r="3385" spans="1:7" x14ac:dyDescent="0.25">
      <c r="A3385" t="s">
        <v>71</v>
      </c>
      <c r="B3385">
        <v>212</v>
      </c>
      <c r="C3385" t="s">
        <v>4651</v>
      </c>
      <c r="D3385" t="s">
        <v>4959</v>
      </c>
      <c r="E3385" t="s">
        <v>4718</v>
      </c>
      <c r="F3385" t="s">
        <v>4656</v>
      </c>
      <c r="G3385" t="s">
        <v>4517</v>
      </c>
    </row>
    <row r="3386" spans="1:7" x14ac:dyDescent="0.25">
      <c r="A3386" t="s">
        <v>1296</v>
      </c>
      <c r="B3386">
        <v>297</v>
      </c>
      <c r="C3386" t="s">
        <v>5142</v>
      </c>
      <c r="D3386" t="s">
        <v>5318</v>
      </c>
      <c r="E3386" t="s">
        <v>4451</v>
      </c>
      <c r="F3386" t="s">
        <v>5170</v>
      </c>
      <c r="G3386" t="s">
        <v>4790</v>
      </c>
    </row>
    <row r="3388" spans="1:7" x14ac:dyDescent="0.25">
      <c r="A3388" t="s">
        <v>5973</v>
      </c>
    </row>
    <row r="3389" spans="1:7" x14ac:dyDescent="0.25">
      <c r="A3389" t="s">
        <v>903</v>
      </c>
      <c r="B3389" t="s">
        <v>4394</v>
      </c>
      <c r="C3389" t="s">
        <v>4428</v>
      </c>
      <c r="D3389" t="s">
        <v>4429</v>
      </c>
      <c r="E3389" t="s">
        <v>4430</v>
      </c>
      <c r="F3389" t="s">
        <v>4431</v>
      </c>
      <c r="G3389" t="s">
        <v>4432</v>
      </c>
    </row>
    <row r="3390" spans="1:7" x14ac:dyDescent="0.25">
      <c r="A3390" t="s">
        <v>70</v>
      </c>
      <c r="B3390">
        <v>85</v>
      </c>
      <c r="C3390">
        <v>1987.65</v>
      </c>
      <c r="D3390">
        <v>1400</v>
      </c>
      <c r="E3390">
        <v>0</v>
      </c>
      <c r="F3390">
        <v>9000</v>
      </c>
      <c r="G3390">
        <v>168950</v>
      </c>
    </row>
    <row r="3391" spans="1:7" x14ac:dyDescent="0.25">
      <c r="A3391" t="s">
        <v>71</v>
      </c>
      <c r="B3391">
        <v>212</v>
      </c>
      <c r="C3391">
        <v>2965.8</v>
      </c>
      <c r="D3391">
        <v>2800</v>
      </c>
      <c r="E3391">
        <v>0</v>
      </c>
      <c r="F3391">
        <v>6800</v>
      </c>
      <c r="G3391">
        <v>628750</v>
      </c>
    </row>
    <row r="3392" spans="1:7" x14ac:dyDescent="0.25">
      <c r="A3392" t="s">
        <v>1296</v>
      </c>
      <c r="B3392">
        <v>297</v>
      </c>
      <c r="C3392">
        <v>2685.86</v>
      </c>
      <c r="D3392">
        <v>2600</v>
      </c>
      <c r="E3392">
        <v>0</v>
      </c>
      <c r="F3392">
        <v>9000</v>
      </c>
      <c r="G3392">
        <v>797700</v>
      </c>
    </row>
    <row r="3394" spans="1:7" x14ac:dyDescent="0.25">
      <c r="A3394" t="s">
        <v>5974</v>
      </c>
    </row>
    <row r="3395" spans="1:7" x14ac:dyDescent="0.25">
      <c r="A3395" t="s">
        <v>1297</v>
      </c>
      <c r="B3395" t="s">
        <v>4394</v>
      </c>
      <c r="C3395" t="s">
        <v>4428</v>
      </c>
      <c r="D3395" t="s">
        <v>4429</v>
      </c>
      <c r="E3395" t="s">
        <v>4430</v>
      </c>
      <c r="F3395" t="s">
        <v>4431</v>
      </c>
      <c r="G3395" t="s">
        <v>4432</v>
      </c>
    </row>
    <row r="3396" spans="1:7" x14ac:dyDescent="0.25">
      <c r="A3396" t="s">
        <v>5549</v>
      </c>
      <c r="B3396">
        <v>198</v>
      </c>
      <c r="C3396">
        <v>2278.79</v>
      </c>
      <c r="D3396">
        <v>2200</v>
      </c>
      <c r="E3396">
        <v>0</v>
      </c>
      <c r="F3396">
        <v>9600</v>
      </c>
      <c r="G3396">
        <v>451200</v>
      </c>
    </row>
    <row r="3397" spans="1:7" x14ac:dyDescent="0.25">
      <c r="A3397" t="s">
        <v>1397</v>
      </c>
      <c r="B3397">
        <v>99</v>
      </c>
      <c r="C3397">
        <v>2146.46</v>
      </c>
      <c r="D3397">
        <v>1900</v>
      </c>
      <c r="E3397">
        <v>0</v>
      </c>
      <c r="F3397">
        <v>10350</v>
      </c>
      <c r="G3397">
        <v>212500</v>
      </c>
    </row>
    <row r="3399" spans="1:7" x14ac:dyDescent="0.25">
      <c r="A3399" t="s">
        <v>5975</v>
      </c>
    </row>
    <row r="3400" spans="1:7" x14ac:dyDescent="0.25">
      <c r="A3400" t="s">
        <v>1297</v>
      </c>
      <c r="B3400" t="s">
        <v>4394</v>
      </c>
      <c r="C3400" t="s">
        <v>1373</v>
      </c>
      <c r="D3400" t="s">
        <v>1440</v>
      </c>
      <c r="E3400" t="s">
        <v>1425</v>
      </c>
      <c r="F3400" t="s">
        <v>1374</v>
      </c>
      <c r="G3400" t="s">
        <v>1341</v>
      </c>
    </row>
    <row r="3401" spans="1:7" x14ac:dyDescent="0.25">
      <c r="A3401" t="s">
        <v>5549</v>
      </c>
      <c r="B3401">
        <v>198</v>
      </c>
      <c r="C3401" t="s">
        <v>4403</v>
      </c>
      <c r="D3401" t="s">
        <v>4731</v>
      </c>
      <c r="E3401" t="s">
        <v>4726</v>
      </c>
      <c r="F3401" t="s">
        <v>4999</v>
      </c>
      <c r="G3401" t="s">
        <v>4580</v>
      </c>
    </row>
    <row r="3402" spans="1:7" x14ac:dyDescent="0.25">
      <c r="A3402" t="s">
        <v>1397</v>
      </c>
      <c r="B3402">
        <v>99</v>
      </c>
      <c r="C3402" t="s">
        <v>4741</v>
      </c>
      <c r="D3402" t="s">
        <v>4832</v>
      </c>
      <c r="E3402" t="s">
        <v>4501</v>
      </c>
      <c r="F3402" t="s">
        <v>4539</v>
      </c>
      <c r="G3402" t="s">
        <v>4882</v>
      </c>
    </row>
    <row r="3403" spans="1:7" x14ac:dyDescent="0.25">
      <c r="A3403" t="s">
        <v>1296</v>
      </c>
      <c r="B3403">
        <v>297</v>
      </c>
      <c r="C3403" t="s">
        <v>5142</v>
      </c>
      <c r="D3403" t="s">
        <v>5179</v>
      </c>
      <c r="E3403" t="s">
        <v>4810</v>
      </c>
      <c r="F3403" t="s">
        <v>4479</v>
      </c>
      <c r="G3403" t="s">
        <v>5183</v>
      </c>
    </row>
    <row r="3405" spans="1:7" x14ac:dyDescent="0.25">
      <c r="A3405" t="s">
        <v>5976</v>
      </c>
    </row>
    <row r="3406" spans="1:7" x14ac:dyDescent="0.25">
      <c r="A3406" t="s">
        <v>905</v>
      </c>
      <c r="B3406" t="s">
        <v>4394</v>
      </c>
      <c r="C3406" t="s">
        <v>1373</v>
      </c>
      <c r="D3406" t="s">
        <v>1440</v>
      </c>
      <c r="E3406" t="s">
        <v>1425</v>
      </c>
      <c r="F3406" t="s">
        <v>1374</v>
      </c>
      <c r="G3406" t="s">
        <v>1341</v>
      </c>
    </row>
    <row r="3407" spans="1:7" x14ac:dyDescent="0.25">
      <c r="A3407" t="s">
        <v>4844</v>
      </c>
      <c r="B3407">
        <v>36</v>
      </c>
      <c r="C3407" t="s">
        <v>4462</v>
      </c>
      <c r="D3407" t="s">
        <v>4444</v>
      </c>
      <c r="E3407" t="s">
        <v>4731</v>
      </c>
      <c r="F3407" t="s">
        <v>4859</v>
      </c>
      <c r="G3407" t="s">
        <v>4406</v>
      </c>
    </row>
    <row r="3408" spans="1:7" x14ac:dyDescent="0.25">
      <c r="A3408" t="s">
        <v>4845</v>
      </c>
      <c r="B3408">
        <v>230</v>
      </c>
      <c r="C3408" t="s">
        <v>4741</v>
      </c>
      <c r="D3408" t="s">
        <v>4926</v>
      </c>
      <c r="E3408" t="s">
        <v>4708</v>
      </c>
      <c r="F3408" t="s">
        <v>4663</v>
      </c>
      <c r="G3408" t="s">
        <v>4575</v>
      </c>
    </row>
    <row r="3409" spans="1:7" x14ac:dyDescent="0.25">
      <c r="A3409" t="s">
        <v>4846</v>
      </c>
      <c r="B3409">
        <v>31</v>
      </c>
      <c r="C3409" t="s">
        <v>4670</v>
      </c>
      <c r="D3409" t="s">
        <v>4641</v>
      </c>
      <c r="E3409" t="s">
        <v>4578</v>
      </c>
      <c r="F3409" t="s">
        <v>4670</v>
      </c>
      <c r="G3409" t="s">
        <v>5071</v>
      </c>
    </row>
    <row r="3410" spans="1:7" x14ac:dyDescent="0.25">
      <c r="A3410" t="s">
        <v>1296</v>
      </c>
      <c r="B3410">
        <v>297</v>
      </c>
      <c r="C3410" t="s">
        <v>5142</v>
      </c>
      <c r="D3410" t="s">
        <v>5179</v>
      </c>
      <c r="E3410" t="s">
        <v>4810</v>
      </c>
      <c r="F3410" t="s">
        <v>4479</v>
      </c>
      <c r="G3410" t="s">
        <v>5183</v>
      </c>
    </row>
    <row r="3412" spans="1:7" x14ac:dyDescent="0.25">
      <c r="A3412" t="s">
        <v>5977</v>
      </c>
    </row>
    <row r="3413" spans="1:7" x14ac:dyDescent="0.25">
      <c r="A3413" t="s">
        <v>906</v>
      </c>
      <c r="B3413" t="s">
        <v>4394</v>
      </c>
      <c r="C3413" t="s">
        <v>1373</v>
      </c>
      <c r="D3413" t="s">
        <v>1440</v>
      </c>
      <c r="E3413" t="s">
        <v>1425</v>
      </c>
      <c r="F3413" t="s">
        <v>1374</v>
      </c>
      <c r="G3413" t="s">
        <v>1341</v>
      </c>
    </row>
    <row r="3414" spans="1:7" x14ac:dyDescent="0.25">
      <c r="A3414" t="s">
        <v>1338</v>
      </c>
      <c r="B3414">
        <v>46</v>
      </c>
      <c r="C3414" t="s">
        <v>4684</v>
      </c>
      <c r="D3414" t="s">
        <v>4863</v>
      </c>
      <c r="E3414" t="s">
        <v>4664</v>
      </c>
      <c r="F3414" t="s">
        <v>4663</v>
      </c>
      <c r="G3414" t="s">
        <v>4580</v>
      </c>
    </row>
    <row r="3415" spans="1:7" x14ac:dyDescent="0.25">
      <c r="A3415" t="s">
        <v>1370</v>
      </c>
      <c r="B3415">
        <v>33</v>
      </c>
      <c r="C3415" t="s">
        <v>4852</v>
      </c>
      <c r="D3415" t="s">
        <v>4539</v>
      </c>
      <c r="E3415" t="s">
        <v>4807</v>
      </c>
      <c r="F3415" t="s">
        <v>4741</v>
      </c>
      <c r="G3415" t="s">
        <v>4465</v>
      </c>
    </row>
    <row r="3416" spans="1:7" x14ac:dyDescent="0.25">
      <c r="A3416" t="s">
        <v>1439</v>
      </c>
      <c r="B3416">
        <v>21</v>
      </c>
      <c r="C3416" t="s">
        <v>4675</v>
      </c>
      <c r="D3416" t="s">
        <v>4522</v>
      </c>
      <c r="E3416" t="s">
        <v>4465</v>
      </c>
      <c r="F3416" t="s">
        <v>4556</v>
      </c>
      <c r="G3416" t="s">
        <v>4785</v>
      </c>
    </row>
    <row r="3417" spans="1:7" x14ac:dyDescent="0.25">
      <c r="A3417" t="s">
        <v>1476</v>
      </c>
      <c r="B3417">
        <v>71</v>
      </c>
      <c r="C3417" t="s">
        <v>4701</v>
      </c>
      <c r="D3417" t="s">
        <v>4807</v>
      </c>
      <c r="E3417" t="s">
        <v>4754</v>
      </c>
      <c r="F3417" t="s">
        <v>4754</v>
      </c>
      <c r="G3417" t="s">
        <v>4571</v>
      </c>
    </row>
    <row r="3418" spans="1:7" x14ac:dyDescent="0.25">
      <c r="A3418" t="s">
        <v>5476</v>
      </c>
      <c r="B3418">
        <v>6</v>
      </c>
      <c r="C3418" t="s">
        <v>4596</v>
      </c>
      <c r="D3418" t="s">
        <v>4469</v>
      </c>
      <c r="E3418" t="s">
        <v>4406</v>
      </c>
      <c r="F3418" t="s">
        <v>4406</v>
      </c>
      <c r="G3418" t="s">
        <v>4596</v>
      </c>
    </row>
    <row r="3419" spans="1:7" x14ac:dyDescent="0.25">
      <c r="A3419" t="s">
        <v>1399</v>
      </c>
      <c r="B3419">
        <v>44</v>
      </c>
      <c r="C3419" t="s">
        <v>4691</v>
      </c>
      <c r="D3419" t="s">
        <v>4492</v>
      </c>
      <c r="E3419" t="s">
        <v>4726</v>
      </c>
      <c r="F3419" t="s">
        <v>4589</v>
      </c>
      <c r="G3419" t="s">
        <v>4405</v>
      </c>
    </row>
    <row r="3420" spans="1:7" x14ac:dyDescent="0.25">
      <c r="A3420" t="s">
        <v>1415</v>
      </c>
      <c r="B3420">
        <v>76</v>
      </c>
      <c r="C3420" t="s">
        <v>4864</v>
      </c>
      <c r="D3420" t="s">
        <v>4558</v>
      </c>
      <c r="E3420" t="s">
        <v>4820</v>
      </c>
      <c r="F3420" t="s">
        <v>4640</v>
      </c>
      <c r="G3420" t="s">
        <v>4601</v>
      </c>
    </row>
    <row r="3421" spans="1:7" x14ac:dyDescent="0.25">
      <c r="A3421" t="s">
        <v>1296</v>
      </c>
      <c r="B3421">
        <v>297</v>
      </c>
      <c r="C3421" t="s">
        <v>5142</v>
      </c>
      <c r="D3421" t="s">
        <v>5179</v>
      </c>
      <c r="E3421" t="s">
        <v>4810</v>
      </c>
      <c r="F3421" t="s">
        <v>4479</v>
      </c>
      <c r="G3421" t="s">
        <v>5183</v>
      </c>
    </row>
    <row r="3423" spans="1:7" x14ac:dyDescent="0.25">
      <c r="A3423" t="s">
        <v>5978</v>
      </c>
    </row>
    <row r="3424" spans="1:7" x14ac:dyDescent="0.25">
      <c r="A3424" t="s">
        <v>907</v>
      </c>
      <c r="B3424" t="s">
        <v>4394</v>
      </c>
      <c r="C3424" t="s">
        <v>1373</v>
      </c>
      <c r="D3424" t="s">
        <v>1440</v>
      </c>
      <c r="E3424" t="s">
        <v>1425</v>
      </c>
      <c r="F3424" t="s">
        <v>1374</v>
      </c>
      <c r="G3424" t="s">
        <v>1341</v>
      </c>
    </row>
    <row r="3425" spans="1:7" x14ac:dyDescent="0.25">
      <c r="A3425" t="s">
        <v>109</v>
      </c>
      <c r="B3425">
        <v>257</v>
      </c>
      <c r="C3425" t="s">
        <v>5066</v>
      </c>
      <c r="D3425" t="s">
        <v>4526</v>
      </c>
      <c r="E3425" t="s">
        <v>4708</v>
      </c>
      <c r="F3425" t="s">
        <v>4600</v>
      </c>
      <c r="G3425" t="s">
        <v>4612</v>
      </c>
    </row>
    <row r="3426" spans="1:7" x14ac:dyDescent="0.25">
      <c r="A3426" t="s">
        <v>192</v>
      </c>
      <c r="B3426">
        <v>40</v>
      </c>
      <c r="C3426" t="s">
        <v>4479</v>
      </c>
      <c r="D3426" t="s">
        <v>4760</v>
      </c>
      <c r="E3426" t="s">
        <v>4759</v>
      </c>
      <c r="F3426" t="s">
        <v>4462</v>
      </c>
      <c r="G3426" t="s">
        <v>4759</v>
      </c>
    </row>
    <row r="3427" spans="1:7" x14ac:dyDescent="0.25">
      <c r="A3427" t="s">
        <v>1296</v>
      </c>
      <c r="B3427">
        <v>297</v>
      </c>
      <c r="C3427" t="s">
        <v>5142</v>
      </c>
      <c r="D3427" t="s">
        <v>5179</v>
      </c>
      <c r="E3427" t="s">
        <v>4810</v>
      </c>
      <c r="F3427" t="s">
        <v>4479</v>
      </c>
      <c r="G3427" t="s">
        <v>5183</v>
      </c>
    </row>
    <row r="3429" spans="1:7" x14ac:dyDescent="0.25">
      <c r="A3429" t="s">
        <v>5979</v>
      </c>
    </row>
    <row r="3430" spans="1:7" x14ac:dyDescent="0.25">
      <c r="A3430" t="s">
        <v>910</v>
      </c>
      <c r="B3430" t="s">
        <v>4394</v>
      </c>
      <c r="C3430" t="s">
        <v>1373</v>
      </c>
      <c r="D3430" t="s">
        <v>1440</v>
      </c>
      <c r="E3430" t="s">
        <v>1425</v>
      </c>
      <c r="F3430" t="s">
        <v>1374</v>
      </c>
      <c r="G3430" t="s">
        <v>1341</v>
      </c>
    </row>
    <row r="3431" spans="1:7" x14ac:dyDescent="0.25">
      <c r="A3431" t="s">
        <v>1371</v>
      </c>
      <c r="B3431">
        <v>42</v>
      </c>
      <c r="C3431" t="s">
        <v>4400</v>
      </c>
      <c r="D3431" t="s">
        <v>4522</v>
      </c>
      <c r="E3431" t="s">
        <v>5103</v>
      </c>
      <c r="F3431" t="s">
        <v>4424</v>
      </c>
      <c r="G3431" t="s">
        <v>4411</v>
      </c>
    </row>
    <row r="3432" spans="1:7" x14ac:dyDescent="0.25">
      <c r="A3432" t="s">
        <v>1452</v>
      </c>
      <c r="B3432">
        <v>18</v>
      </c>
      <c r="C3432" t="s">
        <v>4406</v>
      </c>
      <c r="D3432" t="s">
        <v>4596</v>
      </c>
      <c r="E3432" t="s">
        <v>4596</v>
      </c>
      <c r="F3432" t="s">
        <v>4406</v>
      </c>
      <c r="G3432" t="s">
        <v>4469</v>
      </c>
    </row>
    <row r="3433" spans="1:7" x14ac:dyDescent="0.25">
      <c r="A3433" t="s">
        <v>5560</v>
      </c>
      <c r="B3433">
        <v>59</v>
      </c>
      <c r="C3433" t="s">
        <v>4541</v>
      </c>
      <c r="D3433" t="s">
        <v>5232</v>
      </c>
      <c r="E3433" t="s">
        <v>4516</v>
      </c>
      <c r="F3433" t="s">
        <v>4933</v>
      </c>
      <c r="G3433" t="s">
        <v>4627</v>
      </c>
    </row>
    <row r="3434" spans="1:7" x14ac:dyDescent="0.25">
      <c r="A3434" t="s">
        <v>1424</v>
      </c>
      <c r="B3434">
        <v>120</v>
      </c>
      <c r="C3434" t="s">
        <v>4758</v>
      </c>
      <c r="D3434" t="s">
        <v>4535</v>
      </c>
      <c r="E3434" t="s">
        <v>4489</v>
      </c>
      <c r="F3434" t="s">
        <v>4643</v>
      </c>
      <c r="G3434" t="s">
        <v>4759</v>
      </c>
    </row>
    <row r="3435" spans="1:7" x14ac:dyDescent="0.25">
      <c r="A3435" t="s">
        <v>1340</v>
      </c>
      <c r="B3435">
        <v>31</v>
      </c>
      <c r="C3435" t="s">
        <v>4670</v>
      </c>
      <c r="D3435" t="s">
        <v>4641</v>
      </c>
      <c r="E3435" t="s">
        <v>4578</v>
      </c>
      <c r="F3435" t="s">
        <v>4420</v>
      </c>
      <c r="G3435" t="s">
        <v>5111</v>
      </c>
    </row>
    <row r="3436" spans="1:7" x14ac:dyDescent="0.25">
      <c r="A3436" t="s">
        <v>5561</v>
      </c>
      <c r="B3436">
        <v>8</v>
      </c>
      <c r="C3436" t="s">
        <v>4468</v>
      </c>
      <c r="D3436" t="s">
        <v>4462</v>
      </c>
      <c r="E3436" t="s">
        <v>4406</v>
      </c>
      <c r="F3436" t="s">
        <v>4462</v>
      </c>
      <c r="G3436" t="s">
        <v>4406</v>
      </c>
    </row>
    <row r="3437" spans="1:7" x14ac:dyDescent="0.25">
      <c r="A3437" t="s">
        <v>1416</v>
      </c>
      <c r="B3437">
        <v>19</v>
      </c>
      <c r="C3437" t="s">
        <v>4406</v>
      </c>
      <c r="D3437" t="s">
        <v>4640</v>
      </c>
      <c r="E3437" t="s">
        <v>4491</v>
      </c>
      <c r="F3437" t="s">
        <v>4406</v>
      </c>
      <c r="G3437" t="s">
        <v>4461</v>
      </c>
    </row>
    <row r="3438" spans="1:7" x14ac:dyDescent="0.25">
      <c r="A3438" t="s">
        <v>1296</v>
      </c>
      <c r="B3438">
        <v>297</v>
      </c>
      <c r="C3438" t="s">
        <v>5142</v>
      </c>
      <c r="D3438" t="s">
        <v>5179</v>
      </c>
      <c r="E3438" t="s">
        <v>4810</v>
      </c>
      <c r="F3438" t="s">
        <v>4479</v>
      </c>
      <c r="G3438" t="s">
        <v>5183</v>
      </c>
    </row>
    <row r="3440" spans="1:7" x14ac:dyDescent="0.25">
      <c r="A3440" t="s">
        <v>5980</v>
      </c>
    </row>
    <row r="3441" spans="1:7" x14ac:dyDescent="0.25">
      <c r="A3441" t="s">
        <v>928</v>
      </c>
      <c r="B3441" t="s">
        <v>4394</v>
      </c>
      <c r="C3441" t="s">
        <v>1373</v>
      </c>
      <c r="D3441" t="s">
        <v>1440</v>
      </c>
      <c r="E3441" t="s">
        <v>1425</v>
      </c>
      <c r="F3441" t="s">
        <v>1374</v>
      </c>
      <c r="G3441" t="s">
        <v>1341</v>
      </c>
    </row>
    <row r="3442" spans="1:7" x14ac:dyDescent="0.25">
      <c r="A3442" t="s">
        <v>4433</v>
      </c>
      <c r="B3442">
        <v>5</v>
      </c>
      <c r="C3442" t="s">
        <v>4472</v>
      </c>
      <c r="D3442" t="s">
        <v>4458</v>
      </c>
      <c r="E3442" t="s">
        <v>4406</v>
      </c>
      <c r="F3442" t="s">
        <v>4472</v>
      </c>
      <c r="G3442" t="s">
        <v>4472</v>
      </c>
    </row>
    <row r="3443" spans="1:7" x14ac:dyDescent="0.25">
      <c r="A3443" t="s">
        <v>4434</v>
      </c>
      <c r="B3443">
        <v>119</v>
      </c>
      <c r="C3443" t="s">
        <v>4888</v>
      </c>
      <c r="D3443" t="s">
        <v>4525</v>
      </c>
      <c r="E3443" t="s">
        <v>4450</v>
      </c>
      <c r="F3443" t="s">
        <v>4699</v>
      </c>
      <c r="G3443" t="s">
        <v>5113</v>
      </c>
    </row>
    <row r="3444" spans="1:7" x14ac:dyDescent="0.25">
      <c r="A3444" t="s">
        <v>4435</v>
      </c>
      <c r="B3444">
        <v>90</v>
      </c>
      <c r="C3444" t="s">
        <v>4581</v>
      </c>
      <c r="D3444" t="s">
        <v>4839</v>
      </c>
      <c r="E3444" t="s">
        <v>5106</v>
      </c>
      <c r="F3444" t="s">
        <v>4651</v>
      </c>
      <c r="G3444" t="s">
        <v>4596</v>
      </c>
    </row>
    <row r="3445" spans="1:7" x14ac:dyDescent="0.25">
      <c r="A3445" t="s">
        <v>4436</v>
      </c>
      <c r="B3445">
        <v>81</v>
      </c>
      <c r="C3445" t="s">
        <v>4731</v>
      </c>
      <c r="D3445" t="s">
        <v>4874</v>
      </c>
      <c r="E3445" t="s">
        <v>4850</v>
      </c>
      <c r="F3445" t="s">
        <v>4538</v>
      </c>
      <c r="G3445" t="s">
        <v>4614</v>
      </c>
    </row>
    <row r="3446" spans="1:7" x14ac:dyDescent="0.25">
      <c r="A3446" t="s">
        <v>4437</v>
      </c>
      <c r="B3446">
        <v>2</v>
      </c>
      <c r="C3446" t="s">
        <v>4406</v>
      </c>
      <c r="D3446" t="s">
        <v>4406</v>
      </c>
      <c r="E3446" t="s">
        <v>4406</v>
      </c>
      <c r="F3446" t="s">
        <v>4406</v>
      </c>
      <c r="G3446" t="s">
        <v>4454</v>
      </c>
    </row>
    <row r="3447" spans="1:7" x14ac:dyDescent="0.25">
      <c r="A3447" t="s">
        <v>1296</v>
      </c>
      <c r="B3447">
        <v>297</v>
      </c>
      <c r="C3447" t="s">
        <v>5142</v>
      </c>
      <c r="D3447" t="s">
        <v>5179</v>
      </c>
      <c r="E3447" t="s">
        <v>4810</v>
      </c>
      <c r="F3447" t="s">
        <v>4479</v>
      </c>
      <c r="G3447" t="s">
        <v>5183</v>
      </c>
    </row>
    <row r="3449" spans="1:7" x14ac:dyDescent="0.25">
      <c r="A3449" t="s">
        <v>5981</v>
      </c>
    </row>
    <row r="3450" spans="1:7" x14ac:dyDescent="0.25">
      <c r="A3450" t="s">
        <v>913</v>
      </c>
      <c r="B3450" t="s">
        <v>4394</v>
      </c>
      <c r="C3450" t="s">
        <v>1373</v>
      </c>
      <c r="D3450" t="s">
        <v>1440</v>
      </c>
      <c r="E3450" t="s">
        <v>1425</v>
      </c>
      <c r="F3450" t="s">
        <v>1374</v>
      </c>
      <c r="G3450" t="s">
        <v>1341</v>
      </c>
    </row>
    <row r="3451" spans="1:7" x14ac:dyDescent="0.25">
      <c r="A3451" t="s">
        <v>1561</v>
      </c>
      <c r="B3451">
        <v>3</v>
      </c>
      <c r="C3451" t="s">
        <v>4465</v>
      </c>
      <c r="D3451" t="s">
        <v>4465</v>
      </c>
      <c r="E3451" t="s">
        <v>4406</v>
      </c>
      <c r="F3451" t="s">
        <v>4465</v>
      </c>
      <c r="G3451" t="s">
        <v>4406</v>
      </c>
    </row>
    <row r="3452" spans="1:7" x14ac:dyDescent="0.25">
      <c r="A3452" t="s">
        <v>1460</v>
      </c>
      <c r="B3452">
        <v>67</v>
      </c>
      <c r="C3452" t="s">
        <v>4626</v>
      </c>
      <c r="D3452" t="s">
        <v>5104</v>
      </c>
      <c r="E3452" t="s">
        <v>4520</v>
      </c>
      <c r="F3452" t="s">
        <v>4559</v>
      </c>
      <c r="G3452" t="s">
        <v>4455</v>
      </c>
    </row>
    <row r="3453" spans="1:7" x14ac:dyDescent="0.25">
      <c r="A3453" t="s">
        <v>1342</v>
      </c>
      <c r="B3453">
        <v>67</v>
      </c>
      <c r="C3453" t="s">
        <v>4680</v>
      </c>
      <c r="D3453" t="s">
        <v>5153</v>
      </c>
      <c r="E3453" t="s">
        <v>4748</v>
      </c>
      <c r="F3453" t="s">
        <v>4626</v>
      </c>
      <c r="G3453" t="s">
        <v>4677</v>
      </c>
    </row>
    <row r="3454" spans="1:7" x14ac:dyDescent="0.25">
      <c r="A3454" t="s">
        <v>1375</v>
      </c>
      <c r="B3454">
        <v>93</v>
      </c>
      <c r="C3454" t="s">
        <v>4667</v>
      </c>
      <c r="D3454" t="s">
        <v>4858</v>
      </c>
      <c r="E3454" t="s">
        <v>4519</v>
      </c>
      <c r="F3454" t="s">
        <v>4670</v>
      </c>
      <c r="G3454" t="s">
        <v>5319</v>
      </c>
    </row>
    <row r="3455" spans="1:7" x14ac:dyDescent="0.25">
      <c r="A3455" t="s">
        <v>1401</v>
      </c>
      <c r="B3455">
        <v>66</v>
      </c>
      <c r="C3455" t="s">
        <v>4561</v>
      </c>
      <c r="D3455" t="s">
        <v>4589</v>
      </c>
      <c r="E3455" t="s">
        <v>4552</v>
      </c>
      <c r="F3455" t="s">
        <v>4492</v>
      </c>
      <c r="G3455" t="s">
        <v>4596</v>
      </c>
    </row>
    <row r="3456" spans="1:7" x14ac:dyDescent="0.25">
      <c r="A3456" t="s">
        <v>1682</v>
      </c>
      <c r="B3456">
        <v>1</v>
      </c>
      <c r="C3456" t="s">
        <v>4406</v>
      </c>
      <c r="D3456" t="s">
        <v>4406</v>
      </c>
      <c r="E3456" t="s">
        <v>4406</v>
      </c>
      <c r="F3456" t="s">
        <v>4406</v>
      </c>
      <c r="G3456" t="s">
        <v>4454</v>
      </c>
    </row>
    <row r="3457" spans="1:7" x14ac:dyDescent="0.25">
      <c r="A3457" t="s">
        <v>1296</v>
      </c>
      <c r="B3457">
        <v>297</v>
      </c>
      <c r="C3457" t="s">
        <v>5142</v>
      </c>
      <c r="D3457" t="s">
        <v>5179</v>
      </c>
      <c r="E3457" t="s">
        <v>4810</v>
      </c>
      <c r="F3457" t="s">
        <v>4479</v>
      </c>
      <c r="G3457" t="s">
        <v>5183</v>
      </c>
    </row>
    <row r="3459" spans="1:7" x14ac:dyDescent="0.25">
      <c r="A3459" t="s">
        <v>5982</v>
      </c>
    </row>
    <row r="3460" spans="1:7" x14ac:dyDescent="0.25">
      <c r="A3460" t="s">
        <v>920</v>
      </c>
      <c r="B3460" t="s">
        <v>4394</v>
      </c>
      <c r="C3460" t="s">
        <v>1373</v>
      </c>
      <c r="D3460" t="s">
        <v>1440</v>
      </c>
      <c r="E3460" t="s">
        <v>1425</v>
      </c>
      <c r="F3460" t="s">
        <v>1374</v>
      </c>
      <c r="G3460" t="s">
        <v>1341</v>
      </c>
    </row>
    <row r="3461" spans="1:7" x14ac:dyDescent="0.25">
      <c r="A3461" t="s">
        <v>1343</v>
      </c>
      <c r="B3461">
        <v>170</v>
      </c>
      <c r="C3461" t="s">
        <v>4696</v>
      </c>
      <c r="D3461" t="s">
        <v>4526</v>
      </c>
      <c r="E3461" t="s">
        <v>4918</v>
      </c>
      <c r="F3461" t="s">
        <v>4423</v>
      </c>
      <c r="G3461" t="s">
        <v>4619</v>
      </c>
    </row>
    <row r="3462" spans="1:7" x14ac:dyDescent="0.25">
      <c r="A3462" t="s">
        <v>1345</v>
      </c>
      <c r="B3462">
        <v>75</v>
      </c>
      <c r="C3462" t="s">
        <v>4660</v>
      </c>
      <c r="D3462" t="s">
        <v>4598</v>
      </c>
      <c r="E3462" t="s">
        <v>4501</v>
      </c>
      <c r="F3462" t="s">
        <v>4498</v>
      </c>
      <c r="G3462" t="s">
        <v>4415</v>
      </c>
    </row>
    <row r="3463" spans="1:7" x14ac:dyDescent="0.25">
      <c r="A3463" t="s">
        <v>1466</v>
      </c>
      <c r="B3463">
        <v>50</v>
      </c>
      <c r="C3463" t="s">
        <v>4657</v>
      </c>
      <c r="D3463" t="s">
        <v>5110</v>
      </c>
      <c r="E3463" t="s">
        <v>4921</v>
      </c>
      <c r="F3463" t="s">
        <v>4657</v>
      </c>
      <c r="G3463" t="s">
        <v>5174</v>
      </c>
    </row>
    <row r="3464" spans="1:7" x14ac:dyDescent="0.25">
      <c r="A3464" t="s">
        <v>5554</v>
      </c>
      <c r="B3464">
        <v>2</v>
      </c>
      <c r="C3464" t="s">
        <v>4406</v>
      </c>
      <c r="D3464" t="s">
        <v>4468</v>
      </c>
      <c r="E3464" t="s">
        <v>4468</v>
      </c>
      <c r="F3464" t="s">
        <v>4406</v>
      </c>
      <c r="G3464" t="s">
        <v>4406</v>
      </c>
    </row>
    <row r="3465" spans="1:7" x14ac:dyDescent="0.25">
      <c r="A3465" t="s">
        <v>1296</v>
      </c>
      <c r="B3465">
        <v>297</v>
      </c>
      <c r="C3465" t="s">
        <v>5142</v>
      </c>
      <c r="D3465" t="s">
        <v>5179</v>
      </c>
      <c r="E3465" t="s">
        <v>4810</v>
      </c>
      <c r="F3465" t="s">
        <v>4479</v>
      </c>
      <c r="G3465" t="s">
        <v>5183</v>
      </c>
    </row>
    <row r="3467" spans="1:7" x14ac:dyDescent="0.25">
      <c r="A3467" t="s">
        <v>5983</v>
      </c>
    </row>
    <row r="3468" spans="1:7" x14ac:dyDescent="0.25">
      <c r="A3468" t="s">
        <v>903</v>
      </c>
      <c r="B3468" t="s">
        <v>4394</v>
      </c>
      <c r="C3468" t="s">
        <v>1373</v>
      </c>
      <c r="D3468" t="s">
        <v>1440</v>
      </c>
      <c r="E3468" t="s">
        <v>1425</v>
      </c>
      <c r="F3468" t="s">
        <v>1374</v>
      </c>
      <c r="G3468" t="s">
        <v>1341</v>
      </c>
    </row>
    <row r="3469" spans="1:7" x14ac:dyDescent="0.25">
      <c r="A3469" t="s">
        <v>70</v>
      </c>
      <c r="B3469">
        <v>85</v>
      </c>
      <c r="C3469" t="s">
        <v>4616</v>
      </c>
      <c r="D3469" t="s">
        <v>4472</v>
      </c>
      <c r="E3469" t="s">
        <v>4854</v>
      </c>
      <c r="F3469" t="s">
        <v>4619</v>
      </c>
      <c r="G3469" t="s">
        <v>4475</v>
      </c>
    </row>
    <row r="3470" spans="1:7" x14ac:dyDescent="0.25">
      <c r="A3470" t="s">
        <v>71</v>
      </c>
      <c r="B3470">
        <v>212</v>
      </c>
      <c r="C3470" t="s">
        <v>4656</v>
      </c>
      <c r="D3470" t="s">
        <v>4471</v>
      </c>
      <c r="E3470" t="s">
        <v>5320</v>
      </c>
      <c r="F3470" t="s">
        <v>4709</v>
      </c>
      <c r="G3470" t="s">
        <v>4440</v>
      </c>
    </row>
    <row r="3471" spans="1:7" x14ac:dyDescent="0.25">
      <c r="A3471" t="s">
        <v>1296</v>
      </c>
      <c r="B3471">
        <v>297</v>
      </c>
      <c r="C3471" t="s">
        <v>5142</v>
      </c>
      <c r="D3471" t="s">
        <v>5179</v>
      </c>
      <c r="E3471" t="s">
        <v>4810</v>
      </c>
      <c r="F3471" t="s">
        <v>4479</v>
      </c>
      <c r="G3471" t="s">
        <v>5183</v>
      </c>
    </row>
    <row r="3473" spans="1:10" x14ac:dyDescent="0.25">
      <c r="A3473" t="s">
        <v>5984</v>
      </c>
    </row>
    <row r="3474" spans="1:10" x14ac:dyDescent="0.25">
      <c r="A3474" t="s">
        <v>903</v>
      </c>
      <c r="B3474" t="s">
        <v>4394</v>
      </c>
      <c r="C3474" t="s">
        <v>4428</v>
      </c>
      <c r="D3474" t="s">
        <v>4429</v>
      </c>
      <c r="E3474" t="s">
        <v>4430</v>
      </c>
      <c r="F3474" t="s">
        <v>4431</v>
      </c>
      <c r="G3474" t="s">
        <v>4432</v>
      </c>
    </row>
    <row r="3475" spans="1:10" x14ac:dyDescent="0.25">
      <c r="A3475" t="s">
        <v>70</v>
      </c>
      <c r="B3475">
        <v>85</v>
      </c>
      <c r="C3475">
        <v>1967.65</v>
      </c>
      <c r="D3475">
        <v>1400</v>
      </c>
      <c r="E3475">
        <v>0</v>
      </c>
      <c r="F3475">
        <v>10350</v>
      </c>
      <c r="G3475">
        <v>167250</v>
      </c>
    </row>
    <row r="3476" spans="1:10" x14ac:dyDescent="0.25">
      <c r="A3476" t="s">
        <v>71</v>
      </c>
      <c r="B3476">
        <v>212</v>
      </c>
      <c r="C3476">
        <v>2341.75</v>
      </c>
      <c r="D3476">
        <v>2200</v>
      </c>
      <c r="E3476">
        <v>0</v>
      </c>
      <c r="F3476">
        <v>6000</v>
      </c>
      <c r="G3476">
        <v>496450</v>
      </c>
    </row>
    <row r="3477" spans="1:10" x14ac:dyDescent="0.25">
      <c r="A3477" t="s">
        <v>1296</v>
      </c>
      <c r="B3477">
        <v>297</v>
      </c>
      <c r="C3477">
        <v>2234.6799999999998</v>
      </c>
      <c r="D3477">
        <v>2100</v>
      </c>
      <c r="E3477">
        <v>0</v>
      </c>
      <c r="F3477">
        <v>10350</v>
      </c>
      <c r="G3477">
        <v>663700</v>
      </c>
    </row>
    <row r="3479" spans="1:10" x14ac:dyDescent="0.25">
      <c r="A3479" t="s">
        <v>5509</v>
      </c>
    </row>
    <row r="3480" spans="1:10" x14ac:dyDescent="0.25">
      <c r="A3480" t="s">
        <v>1297</v>
      </c>
      <c r="B3480" t="s">
        <v>4394</v>
      </c>
      <c r="C3480" t="s">
        <v>5321</v>
      </c>
      <c r="D3480" t="s">
        <v>109</v>
      </c>
      <c r="E3480" t="s">
        <v>5322</v>
      </c>
      <c r="F3480" t="s">
        <v>5323</v>
      </c>
      <c r="G3480" t="s">
        <v>5324</v>
      </c>
      <c r="H3480" t="s">
        <v>4737</v>
      </c>
      <c r="I3480" t="s">
        <v>5325</v>
      </c>
      <c r="J3480" t="s">
        <v>5326</v>
      </c>
    </row>
    <row r="3481" spans="1:10" x14ac:dyDescent="0.25">
      <c r="A3481" t="s">
        <v>5549</v>
      </c>
      <c r="B3481">
        <v>198</v>
      </c>
      <c r="C3481" t="s">
        <v>4719</v>
      </c>
      <c r="D3481" t="s">
        <v>4965</v>
      </c>
      <c r="E3481" t="s">
        <v>4724</v>
      </c>
      <c r="F3481" t="s">
        <v>4596</v>
      </c>
      <c r="G3481" t="s">
        <v>4676</v>
      </c>
      <c r="H3481" t="s">
        <v>4406</v>
      </c>
      <c r="I3481" t="s">
        <v>4742</v>
      </c>
      <c r="J3481" t="s">
        <v>4627</v>
      </c>
    </row>
    <row r="3482" spans="1:10" x14ac:dyDescent="0.25">
      <c r="A3482" t="s">
        <v>1397</v>
      </c>
      <c r="B3482">
        <v>99</v>
      </c>
      <c r="C3482" t="s">
        <v>4407</v>
      </c>
      <c r="D3482" t="s">
        <v>4660</v>
      </c>
      <c r="E3482" t="s">
        <v>4710</v>
      </c>
      <c r="F3482" t="s">
        <v>4501</v>
      </c>
      <c r="G3482" t="s">
        <v>4852</v>
      </c>
      <c r="H3482" t="s">
        <v>4406</v>
      </c>
      <c r="I3482" t="s">
        <v>4627</v>
      </c>
      <c r="J3482" t="s">
        <v>4743</v>
      </c>
    </row>
    <row r="3483" spans="1:10" x14ac:dyDescent="0.25">
      <c r="A3483" t="s">
        <v>1296</v>
      </c>
      <c r="B3483">
        <v>297</v>
      </c>
      <c r="C3483" t="s">
        <v>5327</v>
      </c>
      <c r="D3483" t="s">
        <v>4617</v>
      </c>
      <c r="E3483" t="s">
        <v>5328</v>
      </c>
      <c r="F3483" t="s">
        <v>4455</v>
      </c>
      <c r="G3483" t="s">
        <v>4677</v>
      </c>
      <c r="H3483" t="s">
        <v>4406</v>
      </c>
      <c r="I3483" t="s">
        <v>4741</v>
      </c>
      <c r="J3483" t="s">
        <v>4625</v>
      </c>
    </row>
    <row r="3485" spans="1:10" x14ac:dyDescent="0.25">
      <c r="A3485" t="s">
        <v>5510</v>
      </c>
    </row>
    <row r="3486" spans="1:10" x14ac:dyDescent="0.25">
      <c r="A3486" t="s">
        <v>903</v>
      </c>
      <c r="B3486" t="s">
        <v>4394</v>
      </c>
      <c r="C3486" t="s">
        <v>5321</v>
      </c>
      <c r="D3486" t="s">
        <v>109</v>
      </c>
      <c r="E3486" t="s">
        <v>5322</v>
      </c>
      <c r="F3486" t="s">
        <v>5323</v>
      </c>
      <c r="G3486" t="s">
        <v>5324</v>
      </c>
      <c r="H3486" t="s">
        <v>4737</v>
      </c>
      <c r="I3486" t="s">
        <v>5325</v>
      </c>
      <c r="J3486" t="s">
        <v>5326</v>
      </c>
    </row>
    <row r="3487" spans="1:10" x14ac:dyDescent="0.25">
      <c r="A3487" t="s">
        <v>70</v>
      </c>
      <c r="B3487">
        <v>85</v>
      </c>
      <c r="C3487" t="s">
        <v>4655</v>
      </c>
      <c r="D3487" t="s">
        <v>4423</v>
      </c>
      <c r="E3487" t="s">
        <v>4618</v>
      </c>
      <c r="F3487" t="s">
        <v>4472</v>
      </c>
      <c r="G3487" t="s">
        <v>4423</v>
      </c>
      <c r="H3487" t="s">
        <v>4406</v>
      </c>
      <c r="I3487" t="s">
        <v>4422</v>
      </c>
      <c r="J3487" t="s">
        <v>4950</v>
      </c>
    </row>
    <row r="3488" spans="1:10" x14ac:dyDescent="0.25">
      <c r="A3488" t="s">
        <v>71</v>
      </c>
      <c r="B3488">
        <v>212</v>
      </c>
      <c r="C3488" t="s">
        <v>5329</v>
      </c>
      <c r="D3488" t="s">
        <v>4772</v>
      </c>
      <c r="E3488" t="s">
        <v>5330</v>
      </c>
      <c r="F3488" t="s">
        <v>5118</v>
      </c>
      <c r="G3488" t="s">
        <v>4677</v>
      </c>
      <c r="H3488" t="s">
        <v>4406</v>
      </c>
      <c r="I3488" t="s">
        <v>4709</v>
      </c>
      <c r="J3488" t="s">
        <v>5182</v>
      </c>
    </row>
    <row r="3489" spans="1:10" x14ac:dyDescent="0.25">
      <c r="A3489" t="s">
        <v>1296</v>
      </c>
      <c r="B3489">
        <v>297</v>
      </c>
      <c r="C3489" t="s">
        <v>5327</v>
      </c>
      <c r="D3489" t="s">
        <v>4617</v>
      </c>
      <c r="E3489" t="s">
        <v>5328</v>
      </c>
      <c r="F3489" t="s">
        <v>4455</v>
      </c>
      <c r="G3489" t="s">
        <v>4677</v>
      </c>
      <c r="H3489" t="s">
        <v>4406</v>
      </c>
      <c r="I3489" t="s">
        <v>4741</v>
      </c>
      <c r="J3489" t="s">
        <v>4625</v>
      </c>
    </row>
    <row r="3491" spans="1:10" x14ac:dyDescent="0.25">
      <c r="A3491" t="s">
        <v>5985</v>
      </c>
    </row>
    <row r="3492" spans="1:10" x14ac:dyDescent="0.25">
      <c r="A3492" t="s">
        <v>1297</v>
      </c>
      <c r="B3492" t="s">
        <v>4394</v>
      </c>
      <c r="C3492" t="s">
        <v>1467</v>
      </c>
      <c r="D3492" t="s">
        <v>1344</v>
      </c>
      <c r="E3492" t="s">
        <v>1402</v>
      </c>
    </row>
    <row r="3493" spans="1:10" x14ac:dyDescent="0.25">
      <c r="A3493" t="s">
        <v>5549</v>
      </c>
      <c r="B3493">
        <v>195</v>
      </c>
      <c r="C3493" t="s">
        <v>4404</v>
      </c>
      <c r="D3493" t="s">
        <v>5184</v>
      </c>
      <c r="E3493" t="s">
        <v>4843</v>
      </c>
    </row>
    <row r="3494" spans="1:10" x14ac:dyDescent="0.25">
      <c r="A3494" t="s">
        <v>1397</v>
      </c>
      <c r="B3494">
        <v>96</v>
      </c>
      <c r="C3494" t="s">
        <v>4406</v>
      </c>
      <c r="D3494" t="s">
        <v>4725</v>
      </c>
      <c r="E3494" t="s">
        <v>4520</v>
      </c>
    </row>
    <row r="3495" spans="1:10" x14ac:dyDescent="0.25">
      <c r="A3495" t="s">
        <v>1296</v>
      </c>
      <c r="B3495">
        <v>291</v>
      </c>
      <c r="C3495" t="s">
        <v>4808</v>
      </c>
      <c r="D3495" t="s">
        <v>5331</v>
      </c>
      <c r="E3495" t="s">
        <v>4526</v>
      </c>
    </row>
    <row r="3497" spans="1:10" x14ac:dyDescent="0.25">
      <c r="A3497" t="s">
        <v>5986</v>
      </c>
    </row>
    <row r="3498" spans="1:10" x14ac:dyDescent="0.25">
      <c r="A3498" t="s">
        <v>929</v>
      </c>
      <c r="B3498" t="s">
        <v>4394</v>
      </c>
      <c r="C3498" t="s">
        <v>1467</v>
      </c>
      <c r="D3498" t="s">
        <v>1344</v>
      </c>
      <c r="E3498" t="s">
        <v>1402</v>
      </c>
    </row>
    <row r="3499" spans="1:10" x14ac:dyDescent="0.25">
      <c r="A3499" t="s">
        <v>1664</v>
      </c>
      <c r="B3499">
        <v>1</v>
      </c>
      <c r="C3499" t="s">
        <v>4406</v>
      </c>
      <c r="D3499" t="s">
        <v>4406</v>
      </c>
      <c r="E3499" t="s">
        <v>4454</v>
      </c>
    </row>
    <row r="3500" spans="1:10" x14ac:dyDescent="0.25">
      <c r="A3500" t="s">
        <v>1315</v>
      </c>
      <c r="B3500">
        <v>193</v>
      </c>
      <c r="C3500" t="s">
        <v>4404</v>
      </c>
      <c r="D3500" t="s">
        <v>5307</v>
      </c>
      <c r="E3500" t="s">
        <v>4992</v>
      </c>
    </row>
    <row r="3501" spans="1:10" x14ac:dyDescent="0.25">
      <c r="A3501" t="s">
        <v>1353</v>
      </c>
      <c r="B3501">
        <v>97</v>
      </c>
      <c r="C3501" t="s">
        <v>4406</v>
      </c>
      <c r="D3501" t="s">
        <v>5227</v>
      </c>
      <c r="E3501" t="s">
        <v>4871</v>
      </c>
    </row>
    <row r="3502" spans="1:10" x14ac:dyDescent="0.25">
      <c r="A3502" t="s">
        <v>1296</v>
      </c>
      <c r="B3502">
        <v>291</v>
      </c>
      <c r="C3502" t="s">
        <v>4808</v>
      </c>
      <c r="D3502" t="s">
        <v>5331</v>
      </c>
      <c r="E3502" t="s">
        <v>4526</v>
      </c>
    </row>
    <row r="3504" spans="1:10" x14ac:dyDescent="0.25">
      <c r="A3504" t="s">
        <v>5987</v>
      </c>
    </row>
    <row r="3505" spans="1:5" x14ac:dyDescent="0.25">
      <c r="A3505" t="s">
        <v>903</v>
      </c>
      <c r="B3505" t="s">
        <v>4394</v>
      </c>
      <c r="C3505" t="s">
        <v>1467</v>
      </c>
      <c r="D3505" t="s">
        <v>1344</v>
      </c>
      <c r="E3505" t="s">
        <v>1402</v>
      </c>
    </row>
    <row r="3506" spans="1:5" x14ac:dyDescent="0.25">
      <c r="A3506" t="s">
        <v>70</v>
      </c>
      <c r="B3506">
        <v>83</v>
      </c>
      <c r="C3506" t="s">
        <v>4406</v>
      </c>
      <c r="D3506" t="s">
        <v>4833</v>
      </c>
      <c r="E3506" t="s">
        <v>5332</v>
      </c>
    </row>
    <row r="3507" spans="1:5" x14ac:dyDescent="0.25">
      <c r="A3507" t="s">
        <v>71</v>
      </c>
      <c r="B3507">
        <v>208</v>
      </c>
      <c r="C3507" t="s">
        <v>4404</v>
      </c>
      <c r="D3507" t="s">
        <v>5313</v>
      </c>
      <c r="E3507" t="s">
        <v>4747</v>
      </c>
    </row>
    <row r="3508" spans="1:5" x14ac:dyDescent="0.25">
      <c r="A3508" t="s">
        <v>1296</v>
      </c>
      <c r="B3508">
        <v>291</v>
      </c>
      <c r="C3508" t="s">
        <v>4808</v>
      </c>
      <c r="D3508" t="s">
        <v>5331</v>
      </c>
      <c r="E3508" t="s">
        <v>4526</v>
      </c>
    </row>
    <row r="3510" spans="1:5" x14ac:dyDescent="0.25">
      <c r="A3510" t="s">
        <v>5988</v>
      </c>
    </row>
    <row r="3511" spans="1:5" x14ac:dyDescent="0.25">
      <c r="A3511" t="s">
        <v>1297</v>
      </c>
      <c r="B3511" t="s">
        <v>4394</v>
      </c>
      <c r="C3511" t="s">
        <v>1344</v>
      </c>
      <c r="D3511" t="s">
        <v>1581</v>
      </c>
      <c r="E3511" t="s">
        <v>1402</v>
      </c>
    </row>
    <row r="3512" spans="1:5" x14ac:dyDescent="0.25">
      <c r="A3512" t="s">
        <v>5549</v>
      </c>
      <c r="B3512">
        <v>198</v>
      </c>
      <c r="C3512" t="s">
        <v>5132</v>
      </c>
      <c r="D3512" t="s">
        <v>4404</v>
      </c>
      <c r="E3512" t="s">
        <v>4475</v>
      </c>
    </row>
    <row r="3513" spans="1:5" x14ac:dyDescent="0.25">
      <c r="A3513" t="s">
        <v>1397</v>
      </c>
      <c r="B3513">
        <v>99</v>
      </c>
      <c r="C3513" t="s">
        <v>4725</v>
      </c>
      <c r="D3513" t="s">
        <v>4406</v>
      </c>
      <c r="E3513" t="s">
        <v>4520</v>
      </c>
    </row>
    <row r="3514" spans="1:5" x14ac:dyDescent="0.25">
      <c r="A3514" t="s">
        <v>1296</v>
      </c>
      <c r="B3514">
        <v>297</v>
      </c>
      <c r="C3514" t="s">
        <v>4781</v>
      </c>
      <c r="D3514" t="s">
        <v>4808</v>
      </c>
      <c r="E3514" t="s">
        <v>4519</v>
      </c>
    </row>
    <row r="3516" spans="1:5" x14ac:dyDescent="0.25">
      <c r="A3516" t="s">
        <v>5989</v>
      </c>
    </row>
    <row r="3517" spans="1:5" x14ac:dyDescent="0.25">
      <c r="A3517" t="s">
        <v>929</v>
      </c>
      <c r="B3517" t="s">
        <v>4394</v>
      </c>
      <c r="C3517" t="s">
        <v>1344</v>
      </c>
      <c r="D3517" t="s">
        <v>1581</v>
      </c>
      <c r="E3517" t="s">
        <v>1402</v>
      </c>
    </row>
    <row r="3518" spans="1:5" x14ac:dyDescent="0.25">
      <c r="A3518" t="s">
        <v>1664</v>
      </c>
      <c r="B3518">
        <v>2</v>
      </c>
      <c r="C3518" t="s">
        <v>4468</v>
      </c>
      <c r="D3518" t="s">
        <v>4406</v>
      </c>
      <c r="E3518" t="s">
        <v>4468</v>
      </c>
    </row>
    <row r="3519" spans="1:5" x14ac:dyDescent="0.25">
      <c r="A3519" t="s">
        <v>1315</v>
      </c>
      <c r="B3519">
        <v>197</v>
      </c>
      <c r="C3519" t="s">
        <v>4968</v>
      </c>
      <c r="D3519" t="s">
        <v>4404</v>
      </c>
      <c r="E3519" t="s">
        <v>4530</v>
      </c>
    </row>
    <row r="3520" spans="1:5" x14ac:dyDescent="0.25">
      <c r="A3520" t="s">
        <v>1353</v>
      </c>
      <c r="B3520">
        <v>98</v>
      </c>
      <c r="C3520" t="s">
        <v>4586</v>
      </c>
      <c r="D3520" t="s">
        <v>4406</v>
      </c>
      <c r="E3520" t="s">
        <v>4476</v>
      </c>
    </row>
    <row r="3521" spans="1:11" x14ac:dyDescent="0.25">
      <c r="A3521" t="s">
        <v>1296</v>
      </c>
      <c r="B3521">
        <v>297</v>
      </c>
      <c r="C3521" t="s">
        <v>4781</v>
      </c>
      <c r="D3521" t="s">
        <v>4808</v>
      </c>
      <c r="E3521" t="s">
        <v>4519</v>
      </c>
    </row>
    <row r="3523" spans="1:11" x14ac:dyDescent="0.25">
      <c r="A3523" t="s">
        <v>5990</v>
      </c>
    </row>
    <row r="3524" spans="1:11" x14ac:dyDescent="0.25">
      <c r="A3524" t="s">
        <v>903</v>
      </c>
      <c r="B3524" t="s">
        <v>4394</v>
      </c>
      <c r="C3524" t="s">
        <v>1344</v>
      </c>
      <c r="D3524" t="s">
        <v>1581</v>
      </c>
      <c r="E3524" t="s">
        <v>1402</v>
      </c>
    </row>
    <row r="3525" spans="1:11" x14ac:dyDescent="0.25">
      <c r="A3525" t="s">
        <v>70</v>
      </c>
      <c r="B3525">
        <v>85</v>
      </c>
      <c r="C3525" t="s">
        <v>4817</v>
      </c>
      <c r="D3525" t="s">
        <v>4406</v>
      </c>
      <c r="E3525" t="s">
        <v>4506</v>
      </c>
    </row>
    <row r="3526" spans="1:11" x14ac:dyDescent="0.25">
      <c r="A3526" t="s">
        <v>71</v>
      </c>
      <c r="B3526">
        <v>212</v>
      </c>
      <c r="C3526" t="s">
        <v>4793</v>
      </c>
      <c r="D3526" t="s">
        <v>4404</v>
      </c>
      <c r="E3526" t="s">
        <v>4440</v>
      </c>
    </row>
    <row r="3527" spans="1:11" x14ac:dyDescent="0.25">
      <c r="A3527" t="s">
        <v>1296</v>
      </c>
      <c r="B3527">
        <v>297</v>
      </c>
      <c r="C3527" t="s">
        <v>4781</v>
      </c>
      <c r="D3527" t="s">
        <v>4808</v>
      </c>
      <c r="E3527" t="s">
        <v>4519</v>
      </c>
    </row>
    <row r="3529" spans="1:11" x14ac:dyDescent="0.25">
      <c r="A3529" t="s">
        <v>5991</v>
      </c>
    </row>
    <row r="3530" spans="1:11" x14ac:dyDescent="0.25">
      <c r="A3530" t="s">
        <v>1297</v>
      </c>
      <c r="B3530" t="s">
        <v>4394</v>
      </c>
      <c r="C3530" t="s">
        <v>5333</v>
      </c>
      <c r="D3530" t="s">
        <v>4732</v>
      </c>
      <c r="E3530" t="s">
        <v>5334</v>
      </c>
      <c r="F3530" t="s">
        <v>5335</v>
      </c>
      <c r="G3530" t="s">
        <v>5336</v>
      </c>
      <c r="H3530" t="s">
        <v>5337</v>
      </c>
      <c r="I3530" t="s">
        <v>4736</v>
      </c>
      <c r="J3530" t="s">
        <v>4737</v>
      </c>
      <c r="K3530" t="s">
        <v>5338</v>
      </c>
    </row>
    <row r="3531" spans="1:11" x14ac:dyDescent="0.25">
      <c r="A3531" t="s">
        <v>5549</v>
      </c>
      <c r="B3531">
        <v>5</v>
      </c>
      <c r="C3531">
        <v>0</v>
      </c>
      <c r="D3531">
        <v>0</v>
      </c>
      <c r="E3531">
        <v>0</v>
      </c>
      <c r="F3531">
        <v>1</v>
      </c>
      <c r="G3531">
        <v>0</v>
      </c>
      <c r="H3531">
        <v>0</v>
      </c>
      <c r="I3531">
        <v>0</v>
      </c>
      <c r="J3531">
        <v>0</v>
      </c>
      <c r="K3531">
        <v>4</v>
      </c>
    </row>
    <row r="3532" spans="1:11" x14ac:dyDescent="0.25">
      <c r="A3532" t="s">
        <v>1397</v>
      </c>
      <c r="B3532">
        <v>1</v>
      </c>
      <c r="C3532">
        <v>0</v>
      </c>
      <c r="D3532">
        <v>0</v>
      </c>
      <c r="E3532">
        <v>0</v>
      </c>
      <c r="F3532">
        <v>0</v>
      </c>
      <c r="G3532">
        <v>0</v>
      </c>
      <c r="H3532">
        <v>0</v>
      </c>
      <c r="I3532">
        <v>1</v>
      </c>
      <c r="J3532">
        <v>0</v>
      </c>
      <c r="K3532">
        <v>0</v>
      </c>
    </row>
    <row r="3533" spans="1:11" x14ac:dyDescent="0.25">
      <c r="A3533" t="s">
        <v>1296</v>
      </c>
      <c r="B3533">
        <v>6</v>
      </c>
      <c r="C3533">
        <v>0</v>
      </c>
      <c r="D3533">
        <v>0</v>
      </c>
      <c r="E3533">
        <v>0</v>
      </c>
      <c r="F3533">
        <v>1</v>
      </c>
      <c r="G3533">
        <v>0</v>
      </c>
      <c r="H3533">
        <v>0</v>
      </c>
      <c r="I3533">
        <v>1</v>
      </c>
      <c r="J3533">
        <v>0</v>
      </c>
      <c r="K3533">
        <v>4</v>
      </c>
    </row>
    <row r="3535" spans="1:11" x14ac:dyDescent="0.25">
      <c r="A3535" t="s">
        <v>5992</v>
      </c>
    </row>
    <row r="3536" spans="1:11" x14ac:dyDescent="0.25">
      <c r="A3536" t="s">
        <v>906</v>
      </c>
      <c r="B3536" t="s">
        <v>4394</v>
      </c>
      <c r="C3536" t="s">
        <v>5333</v>
      </c>
      <c r="D3536" t="s">
        <v>4732</v>
      </c>
      <c r="E3536" t="s">
        <v>5334</v>
      </c>
      <c r="F3536" t="s">
        <v>5335</v>
      </c>
      <c r="G3536" t="s">
        <v>5336</v>
      </c>
      <c r="H3536" t="s">
        <v>5337</v>
      </c>
      <c r="I3536" t="s">
        <v>4736</v>
      </c>
      <c r="J3536" t="s">
        <v>4737</v>
      </c>
      <c r="K3536" t="s">
        <v>5338</v>
      </c>
    </row>
    <row r="3537" spans="1:11" x14ac:dyDescent="0.25">
      <c r="A3537" t="s">
        <v>1338</v>
      </c>
      <c r="B3537">
        <v>4</v>
      </c>
      <c r="C3537">
        <v>0</v>
      </c>
      <c r="D3537">
        <v>0</v>
      </c>
      <c r="E3537">
        <v>0</v>
      </c>
      <c r="F3537">
        <v>1</v>
      </c>
      <c r="G3537">
        <v>0</v>
      </c>
      <c r="H3537">
        <v>0</v>
      </c>
      <c r="I3537">
        <v>0</v>
      </c>
      <c r="J3537">
        <v>0</v>
      </c>
      <c r="K3537">
        <v>3</v>
      </c>
    </row>
    <row r="3538" spans="1:11" x14ac:dyDescent="0.25">
      <c r="A3538" t="s">
        <v>1370</v>
      </c>
      <c r="B3538">
        <v>2</v>
      </c>
      <c r="C3538">
        <v>0</v>
      </c>
      <c r="D3538">
        <v>0</v>
      </c>
      <c r="E3538">
        <v>0</v>
      </c>
      <c r="F3538">
        <v>0</v>
      </c>
      <c r="G3538">
        <v>0</v>
      </c>
      <c r="H3538">
        <v>0</v>
      </c>
      <c r="I3538">
        <v>1</v>
      </c>
      <c r="J3538">
        <v>0</v>
      </c>
      <c r="K3538">
        <v>1</v>
      </c>
    </row>
    <row r="3539" spans="1:11" x14ac:dyDescent="0.25">
      <c r="A3539" t="s">
        <v>1296</v>
      </c>
      <c r="B3539">
        <v>6</v>
      </c>
      <c r="C3539">
        <v>0</v>
      </c>
      <c r="D3539">
        <v>0</v>
      </c>
      <c r="E3539">
        <v>0</v>
      </c>
      <c r="F3539">
        <v>1</v>
      </c>
      <c r="G3539">
        <v>0</v>
      </c>
      <c r="H3539">
        <v>0</v>
      </c>
      <c r="I3539">
        <v>1</v>
      </c>
      <c r="J3539">
        <v>0</v>
      </c>
      <c r="K3539">
        <v>4</v>
      </c>
    </row>
    <row r="3541" spans="1:11" x14ac:dyDescent="0.25">
      <c r="A3541" t="s">
        <v>5993</v>
      </c>
    </row>
    <row r="3542" spans="1:11" x14ac:dyDescent="0.25">
      <c r="A3542" t="s">
        <v>907</v>
      </c>
      <c r="B3542" t="s">
        <v>4394</v>
      </c>
      <c r="C3542" t="s">
        <v>5333</v>
      </c>
      <c r="D3542" t="s">
        <v>4732</v>
      </c>
      <c r="E3542" t="s">
        <v>5334</v>
      </c>
      <c r="F3542" t="s">
        <v>5335</v>
      </c>
      <c r="G3542" t="s">
        <v>5336</v>
      </c>
      <c r="H3542" t="s">
        <v>5337</v>
      </c>
      <c r="I3542" t="s">
        <v>4736</v>
      </c>
      <c r="J3542" t="s">
        <v>4737</v>
      </c>
      <c r="K3542" t="s">
        <v>5338</v>
      </c>
    </row>
    <row r="3543" spans="1:11" x14ac:dyDescent="0.25">
      <c r="A3543" t="s">
        <v>109</v>
      </c>
      <c r="B3543">
        <v>5</v>
      </c>
      <c r="C3543">
        <v>0</v>
      </c>
      <c r="D3543">
        <v>0</v>
      </c>
      <c r="E3543">
        <v>0</v>
      </c>
      <c r="F3543">
        <v>1</v>
      </c>
      <c r="G3543">
        <v>0</v>
      </c>
      <c r="H3543">
        <v>0</v>
      </c>
      <c r="I3543">
        <v>1</v>
      </c>
      <c r="J3543">
        <v>0</v>
      </c>
      <c r="K3543">
        <v>3</v>
      </c>
    </row>
    <row r="3544" spans="1:11" x14ac:dyDescent="0.25">
      <c r="A3544" t="s">
        <v>192</v>
      </c>
      <c r="B3544">
        <v>1</v>
      </c>
      <c r="C3544">
        <v>0</v>
      </c>
      <c r="D3544">
        <v>0</v>
      </c>
      <c r="E3544">
        <v>0</v>
      </c>
      <c r="F3544">
        <v>0</v>
      </c>
      <c r="G3544">
        <v>0</v>
      </c>
      <c r="H3544">
        <v>0</v>
      </c>
      <c r="I3544">
        <v>0</v>
      </c>
      <c r="J3544">
        <v>0</v>
      </c>
      <c r="K3544">
        <v>1</v>
      </c>
    </row>
    <row r="3545" spans="1:11" x14ac:dyDescent="0.25">
      <c r="A3545" t="s">
        <v>1296</v>
      </c>
      <c r="B3545">
        <v>6</v>
      </c>
      <c r="C3545">
        <v>0</v>
      </c>
      <c r="D3545">
        <v>0</v>
      </c>
      <c r="E3545">
        <v>0</v>
      </c>
      <c r="F3545">
        <v>1</v>
      </c>
      <c r="G3545">
        <v>0</v>
      </c>
      <c r="H3545">
        <v>0</v>
      </c>
      <c r="I3545">
        <v>1</v>
      </c>
      <c r="J3545">
        <v>0</v>
      </c>
      <c r="K3545">
        <v>4</v>
      </c>
    </row>
    <row r="3547" spans="1:11" x14ac:dyDescent="0.25">
      <c r="A3547" t="s">
        <v>5994</v>
      </c>
    </row>
    <row r="3548" spans="1:11" x14ac:dyDescent="0.25">
      <c r="A3548" t="s">
        <v>1295</v>
      </c>
      <c r="B3548" t="s">
        <v>4394</v>
      </c>
      <c r="C3548" t="s">
        <v>5333</v>
      </c>
      <c r="D3548" t="s">
        <v>4732</v>
      </c>
      <c r="E3548" t="s">
        <v>5334</v>
      </c>
      <c r="F3548" t="s">
        <v>5335</v>
      </c>
      <c r="G3548" t="s">
        <v>5336</v>
      </c>
      <c r="H3548" t="s">
        <v>5337</v>
      </c>
      <c r="I3548" t="s">
        <v>4736</v>
      </c>
      <c r="J3548" t="s">
        <v>4737</v>
      </c>
      <c r="K3548" t="s">
        <v>5338</v>
      </c>
    </row>
    <row r="3549" spans="1:11" x14ac:dyDescent="0.25">
      <c r="A3549" t="s">
        <v>4396</v>
      </c>
      <c r="B3549">
        <v>2</v>
      </c>
      <c r="C3549">
        <v>0</v>
      </c>
      <c r="D3549">
        <v>0</v>
      </c>
      <c r="E3549">
        <v>0</v>
      </c>
      <c r="F3549">
        <v>0</v>
      </c>
      <c r="G3549">
        <v>0</v>
      </c>
      <c r="H3549">
        <v>0</v>
      </c>
      <c r="I3549">
        <v>0</v>
      </c>
      <c r="J3549">
        <v>0</v>
      </c>
      <c r="K3549">
        <v>2</v>
      </c>
    </row>
    <row r="3550" spans="1:11" x14ac:dyDescent="0.25">
      <c r="A3550" t="s">
        <v>4397</v>
      </c>
      <c r="B3550">
        <v>1</v>
      </c>
      <c r="C3550">
        <v>0</v>
      </c>
      <c r="D3550">
        <v>0</v>
      </c>
      <c r="E3550">
        <v>0</v>
      </c>
      <c r="F3550">
        <v>0</v>
      </c>
      <c r="G3550">
        <v>0</v>
      </c>
      <c r="H3550">
        <v>0</v>
      </c>
      <c r="I3550">
        <v>0</v>
      </c>
      <c r="J3550">
        <v>0</v>
      </c>
      <c r="K3550">
        <v>1</v>
      </c>
    </row>
    <row r="3551" spans="1:11" x14ac:dyDescent="0.25">
      <c r="A3551" t="s">
        <v>4398</v>
      </c>
      <c r="B3551">
        <v>3</v>
      </c>
      <c r="C3551">
        <v>0</v>
      </c>
      <c r="D3551">
        <v>0</v>
      </c>
      <c r="E3551">
        <v>0</v>
      </c>
      <c r="F3551">
        <v>1</v>
      </c>
      <c r="G3551">
        <v>0</v>
      </c>
      <c r="H3551">
        <v>0</v>
      </c>
      <c r="I3551">
        <v>1</v>
      </c>
      <c r="J3551">
        <v>0</v>
      </c>
      <c r="K3551">
        <v>1</v>
      </c>
    </row>
    <row r="3552" spans="1:11" x14ac:dyDescent="0.25">
      <c r="A3552" t="s">
        <v>1296</v>
      </c>
      <c r="B3552">
        <v>6</v>
      </c>
      <c r="C3552">
        <v>0</v>
      </c>
      <c r="D3552">
        <v>0</v>
      </c>
      <c r="E3552">
        <v>0</v>
      </c>
      <c r="F3552">
        <v>1</v>
      </c>
      <c r="G3552">
        <v>0</v>
      </c>
      <c r="H3552">
        <v>0</v>
      </c>
      <c r="I3552">
        <v>1</v>
      </c>
      <c r="J3552">
        <v>0</v>
      </c>
      <c r="K3552">
        <v>4</v>
      </c>
    </row>
    <row r="3554" spans="1:11" x14ac:dyDescent="0.25">
      <c r="A3554" t="s">
        <v>5995</v>
      </c>
    </row>
    <row r="3555" spans="1:11" x14ac:dyDescent="0.25">
      <c r="A3555" t="s">
        <v>930</v>
      </c>
      <c r="B3555" t="s">
        <v>4394</v>
      </c>
      <c r="C3555" t="s">
        <v>5333</v>
      </c>
      <c r="D3555" t="s">
        <v>4732</v>
      </c>
      <c r="E3555" t="s">
        <v>5334</v>
      </c>
      <c r="F3555" t="s">
        <v>5335</v>
      </c>
      <c r="G3555" t="s">
        <v>5336</v>
      </c>
      <c r="H3555" t="s">
        <v>5337</v>
      </c>
      <c r="I3555" t="s">
        <v>4736</v>
      </c>
      <c r="J3555" t="s">
        <v>4737</v>
      </c>
      <c r="K3555" t="s">
        <v>5338</v>
      </c>
    </row>
    <row r="3556" spans="1:11" x14ac:dyDescent="0.25">
      <c r="A3556" t="s">
        <v>5057</v>
      </c>
      <c r="B3556">
        <v>4</v>
      </c>
      <c r="C3556">
        <v>0</v>
      </c>
      <c r="D3556">
        <v>0</v>
      </c>
      <c r="E3556">
        <v>0</v>
      </c>
      <c r="F3556">
        <v>1</v>
      </c>
      <c r="G3556">
        <v>0</v>
      </c>
      <c r="H3556">
        <v>0</v>
      </c>
      <c r="I3556">
        <v>0</v>
      </c>
      <c r="J3556">
        <v>0</v>
      </c>
      <c r="K3556">
        <v>3</v>
      </c>
    </row>
    <row r="3557" spans="1:11" x14ac:dyDescent="0.25">
      <c r="A3557" t="s">
        <v>5060</v>
      </c>
      <c r="B3557">
        <v>2</v>
      </c>
      <c r="C3557">
        <v>0</v>
      </c>
      <c r="D3557">
        <v>0</v>
      </c>
      <c r="E3557">
        <v>0</v>
      </c>
      <c r="F3557">
        <v>0</v>
      </c>
      <c r="G3557">
        <v>0</v>
      </c>
      <c r="H3557">
        <v>0</v>
      </c>
      <c r="I3557">
        <v>1</v>
      </c>
      <c r="J3557">
        <v>0</v>
      </c>
      <c r="K3557">
        <v>1</v>
      </c>
    </row>
    <row r="3558" spans="1:11" x14ac:dyDescent="0.25">
      <c r="A3558" t="s">
        <v>1296</v>
      </c>
      <c r="B3558">
        <v>6</v>
      </c>
      <c r="C3558">
        <v>0</v>
      </c>
      <c r="D3558">
        <v>0</v>
      </c>
      <c r="E3558">
        <v>0</v>
      </c>
      <c r="F3558">
        <v>1</v>
      </c>
      <c r="G3558">
        <v>0</v>
      </c>
      <c r="H3558">
        <v>0</v>
      </c>
      <c r="I3558">
        <v>1</v>
      </c>
      <c r="J3558">
        <v>0</v>
      </c>
      <c r="K3558">
        <v>4</v>
      </c>
    </row>
    <row r="3560" spans="1:11" x14ac:dyDescent="0.25">
      <c r="A3560" t="s">
        <v>5996</v>
      </c>
    </row>
    <row r="3561" spans="1:11" x14ac:dyDescent="0.25">
      <c r="A3561" t="s">
        <v>929</v>
      </c>
      <c r="B3561" t="s">
        <v>4394</v>
      </c>
      <c r="C3561" t="s">
        <v>5333</v>
      </c>
      <c r="D3561" t="s">
        <v>4732</v>
      </c>
      <c r="E3561" t="s">
        <v>5334</v>
      </c>
      <c r="F3561" t="s">
        <v>5335</v>
      </c>
      <c r="G3561" t="s">
        <v>5336</v>
      </c>
      <c r="H3561" t="s">
        <v>5337</v>
      </c>
      <c r="I3561" t="s">
        <v>4736</v>
      </c>
      <c r="J3561" t="s">
        <v>4737</v>
      </c>
      <c r="K3561" t="s">
        <v>5338</v>
      </c>
    </row>
    <row r="3562" spans="1:11" x14ac:dyDescent="0.25">
      <c r="A3562" t="s">
        <v>1664</v>
      </c>
      <c r="B3562">
        <v>1</v>
      </c>
      <c r="C3562">
        <v>0</v>
      </c>
      <c r="D3562">
        <v>0</v>
      </c>
      <c r="E3562">
        <v>0</v>
      </c>
      <c r="F3562">
        <v>0</v>
      </c>
      <c r="G3562">
        <v>0</v>
      </c>
      <c r="H3562">
        <v>0</v>
      </c>
      <c r="I3562">
        <v>1</v>
      </c>
      <c r="J3562">
        <v>0</v>
      </c>
      <c r="K3562">
        <v>0</v>
      </c>
    </row>
    <row r="3563" spans="1:11" x14ac:dyDescent="0.25">
      <c r="A3563" t="s">
        <v>1315</v>
      </c>
      <c r="B3563">
        <v>5</v>
      </c>
      <c r="C3563">
        <v>0</v>
      </c>
      <c r="D3563">
        <v>0</v>
      </c>
      <c r="E3563">
        <v>0</v>
      </c>
      <c r="F3563">
        <v>1</v>
      </c>
      <c r="G3563">
        <v>0</v>
      </c>
      <c r="H3563">
        <v>0</v>
      </c>
      <c r="I3563">
        <v>0</v>
      </c>
      <c r="J3563">
        <v>0</v>
      </c>
      <c r="K3563">
        <v>4</v>
      </c>
    </row>
    <row r="3564" spans="1:11" x14ac:dyDescent="0.25">
      <c r="A3564" t="s">
        <v>1296</v>
      </c>
      <c r="B3564">
        <v>6</v>
      </c>
      <c r="C3564">
        <v>0</v>
      </c>
      <c r="D3564">
        <v>0</v>
      </c>
      <c r="E3564">
        <v>0</v>
      </c>
      <c r="F3564">
        <v>1</v>
      </c>
      <c r="G3564">
        <v>0</v>
      </c>
      <c r="H3564">
        <v>0</v>
      </c>
      <c r="I3564">
        <v>1</v>
      </c>
      <c r="J3564">
        <v>0</v>
      </c>
      <c r="K3564">
        <v>4</v>
      </c>
    </row>
    <row r="3566" spans="1:11" x14ac:dyDescent="0.25">
      <c r="A3566" t="s">
        <v>5997</v>
      </c>
    </row>
    <row r="3567" spans="1:11" x14ac:dyDescent="0.25">
      <c r="A3567" t="s">
        <v>903</v>
      </c>
      <c r="B3567" t="s">
        <v>4394</v>
      </c>
      <c r="C3567" t="s">
        <v>5333</v>
      </c>
      <c r="D3567" t="s">
        <v>4732</v>
      </c>
      <c r="E3567" t="s">
        <v>5334</v>
      </c>
      <c r="F3567" t="s">
        <v>5335</v>
      </c>
      <c r="G3567" t="s">
        <v>5336</v>
      </c>
      <c r="H3567" t="s">
        <v>5337</v>
      </c>
      <c r="I3567" t="s">
        <v>4736</v>
      </c>
      <c r="J3567" t="s">
        <v>4737</v>
      </c>
      <c r="K3567" t="s">
        <v>5338</v>
      </c>
    </row>
    <row r="3568" spans="1:11" x14ac:dyDescent="0.25">
      <c r="A3568" t="s">
        <v>70</v>
      </c>
      <c r="B3568">
        <v>1</v>
      </c>
      <c r="C3568">
        <v>0</v>
      </c>
      <c r="D3568">
        <v>0</v>
      </c>
      <c r="E3568">
        <v>0</v>
      </c>
      <c r="F3568">
        <v>0</v>
      </c>
      <c r="G3568">
        <v>0</v>
      </c>
      <c r="H3568">
        <v>0</v>
      </c>
      <c r="I3568">
        <v>0</v>
      </c>
      <c r="J3568">
        <v>0</v>
      </c>
      <c r="K3568">
        <v>1</v>
      </c>
    </row>
    <row r="3569" spans="1:11" x14ac:dyDescent="0.25">
      <c r="A3569" t="s">
        <v>71</v>
      </c>
      <c r="B3569">
        <v>5</v>
      </c>
      <c r="C3569">
        <v>0</v>
      </c>
      <c r="D3569">
        <v>0</v>
      </c>
      <c r="E3569">
        <v>0</v>
      </c>
      <c r="F3569">
        <v>1</v>
      </c>
      <c r="G3569">
        <v>0</v>
      </c>
      <c r="H3569">
        <v>0</v>
      </c>
      <c r="I3569">
        <v>1</v>
      </c>
      <c r="J3569">
        <v>0</v>
      </c>
      <c r="K3569">
        <v>3</v>
      </c>
    </row>
    <row r="3570" spans="1:11" x14ac:dyDescent="0.25">
      <c r="A3570" t="s">
        <v>1296</v>
      </c>
      <c r="B3570">
        <v>6</v>
      </c>
      <c r="C3570">
        <v>0</v>
      </c>
      <c r="D3570">
        <v>0</v>
      </c>
      <c r="E3570">
        <v>0</v>
      </c>
      <c r="F3570">
        <v>1</v>
      </c>
      <c r="G3570">
        <v>0</v>
      </c>
      <c r="H3570">
        <v>0</v>
      </c>
      <c r="I3570">
        <v>1</v>
      </c>
      <c r="J3570">
        <v>0</v>
      </c>
      <c r="K3570">
        <v>4</v>
      </c>
    </row>
    <row r="3572" spans="1:11" x14ac:dyDescent="0.25">
      <c r="A3572" t="s">
        <v>5998</v>
      </c>
    </row>
    <row r="3573" spans="1:11" x14ac:dyDescent="0.25">
      <c r="A3573" t="s">
        <v>1297</v>
      </c>
      <c r="B3573" t="s">
        <v>4394</v>
      </c>
      <c r="C3573" t="s">
        <v>4732</v>
      </c>
      <c r="D3573" t="s">
        <v>109</v>
      </c>
      <c r="E3573" t="s">
        <v>192</v>
      </c>
    </row>
    <row r="3574" spans="1:11" x14ac:dyDescent="0.25">
      <c r="A3574" t="s">
        <v>5549</v>
      </c>
      <c r="B3574">
        <v>198</v>
      </c>
      <c r="C3574" t="s">
        <v>4404</v>
      </c>
      <c r="D3574" t="s">
        <v>5342</v>
      </c>
      <c r="E3574" t="s">
        <v>4645</v>
      </c>
    </row>
    <row r="3575" spans="1:11" x14ac:dyDescent="0.25">
      <c r="A3575" t="s">
        <v>1397</v>
      </c>
      <c r="B3575">
        <v>99</v>
      </c>
      <c r="C3575" t="s">
        <v>4406</v>
      </c>
      <c r="D3575" t="s">
        <v>5161</v>
      </c>
      <c r="E3575" t="s">
        <v>4402</v>
      </c>
    </row>
    <row r="3576" spans="1:11" x14ac:dyDescent="0.25">
      <c r="A3576" t="s">
        <v>1296</v>
      </c>
      <c r="B3576">
        <v>297</v>
      </c>
      <c r="C3576" t="s">
        <v>4808</v>
      </c>
      <c r="D3576" t="s">
        <v>5340</v>
      </c>
      <c r="E3576" t="s">
        <v>4744</v>
      </c>
    </row>
    <row r="3578" spans="1:11" x14ac:dyDescent="0.25">
      <c r="A3578" t="s">
        <v>5999</v>
      </c>
    </row>
    <row r="3579" spans="1:11" x14ac:dyDescent="0.25">
      <c r="A3579" t="s">
        <v>906</v>
      </c>
      <c r="B3579" t="s">
        <v>4394</v>
      </c>
      <c r="C3579" t="s">
        <v>4732</v>
      </c>
      <c r="D3579" t="s">
        <v>109</v>
      </c>
      <c r="E3579" t="s">
        <v>192</v>
      </c>
    </row>
    <row r="3580" spans="1:11" x14ac:dyDescent="0.25">
      <c r="A3580" t="s">
        <v>1338</v>
      </c>
      <c r="B3580">
        <v>46</v>
      </c>
      <c r="C3580" t="s">
        <v>4581</v>
      </c>
      <c r="D3580" t="s">
        <v>5013</v>
      </c>
      <c r="E3580" t="s">
        <v>4684</v>
      </c>
    </row>
    <row r="3581" spans="1:11" x14ac:dyDescent="0.25">
      <c r="A3581" t="s">
        <v>1370</v>
      </c>
      <c r="B3581">
        <v>33</v>
      </c>
      <c r="C3581" t="s">
        <v>4406</v>
      </c>
      <c r="D3581" t="s">
        <v>5511</v>
      </c>
      <c r="E3581" t="s">
        <v>4741</v>
      </c>
    </row>
    <row r="3582" spans="1:11" x14ac:dyDescent="0.25">
      <c r="A3582" t="s">
        <v>1439</v>
      </c>
      <c r="B3582">
        <v>21</v>
      </c>
      <c r="C3582" t="s">
        <v>4406</v>
      </c>
      <c r="D3582" t="s">
        <v>4454</v>
      </c>
      <c r="E3582" t="s">
        <v>4406</v>
      </c>
    </row>
    <row r="3583" spans="1:11" x14ac:dyDescent="0.25">
      <c r="A3583" t="s">
        <v>1476</v>
      </c>
      <c r="B3583">
        <v>71</v>
      </c>
      <c r="C3583" t="s">
        <v>4406</v>
      </c>
      <c r="D3583" t="s">
        <v>4454</v>
      </c>
      <c r="E3583" t="s">
        <v>4406</v>
      </c>
    </row>
    <row r="3584" spans="1:11" x14ac:dyDescent="0.25">
      <c r="A3584" t="s">
        <v>5476</v>
      </c>
      <c r="B3584">
        <v>6</v>
      </c>
      <c r="C3584" t="s">
        <v>4406</v>
      </c>
      <c r="D3584" t="s">
        <v>4454</v>
      </c>
      <c r="E3584" t="s">
        <v>4406</v>
      </c>
    </row>
    <row r="3585" spans="1:5" x14ac:dyDescent="0.25">
      <c r="A3585" t="s">
        <v>1399</v>
      </c>
      <c r="B3585">
        <v>44</v>
      </c>
      <c r="C3585" t="s">
        <v>4406</v>
      </c>
      <c r="D3585" t="s">
        <v>4454</v>
      </c>
      <c r="E3585" t="s">
        <v>4406</v>
      </c>
    </row>
    <row r="3586" spans="1:5" x14ac:dyDescent="0.25">
      <c r="A3586" t="s">
        <v>1415</v>
      </c>
      <c r="B3586">
        <v>76</v>
      </c>
      <c r="C3586" t="s">
        <v>4406</v>
      </c>
      <c r="D3586" t="s">
        <v>4454</v>
      </c>
      <c r="E3586" t="s">
        <v>4406</v>
      </c>
    </row>
    <row r="3587" spans="1:5" x14ac:dyDescent="0.25">
      <c r="A3587" t="s">
        <v>1296</v>
      </c>
      <c r="B3587">
        <v>297</v>
      </c>
      <c r="C3587" t="s">
        <v>4808</v>
      </c>
      <c r="D3587" t="s">
        <v>5340</v>
      </c>
      <c r="E3587" t="s">
        <v>4744</v>
      </c>
    </row>
    <row r="3589" spans="1:5" x14ac:dyDescent="0.25">
      <c r="A3589" t="s">
        <v>6000</v>
      </c>
    </row>
    <row r="3590" spans="1:5" x14ac:dyDescent="0.25">
      <c r="A3590" t="s">
        <v>907</v>
      </c>
      <c r="B3590" t="s">
        <v>4394</v>
      </c>
      <c r="C3590" t="s">
        <v>4732</v>
      </c>
      <c r="D3590" t="s">
        <v>109</v>
      </c>
      <c r="E3590" t="s">
        <v>192</v>
      </c>
    </row>
    <row r="3591" spans="1:5" x14ac:dyDescent="0.25">
      <c r="A3591" t="s">
        <v>109</v>
      </c>
      <c r="B3591">
        <v>257</v>
      </c>
      <c r="C3591" t="s">
        <v>4818</v>
      </c>
      <c r="D3591" t="s">
        <v>5276</v>
      </c>
      <c r="E3591" t="s">
        <v>4952</v>
      </c>
    </row>
    <row r="3592" spans="1:5" x14ac:dyDescent="0.25">
      <c r="A3592" t="s">
        <v>192</v>
      </c>
      <c r="B3592">
        <v>40</v>
      </c>
      <c r="C3592" t="s">
        <v>4406</v>
      </c>
      <c r="D3592" t="s">
        <v>5341</v>
      </c>
      <c r="E3592" t="s">
        <v>4645</v>
      </c>
    </row>
    <row r="3593" spans="1:5" x14ac:dyDescent="0.25">
      <c r="A3593" t="s">
        <v>1296</v>
      </c>
      <c r="B3593">
        <v>297</v>
      </c>
      <c r="C3593" t="s">
        <v>4808</v>
      </c>
      <c r="D3593" t="s">
        <v>5340</v>
      </c>
      <c r="E3593" t="s">
        <v>4744</v>
      </c>
    </row>
    <row r="3595" spans="1:5" x14ac:dyDescent="0.25">
      <c r="A3595" t="s">
        <v>6001</v>
      </c>
    </row>
    <row r="3596" spans="1:5" x14ac:dyDescent="0.25">
      <c r="A3596" t="s">
        <v>1295</v>
      </c>
      <c r="B3596" t="s">
        <v>4394</v>
      </c>
      <c r="C3596" t="s">
        <v>4732</v>
      </c>
      <c r="D3596" t="s">
        <v>109</v>
      </c>
      <c r="E3596" t="s">
        <v>192</v>
      </c>
    </row>
    <row r="3597" spans="1:5" x14ac:dyDescent="0.25">
      <c r="A3597" t="s">
        <v>4395</v>
      </c>
      <c r="B3597">
        <v>32</v>
      </c>
      <c r="C3597" t="s">
        <v>4406</v>
      </c>
      <c r="D3597" t="s">
        <v>4454</v>
      </c>
      <c r="E3597" t="s">
        <v>4406</v>
      </c>
    </row>
    <row r="3598" spans="1:5" x14ac:dyDescent="0.25">
      <c r="A3598" t="s">
        <v>4396</v>
      </c>
      <c r="B3598">
        <v>169</v>
      </c>
      <c r="C3598" t="s">
        <v>4413</v>
      </c>
      <c r="D3598" t="s">
        <v>5344</v>
      </c>
      <c r="E3598" t="s">
        <v>4422</v>
      </c>
    </row>
    <row r="3599" spans="1:5" x14ac:dyDescent="0.25">
      <c r="A3599" t="s">
        <v>4397</v>
      </c>
      <c r="B3599">
        <v>2</v>
      </c>
      <c r="C3599" t="s">
        <v>4406</v>
      </c>
      <c r="D3599" t="s">
        <v>4468</v>
      </c>
      <c r="E3599" t="s">
        <v>4468</v>
      </c>
    </row>
    <row r="3600" spans="1:5" x14ac:dyDescent="0.25">
      <c r="A3600" t="s">
        <v>4398</v>
      </c>
      <c r="B3600">
        <v>92</v>
      </c>
      <c r="C3600" t="s">
        <v>4406</v>
      </c>
      <c r="D3600" t="s">
        <v>5345</v>
      </c>
      <c r="E3600" t="s">
        <v>4651</v>
      </c>
    </row>
    <row r="3601" spans="1:5" x14ac:dyDescent="0.25">
      <c r="A3601" t="s">
        <v>4399</v>
      </c>
      <c r="B3601">
        <v>2</v>
      </c>
      <c r="C3601" t="s">
        <v>4406</v>
      </c>
      <c r="D3601" t="s">
        <v>4454</v>
      </c>
      <c r="E3601" t="s">
        <v>4406</v>
      </c>
    </row>
    <row r="3602" spans="1:5" x14ac:dyDescent="0.25">
      <c r="A3602" t="s">
        <v>1296</v>
      </c>
      <c r="B3602">
        <v>297</v>
      </c>
      <c r="C3602" t="s">
        <v>4808</v>
      </c>
      <c r="D3602" t="s">
        <v>5340</v>
      </c>
      <c r="E3602" t="s">
        <v>4744</v>
      </c>
    </row>
    <row r="3604" spans="1:5" x14ac:dyDescent="0.25">
      <c r="A3604" t="s">
        <v>6002</v>
      </c>
    </row>
    <row r="3605" spans="1:5" x14ac:dyDescent="0.25">
      <c r="A3605" t="s">
        <v>930</v>
      </c>
      <c r="B3605" t="s">
        <v>4394</v>
      </c>
      <c r="C3605" t="s">
        <v>4732</v>
      </c>
      <c r="D3605" t="s">
        <v>109</v>
      </c>
      <c r="E3605" t="s">
        <v>192</v>
      </c>
    </row>
    <row r="3606" spans="1:5" x14ac:dyDescent="0.25">
      <c r="A3606" t="s">
        <v>5056</v>
      </c>
      <c r="B3606">
        <v>2</v>
      </c>
      <c r="C3606" t="s">
        <v>4406</v>
      </c>
      <c r="D3606" t="s">
        <v>4454</v>
      </c>
      <c r="E3606" t="s">
        <v>4406</v>
      </c>
    </row>
    <row r="3607" spans="1:5" x14ac:dyDescent="0.25">
      <c r="A3607" t="s">
        <v>5057</v>
      </c>
      <c r="B3607">
        <v>183</v>
      </c>
      <c r="C3607" t="s">
        <v>4404</v>
      </c>
      <c r="D3607" t="s">
        <v>5343</v>
      </c>
      <c r="E3607" t="s">
        <v>4581</v>
      </c>
    </row>
    <row r="3608" spans="1:5" x14ac:dyDescent="0.25">
      <c r="A3608" t="s">
        <v>5058</v>
      </c>
      <c r="B3608">
        <v>1</v>
      </c>
      <c r="C3608" t="s">
        <v>4406</v>
      </c>
      <c r="D3608" t="s">
        <v>4454</v>
      </c>
      <c r="E3608" t="s">
        <v>4406</v>
      </c>
    </row>
    <row r="3609" spans="1:5" x14ac:dyDescent="0.25">
      <c r="A3609" t="s">
        <v>5059</v>
      </c>
      <c r="B3609">
        <v>1</v>
      </c>
      <c r="C3609" t="s">
        <v>4406</v>
      </c>
      <c r="D3609" t="s">
        <v>4454</v>
      </c>
      <c r="E3609" t="s">
        <v>4406</v>
      </c>
    </row>
    <row r="3610" spans="1:5" x14ac:dyDescent="0.25">
      <c r="A3610" t="s">
        <v>5060</v>
      </c>
      <c r="B3610">
        <v>108</v>
      </c>
      <c r="C3610" t="s">
        <v>4406</v>
      </c>
      <c r="D3610" t="s">
        <v>5143</v>
      </c>
      <c r="E3610" t="s">
        <v>4952</v>
      </c>
    </row>
    <row r="3611" spans="1:5" x14ac:dyDescent="0.25">
      <c r="A3611" t="s">
        <v>5061</v>
      </c>
      <c r="B3611">
        <v>2</v>
      </c>
      <c r="C3611" t="s">
        <v>4406</v>
      </c>
      <c r="D3611" t="s">
        <v>4454</v>
      </c>
      <c r="E3611" t="s">
        <v>4406</v>
      </c>
    </row>
    <row r="3612" spans="1:5" x14ac:dyDescent="0.25">
      <c r="A3612" t="s">
        <v>1296</v>
      </c>
      <c r="B3612">
        <v>297</v>
      </c>
      <c r="C3612" t="s">
        <v>4808</v>
      </c>
      <c r="D3612" t="s">
        <v>5340</v>
      </c>
      <c r="E3612" t="s">
        <v>4744</v>
      </c>
    </row>
    <row r="3614" spans="1:5" x14ac:dyDescent="0.25">
      <c r="A3614" t="s">
        <v>6003</v>
      </c>
    </row>
    <row r="3615" spans="1:5" x14ac:dyDescent="0.25">
      <c r="A3615" t="s">
        <v>929</v>
      </c>
      <c r="B3615" t="s">
        <v>4394</v>
      </c>
      <c r="C3615" t="s">
        <v>4732</v>
      </c>
      <c r="D3615" t="s">
        <v>109</v>
      </c>
      <c r="E3615" t="s">
        <v>192</v>
      </c>
    </row>
    <row r="3616" spans="1:5" x14ac:dyDescent="0.25">
      <c r="A3616" t="s">
        <v>1664</v>
      </c>
      <c r="B3616">
        <v>2</v>
      </c>
      <c r="C3616" t="s">
        <v>4406</v>
      </c>
      <c r="D3616" t="s">
        <v>4468</v>
      </c>
      <c r="E3616" t="s">
        <v>4468</v>
      </c>
    </row>
    <row r="3617" spans="1:8" x14ac:dyDescent="0.25">
      <c r="A3617" t="s">
        <v>1315</v>
      </c>
      <c r="B3617">
        <v>197</v>
      </c>
      <c r="C3617" t="s">
        <v>4404</v>
      </c>
      <c r="D3617" t="s">
        <v>5342</v>
      </c>
      <c r="E3617" t="s">
        <v>4645</v>
      </c>
    </row>
    <row r="3618" spans="1:8" x14ac:dyDescent="0.25">
      <c r="A3618" t="s">
        <v>1353</v>
      </c>
      <c r="B3618">
        <v>98</v>
      </c>
      <c r="C3618" t="s">
        <v>4406</v>
      </c>
      <c r="D3618" t="s">
        <v>4454</v>
      </c>
      <c r="E3618" t="s">
        <v>4406</v>
      </c>
    </row>
    <row r="3619" spans="1:8" x14ac:dyDescent="0.25">
      <c r="A3619" t="s">
        <v>1296</v>
      </c>
      <c r="B3619">
        <v>297</v>
      </c>
      <c r="C3619" t="s">
        <v>4808</v>
      </c>
      <c r="D3619" t="s">
        <v>5340</v>
      </c>
      <c r="E3619" t="s">
        <v>4744</v>
      </c>
    </row>
    <row r="3621" spans="1:8" x14ac:dyDescent="0.25">
      <c r="A3621" t="s">
        <v>6004</v>
      </c>
    </row>
    <row r="3622" spans="1:8" x14ac:dyDescent="0.25">
      <c r="A3622" t="s">
        <v>903</v>
      </c>
      <c r="B3622" t="s">
        <v>4394</v>
      </c>
      <c r="C3622" t="s">
        <v>4732</v>
      </c>
      <c r="D3622" t="s">
        <v>109</v>
      </c>
      <c r="E3622" t="s">
        <v>192</v>
      </c>
    </row>
    <row r="3623" spans="1:8" x14ac:dyDescent="0.25">
      <c r="A3623" t="s">
        <v>70</v>
      </c>
      <c r="B3623">
        <v>85</v>
      </c>
      <c r="C3623" t="s">
        <v>4406</v>
      </c>
      <c r="D3623" t="s">
        <v>5346</v>
      </c>
      <c r="E3623" t="s">
        <v>4422</v>
      </c>
    </row>
    <row r="3624" spans="1:8" x14ac:dyDescent="0.25">
      <c r="A3624" t="s">
        <v>71</v>
      </c>
      <c r="B3624">
        <v>212</v>
      </c>
      <c r="C3624" t="s">
        <v>4404</v>
      </c>
      <c r="D3624" t="s">
        <v>5347</v>
      </c>
      <c r="E3624" t="s">
        <v>4424</v>
      </c>
    </row>
    <row r="3625" spans="1:8" x14ac:dyDescent="0.25">
      <c r="A3625" t="s">
        <v>1296</v>
      </c>
      <c r="B3625">
        <v>297</v>
      </c>
      <c r="C3625" t="s">
        <v>4808</v>
      </c>
      <c r="D3625" t="s">
        <v>5340</v>
      </c>
      <c r="E3625" t="s">
        <v>4744</v>
      </c>
    </row>
    <row r="3627" spans="1:8" x14ac:dyDescent="0.25">
      <c r="A3627" t="s">
        <v>6005</v>
      </c>
    </row>
    <row r="3628" spans="1:8" x14ac:dyDescent="0.25">
      <c r="A3628" t="s">
        <v>1297</v>
      </c>
      <c r="B3628" t="s">
        <v>4394</v>
      </c>
      <c r="C3628" t="s">
        <v>5348</v>
      </c>
      <c r="D3628" t="s">
        <v>5349</v>
      </c>
      <c r="E3628" t="s">
        <v>5350</v>
      </c>
      <c r="F3628" t="s">
        <v>5351</v>
      </c>
      <c r="G3628" t="s">
        <v>5352</v>
      </c>
      <c r="H3628" t="s">
        <v>5353</v>
      </c>
    </row>
    <row r="3629" spans="1:8" x14ac:dyDescent="0.25">
      <c r="A3629" t="s">
        <v>5549</v>
      </c>
      <c r="B3629">
        <v>168</v>
      </c>
      <c r="C3629" t="s">
        <v>5154</v>
      </c>
      <c r="D3629" t="s">
        <v>4749</v>
      </c>
      <c r="E3629" t="s">
        <v>5354</v>
      </c>
      <c r="F3629" t="s">
        <v>4413</v>
      </c>
      <c r="G3629" t="s">
        <v>5086</v>
      </c>
      <c r="H3629" t="s">
        <v>4559</v>
      </c>
    </row>
    <row r="3630" spans="1:8" x14ac:dyDescent="0.25">
      <c r="A3630" t="s">
        <v>1397</v>
      </c>
      <c r="B3630">
        <v>55</v>
      </c>
      <c r="C3630" t="s">
        <v>5252</v>
      </c>
      <c r="D3630" t="s">
        <v>4852</v>
      </c>
      <c r="E3630" t="s">
        <v>4492</v>
      </c>
      <c r="F3630" t="s">
        <v>4905</v>
      </c>
      <c r="G3630" t="s">
        <v>4405</v>
      </c>
      <c r="H3630" t="s">
        <v>4852</v>
      </c>
    </row>
    <row r="3631" spans="1:8" x14ac:dyDescent="0.25">
      <c r="A3631" t="s">
        <v>1296</v>
      </c>
      <c r="B3631">
        <v>223</v>
      </c>
      <c r="C3631" t="s">
        <v>4526</v>
      </c>
      <c r="D3631" t="s">
        <v>4756</v>
      </c>
      <c r="E3631" t="s">
        <v>4505</v>
      </c>
      <c r="F3631" t="s">
        <v>4902</v>
      </c>
      <c r="G3631" t="s">
        <v>4936</v>
      </c>
      <c r="H3631" t="s">
        <v>4416</v>
      </c>
    </row>
    <row r="3633" spans="1:8" x14ac:dyDescent="0.25">
      <c r="A3633" t="s">
        <v>6006</v>
      </c>
    </row>
    <row r="3634" spans="1:8" x14ac:dyDescent="0.25">
      <c r="A3634" t="s">
        <v>906</v>
      </c>
      <c r="B3634" t="s">
        <v>4394</v>
      </c>
      <c r="C3634" t="s">
        <v>5348</v>
      </c>
      <c r="D3634" t="s">
        <v>5349</v>
      </c>
      <c r="E3634" t="s">
        <v>5350</v>
      </c>
      <c r="F3634" t="s">
        <v>5351</v>
      </c>
      <c r="G3634" t="s">
        <v>5352</v>
      </c>
      <c r="H3634" t="s">
        <v>5353</v>
      </c>
    </row>
    <row r="3635" spans="1:8" x14ac:dyDescent="0.25">
      <c r="A3635" t="s">
        <v>1338</v>
      </c>
      <c r="B3635">
        <v>35</v>
      </c>
      <c r="C3635" t="s">
        <v>4450</v>
      </c>
      <c r="D3635" t="s">
        <v>4850</v>
      </c>
      <c r="E3635" t="s">
        <v>4710</v>
      </c>
      <c r="F3635" t="s">
        <v>4406</v>
      </c>
      <c r="G3635" t="s">
        <v>4870</v>
      </c>
      <c r="H3635" t="s">
        <v>4654</v>
      </c>
    </row>
    <row r="3636" spans="1:8" x14ac:dyDescent="0.25">
      <c r="A3636" t="s">
        <v>1370</v>
      </c>
      <c r="B3636">
        <v>22</v>
      </c>
      <c r="C3636" t="s">
        <v>4589</v>
      </c>
      <c r="D3636" t="s">
        <v>4691</v>
      </c>
      <c r="E3636" t="s">
        <v>5427</v>
      </c>
      <c r="F3636" t="s">
        <v>4406</v>
      </c>
      <c r="G3636" t="s">
        <v>4766</v>
      </c>
      <c r="H3636" t="s">
        <v>4406</v>
      </c>
    </row>
    <row r="3637" spans="1:8" x14ac:dyDescent="0.25">
      <c r="A3637" t="s">
        <v>1439</v>
      </c>
      <c r="B3637">
        <v>14</v>
      </c>
      <c r="C3637" t="s">
        <v>4400</v>
      </c>
      <c r="D3637" t="s">
        <v>4406</v>
      </c>
      <c r="E3637" t="s">
        <v>4814</v>
      </c>
      <c r="F3637" t="s">
        <v>4400</v>
      </c>
      <c r="G3637" t="s">
        <v>4400</v>
      </c>
      <c r="H3637" t="s">
        <v>4400</v>
      </c>
    </row>
    <row r="3638" spans="1:8" x14ac:dyDescent="0.25">
      <c r="A3638" t="s">
        <v>1476</v>
      </c>
      <c r="B3638">
        <v>62</v>
      </c>
      <c r="C3638" t="s">
        <v>5111</v>
      </c>
      <c r="D3638" t="s">
        <v>4713</v>
      </c>
      <c r="E3638" t="s">
        <v>4862</v>
      </c>
      <c r="F3638" t="s">
        <v>4406</v>
      </c>
      <c r="G3638" t="s">
        <v>4641</v>
      </c>
      <c r="H3638" t="s">
        <v>4670</v>
      </c>
    </row>
    <row r="3639" spans="1:8" x14ac:dyDescent="0.25">
      <c r="A3639" t="s">
        <v>5476</v>
      </c>
      <c r="B3639">
        <v>3</v>
      </c>
      <c r="C3639" t="s">
        <v>4465</v>
      </c>
      <c r="D3639" t="s">
        <v>4465</v>
      </c>
      <c r="E3639" t="s">
        <v>4406</v>
      </c>
      <c r="F3639" t="s">
        <v>4406</v>
      </c>
      <c r="G3639" t="s">
        <v>4406</v>
      </c>
      <c r="H3639" t="s">
        <v>4465</v>
      </c>
    </row>
    <row r="3640" spans="1:8" x14ac:dyDescent="0.25">
      <c r="A3640" t="s">
        <v>1399</v>
      </c>
      <c r="B3640">
        <v>28</v>
      </c>
      <c r="C3640" t="s">
        <v>4604</v>
      </c>
      <c r="D3640" t="s">
        <v>4400</v>
      </c>
      <c r="E3640" t="s">
        <v>4780</v>
      </c>
      <c r="F3640" t="s">
        <v>4406</v>
      </c>
      <c r="G3640" t="s">
        <v>4604</v>
      </c>
      <c r="H3640" t="s">
        <v>4987</v>
      </c>
    </row>
    <row r="3641" spans="1:8" x14ac:dyDescent="0.25">
      <c r="A3641" t="s">
        <v>1415</v>
      </c>
      <c r="B3641">
        <v>59</v>
      </c>
      <c r="C3641" t="s">
        <v>4933</v>
      </c>
      <c r="D3641" t="s">
        <v>4689</v>
      </c>
      <c r="E3641" t="s">
        <v>4532</v>
      </c>
      <c r="F3641" t="s">
        <v>4419</v>
      </c>
      <c r="G3641" t="s">
        <v>4503</v>
      </c>
      <c r="H3641" t="s">
        <v>4689</v>
      </c>
    </row>
    <row r="3642" spans="1:8" x14ac:dyDescent="0.25">
      <c r="A3642" t="s">
        <v>1296</v>
      </c>
      <c r="B3642">
        <v>223</v>
      </c>
      <c r="C3642" t="s">
        <v>4526</v>
      </c>
      <c r="D3642" t="s">
        <v>4756</v>
      </c>
      <c r="E3642" t="s">
        <v>4505</v>
      </c>
      <c r="F3642" t="s">
        <v>4902</v>
      </c>
      <c r="G3642" t="s">
        <v>4936</v>
      </c>
      <c r="H3642" t="s">
        <v>4416</v>
      </c>
    </row>
    <row r="3644" spans="1:8" x14ac:dyDescent="0.25">
      <c r="A3644" t="s">
        <v>6007</v>
      </c>
    </row>
    <row r="3645" spans="1:8" x14ac:dyDescent="0.25">
      <c r="A3645" t="s">
        <v>907</v>
      </c>
      <c r="B3645" t="s">
        <v>4394</v>
      </c>
      <c r="C3645" t="s">
        <v>5348</v>
      </c>
      <c r="D3645" t="s">
        <v>5349</v>
      </c>
      <c r="E3645" t="s">
        <v>5350</v>
      </c>
      <c r="F3645" t="s">
        <v>5351</v>
      </c>
      <c r="G3645" t="s">
        <v>5352</v>
      </c>
      <c r="H3645" t="s">
        <v>5353</v>
      </c>
    </row>
    <row r="3646" spans="1:8" x14ac:dyDescent="0.25">
      <c r="A3646" t="s">
        <v>109</v>
      </c>
      <c r="B3646">
        <v>195</v>
      </c>
      <c r="C3646" t="s">
        <v>4460</v>
      </c>
      <c r="D3646" t="s">
        <v>4571</v>
      </c>
      <c r="E3646" t="s">
        <v>5232</v>
      </c>
      <c r="F3646" t="s">
        <v>4402</v>
      </c>
      <c r="G3646" t="s">
        <v>4953</v>
      </c>
      <c r="H3646" t="s">
        <v>4917</v>
      </c>
    </row>
    <row r="3647" spans="1:8" x14ac:dyDescent="0.25">
      <c r="A3647" t="s">
        <v>192</v>
      </c>
      <c r="B3647">
        <v>28</v>
      </c>
      <c r="C3647" t="s">
        <v>4604</v>
      </c>
      <c r="D3647" t="s">
        <v>4400</v>
      </c>
      <c r="E3647" t="s">
        <v>5251</v>
      </c>
      <c r="F3647" t="s">
        <v>4406</v>
      </c>
      <c r="G3647" t="s">
        <v>4400</v>
      </c>
      <c r="H3647" t="s">
        <v>4987</v>
      </c>
    </row>
    <row r="3648" spans="1:8" x14ac:dyDescent="0.25">
      <c r="A3648" t="s">
        <v>1296</v>
      </c>
      <c r="B3648">
        <v>223</v>
      </c>
      <c r="C3648" t="s">
        <v>4526</v>
      </c>
      <c r="D3648" t="s">
        <v>4756</v>
      </c>
      <c r="E3648" t="s">
        <v>4505</v>
      </c>
      <c r="F3648" t="s">
        <v>4902</v>
      </c>
      <c r="G3648" t="s">
        <v>4936</v>
      </c>
      <c r="H3648" t="s">
        <v>4416</v>
      </c>
    </row>
    <row r="3650" spans="1:8" x14ac:dyDescent="0.25">
      <c r="A3650" t="s">
        <v>6008</v>
      </c>
    </row>
    <row r="3651" spans="1:8" x14ac:dyDescent="0.25">
      <c r="A3651" t="s">
        <v>5481</v>
      </c>
      <c r="B3651" t="s">
        <v>4394</v>
      </c>
      <c r="C3651" t="s">
        <v>5348</v>
      </c>
      <c r="D3651" t="s">
        <v>5349</v>
      </c>
      <c r="E3651" t="s">
        <v>5350</v>
      </c>
      <c r="F3651" t="s">
        <v>5351</v>
      </c>
      <c r="G3651" t="s">
        <v>5352</v>
      </c>
      <c r="H3651" t="s">
        <v>5353</v>
      </c>
    </row>
    <row r="3652" spans="1:8" x14ac:dyDescent="0.25">
      <c r="A3652" t="s">
        <v>4438</v>
      </c>
      <c r="B3652">
        <v>103</v>
      </c>
      <c r="C3652" t="s">
        <v>4460</v>
      </c>
      <c r="D3652" t="s">
        <v>4756</v>
      </c>
      <c r="E3652" t="s">
        <v>4702</v>
      </c>
      <c r="F3652" t="s">
        <v>4406</v>
      </c>
      <c r="G3652" t="s">
        <v>4765</v>
      </c>
      <c r="H3652" t="s">
        <v>5067</v>
      </c>
    </row>
    <row r="3653" spans="1:8" x14ac:dyDescent="0.25">
      <c r="A3653" t="s">
        <v>4439</v>
      </c>
      <c r="B3653">
        <v>66</v>
      </c>
      <c r="C3653" t="s">
        <v>4451</v>
      </c>
      <c r="D3653" t="s">
        <v>4741</v>
      </c>
      <c r="E3653" t="s">
        <v>4492</v>
      </c>
      <c r="F3653" t="s">
        <v>4680</v>
      </c>
      <c r="G3653" t="s">
        <v>5118</v>
      </c>
      <c r="H3653" t="s">
        <v>4423</v>
      </c>
    </row>
    <row r="3654" spans="1:8" x14ac:dyDescent="0.25">
      <c r="A3654" t="s">
        <v>1400</v>
      </c>
      <c r="B3654">
        <v>3</v>
      </c>
      <c r="C3654" t="s">
        <v>4465</v>
      </c>
      <c r="D3654" t="s">
        <v>4406</v>
      </c>
      <c r="E3654" t="s">
        <v>4469</v>
      </c>
      <c r="F3654" t="s">
        <v>4406</v>
      </c>
      <c r="G3654" t="s">
        <v>4406</v>
      </c>
      <c r="H3654" t="s">
        <v>4406</v>
      </c>
    </row>
    <row r="3655" spans="1:8" x14ac:dyDescent="0.25">
      <c r="A3655" t="s">
        <v>5566</v>
      </c>
      <c r="B3655">
        <v>22</v>
      </c>
      <c r="C3655" t="s">
        <v>4493</v>
      </c>
      <c r="D3655" t="s">
        <v>4406</v>
      </c>
      <c r="E3655" t="s">
        <v>4752</v>
      </c>
      <c r="F3655" t="s">
        <v>4406</v>
      </c>
      <c r="G3655" t="s">
        <v>4766</v>
      </c>
      <c r="H3655" t="s">
        <v>4691</v>
      </c>
    </row>
    <row r="3656" spans="1:8" x14ac:dyDescent="0.25">
      <c r="A3656" t="s">
        <v>1372</v>
      </c>
      <c r="B3656">
        <v>29</v>
      </c>
      <c r="C3656" t="s">
        <v>4843</v>
      </c>
      <c r="D3656" t="s">
        <v>4686</v>
      </c>
      <c r="E3656" t="s">
        <v>4441</v>
      </c>
      <c r="F3656" t="s">
        <v>4888</v>
      </c>
      <c r="G3656" t="s">
        <v>4686</v>
      </c>
      <c r="H3656" t="s">
        <v>4887</v>
      </c>
    </row>
    <row r="3657" spans="1:8" x14ac:dyDescent="0.25">
      <c r="A3657" t="s">
        <v>1296</v>
      </c>
      <c r="B3657">
        <v>223</v>
      </c>
      <c r="C3657" t="s">
        <v>4526</v>
      </c>
      <c r="D3657" t="s">
        <v>4756</v>
      </c>
      <c r="E3657" t="s">
        <v>4505</v>
      </c>
      <c r="F3657" t="s">
        <v>4902</v>
      </c>
      <c r="G3657" t="s">
        <v>4936</v>
      </c>
      <c r="H3657" t="s">
        <v>4416</v>
      </c>
    </row>
    <row r="3659" spans="1:8" x14ac:dyDescent="0.25">
      <c r="A3659" t="s">
        <v>6009</v>
      </c>
    </row>
    <row r="3660" spans="1:8" x14ac:dyDescent="0.25">
      <c r="A3660" t="s">
        <v>5477</v>
      </c>
      <c r="B3660" t="s">
        <v>4394</v>
      </c>
      <c r="C3660" t="s">
        <v>5348</v>
      </c>
      <c r="D3660" t="s">
        <v>5349</v>
      </c>
      <c r="E3660" t="s">
        <v>5350</v>
      </c>
      <c r="F3660" t="s">
        <v>5351</v>
      </c>
      <c r="G3660" t="s">
        <v>5352</v>
      </c>
      <c r="H3660" t="s">
        <v>5353</v>
      </c>
    </row>
    <row r="3661" spans="1:8" x14ac:dyDescent="0.25">
      <c r="A3661" t="s">
        <v>4438</v>
      </c>
      <c r="B3661">
        <v>77</v>
      </c>
      <c r="C3661" t="s">
        <v>4909</v>
      </c>
      <c r="D3661" t="s">
        <v>4860</v>
      </c>
      <c r="E3661" t="s">
        <v>4447</v>
      </c>
      <c r="F3661" t="s">
        <v>4406</v>
      </c>
      <c r="G3661" t="s">
        <v>5262</v>
      </c>
      <c r="H3661" t="s">
        <v>5066</v>
      </c>
    </row>
    <row r="3662" spans="1:8" x14ac:dyDescent="0.25">
      <c r="A3662" t="s">
        <v>4439</v>
      </c>
      <c r="B3662">
        <v>99</v>
      </c>
      <c r="C3662" t="s">
        <v>4520</v>
      </c>
      <c r="D3662" t="s">
        <v>4627</v>
      </c>
      <c r="E3662" t="s">
        <v>4743</v>
      </c>
      <c r="F3662" t="s">
        <v>4406</v>
      </c>
      <c r="G3662" t="s">
        <v>4882</v>
      </c>
      <c r="H3662" t="s">
        <v>4883</v>
      </c>
    </row>
    <row r="3663" spans="1:8" x14ac:dyDescent="0.25">
      <c r="A3663" t="s">
        <v>1400</v>
      </c>
      <c r="B3663">
        <v>4</v>
      </c>
      <c r="C3663" t="s">
        <v>4406</v>
      </c>
      <c r="D3663" t="s">
        <v>4462</v>
      </c>
      <c r="E3663" t="s">
        <v>4468</v>
      </c>
      <c r="F3663" t="s">
        <v>4462</v>
      </c>
      <c r="G3663" t="s">
        <v>4406</v>
      </c>
      <c r="H3663" t="s">
        <v>4406</v>
      </c>
    </row>
    <row r="3664" spans="1:8" x14ac:dyDescent="0.25">
      <c r="A3664" t="s">
        <v>5566</v>
      </c>
      <c r="B3664">
        <v>22</v>
      </c>
      <c r="C3664" t="s">
        <v>4493</v>
      </c>
      <c r="D3664" t="s">
        <v>4406</v>
      </c>
      <c r="E3664" t="s">
        <v>4752</v>
      </c>
      <c r="F3664" t="s">
        <v>4406</v>
      </c>
      <c r="G3664" t="s">
        <v>4766</v>
      </c>
      <c r="H3664" t="s">
        <v>4691</v>
      </c>
    </row>
    <row r="3665" spans="1:8" x14ac:dyDescent="0.25">
      <c r="A3665" t="s">
        <v>1372</v>
      </c>
      <c r="B3665">
        <v>21</v>
      </c>
      <c r="C3665" t="s">
        <v>4556</v>
      </c>
      <c r="D3665" t="s">
        <v>4522</v>
      </c>
      <c r="E3665" t="s">
        <v>4447</v>
      </c>
      <c r="F3665" t="s">
        <v>4749</v>
      </c>
      <c r="G3665" t="s">
        <v>4522</v>
      </c>
      <c r="H3665" t="s">
        <v>4406</v>
      </c>
    </row>
    <row r="3666" spans="1:8" x14ac:dyDescent="0.25">
      <c r="A3666" t="s">
        <v>1296</v>
      </c>
      <c r="B3666">
        <v>223</v>
      </c>
      <c r="C3666" t="s">
        <v>4526</v>
      </c>
      <c r="D3666" t="s">
        <v>4756</v>
      </c>
      <c r="E3666" t="s">
        <v>4505</v>
      </c>
      <c r="F3666" t="s">
        <v>4902</v>
      </c>
      <c r="G3666" t="s">
        <v>4936</v>
      </c>
      <c r="H3666" t="s">
        <v>4416</v>
      </c>
    </row>
    <row r="3668" spans="1:8" x14ac:dyDescent="0.25">
      <c r="A3668" t="s">
        <v>6010</v>
      </c>
    </row>
    <row r="3669" spans="1:8" x14ac:dyDescent="0.25">
      <c r="A3669" t="s">
        <v>911</v>
      </c>
      <c r="B3669" t="s">
        <v>4394</v>
      </c>
      <c r="C3669" t="s">
        <v>5348</v>
      </c>
      <c r="D3669" t="s">
        <v>5349</v>
      </c>
      <c r="E3669" t="s">
        <v>5350</v>
      </c>
      <c r="F3669" t="s">
        <v>5351</v>
      </c>
      <c r="G3669" t="s">
        <v>5352</v>
      </c>
      <c r="H3669" t="s">
        <v>5353</v>
      </c>
    </row>
    <row r="3670" spans="1:8" x14ac:dyDescent="0.25">
      <c r="A3670" t="s">
        <v>4438</v>
      </c>
      <c r="B3670">
        <v>92</v>
      </c>
      <c r="C3670" t="s">
        <v>4460</v>
      </c>
      <c r="D3670" t="s">
        <v>4667</v>
      </c>
      <c r="E3670" t="s">
        <v>5155</v>
      </c>
      <c r="F3670" t="s">
        <v>4406</v>
      </c>
      <c r="G3670" t="s">
        <v>4687</v>
      </c>
      <c r="H3670" t="s">
        <v>4670</v>
      </c>
    </row>
    <row r="3671" spans="1:8" x14ac:dyDescent="0.25">
      <c r="A3671" t="s">
        <v>4439</v>
      </c>
      <c r="B3671">
        <v>61</v>
      </c>
      <c r="C3671" t="s">
        <v>5261</v>
      </c>
      <c r="D3671" t="s">
        <v>5067</v>
      </c>
      <c r="E3671" t="s">
        <v>5176</v>
      </c>
      <c r="F3671" t="s">
        <v>4635</v>
      </c>
      <c r="G3671" t="s">
        <v>4754</v>
      </c>
      <c r="H3671" t="s">
        <v>4696</v>
      </c>
    </row>
    <row r="3672" spans="1:8" x14ac:dyDescent="0.25">
      <c r="A3672" t="s">
        <v>1400</v>
      </c>
      <c r="B3672">
        <v>15</v>
      </c>
      <c r="C3672" t="s">
        <v>4472</v>
      </c>
      <c r="D3672" t="s">
        <v>4472</v>
      </c>
      <c r="E3672" t="s">
        <v>4457</v>
      </c>
      <c r="F3672" t="s">
        <v>4406</v>
      </c>
      <c r="G3672" t="s">
        <v>4406</v>
      </c>
      <c r="H3672" t="s">
        <v>4406</v>
      </c>
    </row>
    <row r="3673" spans="1:8" x14ac:dyDescent="0.25">
      <c r="A3673" t="s">
        <v>1340</v>
      </c>
      <c r="B3673">
        <v>20</v>
      </c>
      <c r="C3673" t="s">
        <v>4644</v>
      </c>
      <c r="D3673" t="s">
        <v>4406</v>
      </c>
      <c r="E3673" t="s">
        <v>4458</v>
      </c>
      <c r="F3673" t="s">
        <v>4406</v>
      </c>
      <c r="G3673" t="s">
        <v>4472</v>
      </c>
      <c r="H3673" t="s">
        <v>4758</v>
      </c>
    </row>
    <row r="3674" spans="1:8" x14ac:dyDescent="0.25">
      <c r="A3674" t="s">
        <v>1426</v>
      </c>
      <c r="B3674">
        <v>3</v>
      </c>
      <c r="C3674" t="s">
        <v>4406</v>
      </c>
      <c r="D3674" t="s">
        <v>4406</v>
      </c>
      <c r="E3674" t="s">
        <v>4469</v>
      </c>
      <c r="F3674" t="s">
        <v>4406</v>
      </c>
      <c r="G3674" t="s">
        <v>4406</v>
      </c>
      <c r="H3674" t="s">
        <v>4465</v>
      </c>
    </row>
    <row r="3675" spans="1:8" x14ac:dyDescent="0.25">
      <c r="A3675" t="s">
        <v>1372</v>
      </c>
      <c r="B3675">
        <v>32</v>
      </c>
      <c r="C3675" t="s">
        <v>4944</v>
      </c>
      <c r="D3675" t="s">
        <v>4950</v>
      </c>
      <c r="E3675" t="s">
        <v>5493</v>
      </c>
      <c r="F3675" t="s">
        <v>4695</v>
      </c>
      <c r="G3675" t="s">
        <v>4543</v>
      </c>
      <c r="H3675" t="s">
        <v>4873</v>
      </c>
    </row>
    <row r="3676" spans="1:8" x14ac:dyDescent="0.25">
      <c r="A3676" t="s">
        <v>1296</v>
      </c>
      <c r="B3676">
        <v>223</v>
      </c>
      <c r="C3676" t="s">
        <v>4526</v>
      </c>
      <c r="D3676" t="s">
        <v>4756</v>
      </c>
      <c r="E3676" t="s">
        <v>4505</v>
      </c>
      <c r="F3676" t="s">
        <v>4902</v>
      </c>
      <c r="G3676" t="s">
        <v>4936</v>
      </c>
      <c r="H3676" t="s">
        <v>4416</v>
      </c>
    </row>
    <row r="3678" spans="1:8" x14ac:dyDescent="0.25">
      <c r="A3678" t="s">
        <v>6011</v>
      </c>
    </row>
    <row r="3679" spans="1:8" x14ac:dyDescent="0.25">
      <c r="A3679" t="s">
        <v>912</v>
      </c>
      <c r="B3679" t="s">
        <v>4394</v>
      </c>
      <c r="C3679" t="s">
        <v>5348</v>
      </c>
      <c r="D3679" t="s">
        <v>5349</v>
      </c>
      <c r="E3679" t="s">
        <v>5350</v>
      </c>
      <c r="F3679" t="s">
        <v>5351</v>
      </c>
      <c r="G3679" t="s">
        <v>5352</v>
      </c>
      <c r="H3679" t="s">
        <v>5353</v>
      </c>
    </row>
    <row r="3680" spans="1:8" x14ac:dyDescent="0.25">
      <c r="A3680" t="s">
        <v>4438</v>
      </c>
      <c r="B3680">
        <v>60</v>
      </c>
      <c r="C3680" t="s">
        <v>4606</v>
      </c>
      <c r="D3680" t="s">
        <v>4758</v>
      </c>
      <c r="E3680" t="s">
        <v>4458</v>
      </c>
      <c r="F3680" t="s">
        <v>4406</v>
      </c>
      <c r="G3680" t="s">
        <v>5039</v>
      </c>
      <c r="H3680" t="s">
        <v>4646</v>
      </c>
    </row>
    <row r="3681" spans="1:8" x14ac:dyDescent="0.25">
      <c r="A3681" t="s">
        <v>4439</v>
      </c>
      <c r="B3681">
        <v>85</v>
      </c>
      <c r="C3681" t="s">
        <v>4609</v>
      </c>
      <c r="D3681" t="s">
        <v>4424</v>
      </c>
      <c r="E3681" t="s">
        <v>4717</v>
      </c>
      <c r="F3681" t="s">
        <v>4422</v>
      </c>
      <c r="G3681" t="s">
        <v>5118</v>
      </c>
      <c r="H3681" t="s">
        <v>4400</v>
      </c>
    </row>
    <row r="3682" spans="1:8" x14ac:dyDescent="0.25">
      <c r="A3682" t="s">
        <v>1400</v>
      </c>
      <c r="B3682">
        <v>23</v>
      </c>
      <c r="C3682" t="s">
        <v>4682</v>
      </c>
      <c r="D3682" t="s">
        <v>4549</v>
      </c>
      <c r="E3682" t="s">
        <v>4712</v>
      </c>
      <c r="F3682" t="s">
        <v>4406</v>
      </c>
      <c r="G3682" t="s">
        <v>4684</v>
      </c>
      <c r="H3682" t="s">
        <v>4667</v>
      </c>
    </row>
    <row r="3683" spans="1:8" x14ac:dyDescent="0.25">
      <c r="A3683" t="s">
        <v>1340</v>
      </c>
      <c r="B3683">
        <v>20</v>
      </c>
      <c r="C3683" t="s">
        <v>4644</v>
      </c>
      <c r="D3683" t="s">
        <v>4406</v>
      </c>
      <c r="E3683" t="s">
        <v>4458</v>
      </c>
      <c r="F3683" t="s">
        <v>4406</v>
      </c>
      <c r="G3683" t="s">
        <v>4472</v>
      </c>
      <c r="H3683" t="s">
        <v>4758</v>
      </c>
    </row>
    <row r="3684" spans="1:8" x14ac:dyDescent="0.25">
      <c r="A3684" t="s">
        <v>1426</v>
      </c>
      <c r="B3684">
        <v>10</v>
      </c>
      <c r="C3684" t="s">
        <v>4646</v>
      </c>
      <c r="D3684" t="s">
        <v>4646</v>
      </c>
      <c r="E3684" t="s">
        <v>4782</v>
      </c>
      <c r="F3684" t="s">
        <v>4406</v>
      </c>
      <c r="G3684" t="s">
        <v>4406</v>
      </c>
      <c r="H3684" t="s">
        <v>4646</v>
      </c>
    </row>
    <row r="3685" spans="1:8" x14ac:dyDescent="0.25">
      <c r="A3685" t="s">
        <v>1372</v>
      </c>
      <c r="B3685">
        <v>25</v>
      </c>
      <c r="C3685" t="s">
        <v>4472</v>
      </c>
      <c r="D3685" t="s">
        <v>4707</v>
      </c>
      <c r="E3685" t="s">
        <v>5282</v>
      </c>
      <c r="F3685" t="s">
        <v>4660</v>
      </c>
      <c r="G3685" t="s">
        <v>4472</v>
      </c>
      <c r="H3685" t="s">
        <v>4406</v>
      </c>
    </row>
    <row r="3686" spans="1:8" x14ac:dyDescent="0.25">
      <c r="A3686" t="s">
        <v>1296</v>
      </c>
      <c r="B3686">
        <v>223</v>
      </c>
      <c r="C3686" t="s">
        <v>4526</v>
      </c>
      <c r="D3686" t="s">
        <v>4756</v>
      </c>
      <c r="E3686" t="s">
        <v>4505</v>
      </c>
      <c r="F3686" t="s">
        <v>4902</v>
      </c>
      <c r="G3686" t="s">
        <v>4936</v>
      </c>
      <c r="H3686" t="s">
        <v>4416</v>
      </c>
    </row>
    <row r="3688" spans="1:8" x14ac:dyDescent="0.25">
      <c r="A3688" t="s">
        <v>6012</v>
      </c>
    </row>
    <row r="3689" spans="1:8" x14ac:dyDescent="0.25">
      <c r="A3689" t="s">
        <v>920</v>
      </c>
      <c r="B3689" t="s">
        <v>4394</v>
      </c>
      <c r="C3689" t="s">
        <v>5348</v>
      </c>
      <c r="D3689" t="s">
        <v>5349</v>
      </c>
      <c r="E3689" t="s">
        <v>5350</v>
      </c>
      <c r="F3689" t="s">
        <v>5351</v>
      </c>
      <c r="G3689" t="s">
        <v>5352</v>
      </c>
      <c r="H3689" t="s">
        <v>5353</v>
      </c>
    </row>
    <row r="3690" spans="1:8" x14ac:dyDescent="0.25">
      <c r="A3690" t="s">
        <v>1343</v>
      </c>
      <c r="B3690">
        <v>130</v>
      </c>
      <c r="C3690" t="s">
        <v>4471</v>
      </c>
      <c r="D3690" t="s">
        <v>4746</v>
      </c>
      <c r="E3690" t="s">
        <v>4458</v>
      </c>
      <c r="F3690" t="s">
        <v>4680</v>
      </c>
      <c r="G3690" t="s">
        <v>4610</v>
      </c>
      <c r="H3690" t="s">
        <v>4917</v>
      </c>
    </row>
    <row r="3691" spans="1:8" x14ac:dyDescent="0.25">
      <c r="A3691" t="s">
        <v>1345</v>
      </c>
      <c r="B3691">
        <v>62</v>
      </c>
      <c r="C3691" t="s">
        <v>4451</v>
      </c>
      <c r="D3691" t="s">
        <v>4749</v>
      </c>
      <c r="E3691" t="s">
        <v>4786</v>
      </c>
      <c r="F3691" t="s">
        <v>4406</v>
      </c>
      <c r="G3691" t="s">
        <v>4953</v>
      </c>
      <c r="H3691" t="s">
        <v>4670</v>
      </c>
    </row>
    <row r="3692" spans="1:8" x14ac:dyDescent="0.25">
      <c r="A3692" t="s">
        <v>1466</v>
      </c>
      <c r="B3692">
        <v>30</v>
      </c>
      <c r="C3692" t="s">
        <v>4596</v>
      </c>
      <c r="D3692" t="s">
        <v>4646</v>
      </c>
      <c r="E3692" t="s">
        <v>4458</v>
      </c>
      <c r="F3692" t="s">
        <v>4406</v>
      </c>
      <c r="G3692" t="s">
        <v>5039</v>
      </c>
      <c r="H3692" t="s">
        <v>4646</v>
      </c>
    </row>
    <row r="3693" spans="1:8" x14ac:dyDescent="0.25">
      <c r="A3693" t="s">
        <v>5554</v>
      </c>
      <c r="B3693">
        <v>1</v>
      </c>
      <c r="C3693" t="s">
        <v>4454</v>
      </c>
      <c r="D3693" t="s">
        <v>4406</v>
      </c>
      <c r="E3693" t="s">
        <v>4406</v>
      </c>
      <c r="F3693" t="s">
        <v>4406</v>
      </c>
      <c r="G3693" t="s">
        <v>4406</v>
      </c>
      <c r="H3693" t="s">
        <v>4406</v>
      </c>
    </row>
    <row r="3694" spans="1:8" x14ac:dyDescent="0.25">
      <c r="A3694" t="s">
        <v>1296</v>
      </c>
      <c r="B3694">
        <v>223</v>
      </c>
      <c r="C3694" t="s">
        <v>4526</v>
      </c>
      <c r="D3694" t="s">
        <v>4756</v>
      </c>
      <c r="E3694" t="s">
        <v>4505</v>
      </c>
      <c r="F3694" t="s">
        <v>4902</v>
      </c>
      <c r="G3694" t="s">
        <v>4936</v>
      </c>
      <c r="H3694" t="s">
        <v>4416</v>
      </c>
    </row>
    <row r="3696" spans="1:8" x14ac:dyDescent="0.25">
      <c r="A3696" t="s">
        <v>6013</v>
      </c>
    </row>
    <row r="3697" spans="1:8" x14ac:dyDescent="0.25">
      <c r="A3697" t="s">
        <v>924</v>
      </c>
      <c r="B3697" t="s">
        <v>4394</v>
      </c>
      <c r="C3697" t="s">
        <v>5348</v>
      </c>
      <c r="D3697" t="s">
        <v>5349</v>
      </c>
      <c r="E3697" t="s">
        <v>5350</v>
      </c>
      <c r="F3697" t="s">
        <v>5351</v>
      </c>
      <c r="G3697" t="s">
        <v>5352</v>
      </c>
      <c r="H3697" t="s">
        <v>5353</v>
      </c>
    </row>
    <row r="3698" spans="1:8" x14ac:dyDescent="0.25">
      <c r="A3698" t="s">
        <v>1345</v>
      </c>
      <c r="B3698">
        <v>46</v>
      </c>
      <c r="C3698" t="s">
        <v>4580</v>
      </c>
      <c r="D3698" t="s">
        <v>4667</v>
      </c>
      <c r="E3698" t="s">
        <v>4468</v>
      </c>
      <c r="F3698" t="s">
        <v>4406</v>
      </c>
      <c r="G3698" t="s">
        <v>4663</v>
      </c>
      <c r="H3698" t="s">
        <v>4667</v>
      </c>
    </row>
    <row r="3699" spans="1:8" x14ac:dyDescent="0.25">
      <c r="A3699" t="s">
        <v>1441</v>
      </c>
      <c r="B3699">
        <v>92</v>
      </c>
      <c r="C3699" t="s">
        <v>4926</v>
      </c>
      <c r="D3699" t="s">
        <v>4651</v>
      </c>
      <c r="E3699" t="s">
        <v>4786</v>
      </c>
      <c r="F3699" t="s">
        <v>4825</v>
      </c>
      <c r="G3699" t="s">
        <v>5086</v>
      </c>
      <c r="H3699" t="s">
        <v>4670</v>
      </c>
    </row>
    <row r="3700" spans="1:8" x14ac:dyDescent="0.25">
      <c r="A3700" t="s">
        <v>1461</v>
      </c>
      <c r="B3700">
        <v>79</v>
      </c>
      <c r="C3700" t="s">
        <v>4843</v>
      </c>
      <c r="D3700" t="s">
        <v>4716</v>
      </c>
      <c r="E3700" t="s">
        <v>4488</v>
      </c>
      <c r="F3700" t="s">
        <v>4659</v>
      </c>
      <c r="G3700" t="s">
        <v>4843</v>
      </c>
      <c r="H3700" t="s">
        <v>4552</v>
      </c>
    </row>
    <row r="3701" spans="1:8" x14ac:dyDescent="0.25">
      <c r="A3701" t="s">
        <v>5554</v>
      </c>
      <c r="B3701">
        <v>6</v>
      </c>
      <c r="C3701" t="s">
        <v>4468</v>
      </c>
      <c r="D3701" t="s">
        <v>4596</v>
      </c>
      <c r="E3701" t="s">
        <v>4596</v>
      </c>
      <c r="F3701" t="s">
        <v>4406</v>
      </c>
      <c r="G3701" t="s">
        <v>4406</v>
      </c>
      <c r="H3701" t="s">
        <v>4596</v>
      </c>
    </row>
    <row r="3702" spans="1:8" x14ac:dyDescent="0.25">
      <c r="A3702" t="s">
        <v>1296</v>
      </c>
      <c r="B3702">
        <v>223</v>
      </c>
      <c r="C3702" t="s">
        <v>4526</v>
      </c>
      <c r="D3702" t="s">
        <v>4756</v>
      </c>
      <c r="E3702" t="s">
        <v>4505</v>
      </c>
      <c r="F3702" t="s">
        <v>4902</v>
      </c>
      <c r="G3702" t="s">
        <v>4936</v>
      </c>
      <c r="H3702" t="s">
        <v>4416</v>
      </c>
    </row>
    <row r="3704" spans="1:8" x14ac:dyDescent="0.25">
      <c r="A3704" t="s">
        <v>6014</v>
      </c>
    </row>
    <row r="3705" spans="1:8" x14ac:dyDescent="0.25">
      <c r="A3705" t="s">
        <v>903</v>
      </c>
      <c r="B3705" t="s">
        <v>4394</v>
      </c>
      <c r="C3705" t="s">
        <v>5348</v>
      </c>
      <c r="D3705" t="s">
        <v>5349</v>
      </c>
      <c r="E3705" t="s">
        <v>5350</v>
      </c>
      <c r="F3705" t="s">
        <v>5351</v>
      </c>
      <c r="G3705" t="s">
        <v>5352</v>
      </c>
      <c r="H3705" t="s">
        <v>5353</v>
      </c>
    </row>
    <row r="3706" spans="1:8" x14ac:dyDescent="0.25">
      <c r="A3706" t="s">
        <v>70</v>
      </c>
      <c r="B3706">
        <v>55</v>
      </c>
      <c r="C3706" t="s">
        <v>4726</v>
      </c>
      <c r="D3706" t="s">
        <v>4681</v>
      </c>
      <c r="E3706" t="s">
        <v>5113</v>
      </c>
      <c r="F3706" t="s">
        <v>4905</v>
      </c>
      <c r="G3706" t="s">
        <v>4405</v>
      </c>
      <c r="H3706" t="s">
        <v>5206</v>
      </c>
    </row>
    <row r="3707" spans="1:8" x14ac:dyDescent="0.25">
      <c r="A3707" t="s">
        <v>71</v>
      </c>
      <c r="B3707">
        <v>168</v>
      </c>
      <c r="C3707" t="s">
        <v>4674</v>
      </c>
      <c r="D3707" t="s">
        <v>4751</v>
      </c>
      <c r="E3707" t="s">
        <v>4447</v>
      </c>
      <c r="F3707" t="s">
        <v>4413</v>
      </c>
      <c r="G3707" t="s">
        <v>5086</v>
      </c>
      <c r="H3707" t="s">
        <v>4670</v>
      </c>
    </row>
    <row r="3708" spans="1:8" x14ac:dyDescent="0.25">
      <c r="A3708" t="s">
        <v>1296</v>
      </c>
      <c r="B3708">
        <v>223</v>
      </c>
      <c r="C3708" t="s">
        <v>4526</v>
      </c>
      <c r="D3708" t="s">
        <v>4756</v>
      </c>
      <c r="E3708" t="s">
        <v>4505</v>
      </c>
      <c r="F3708" t="s">
        <v>4902</v>
      </c>
      <c r="G3708" t="s">
        <v>4936</v>
      </c>
      <c r="H3708" t="s">
        <v>4416</v>
      </c>
    </row>
    <row r="3710" spans="1:8" x14ac:dyDescent="0.25">
      <c r="A3710" t="s">
        <v>6015</v>
      </c>
    </row>
    <row r="3711" spans="1:8" x14ac:dyDescent="0.25">
      <c r="A3711" t="s">
        <v>1297</v>
      </c>
      <c r="B3711" t="s">
        <v>4394</v>
      </c>
      <c r="C3711" t="s">
        <v>5355</v>
      </c>
      <c r="D3711" t="s">
        <v>5356</v>
      </c>
      <c r="E3711" t="s">
        <v>5357</v>
      </c>
    </row>
    <row r="3712" spans="1:8" x14ac:dyDescent="0.25">
      <c r="A3712" t="s">
        <v>5549</v>
      </c>
      <c r="B3712">
        <v>198</v>
      </c>
      <c r="C3712" t="s">
        <v>4680</v>
      </c>
      <c r="D3712" t="s">
        <v>4778</v>
      </c>
      <c r="E3712" t="s">
        <v>5152</v>
      </c>
    </row>
    <row r="3713" spans="1:5" x14ac:dyDescent="0.25">
      <c r="A3713" t="s">
        <v>1397</v>
      </c>
      <c r="B3713">
        <v>99</v>
      </c>
      <c r="C3713" t="s">
        <v>4406</v>
      </c>
      <c r="D3713" t="s">
        <v>5004</v>
      </c>
      <c r="E3713" t="s">
        <v>4854</v>
      </c>
    </row>
    <row r="3714" spans="1:5" x14ac:dyDescent="0.25">
      <c r="A3714" t="s">
        <v>1296</v>
      </c>
      <c r="B3714">
        <v>297</v>
      </c>
      <c r="C3714" t="s">
        <v>4402</v>
      </c>
      <c r="D3714" t="s">
        <v>4469</v>
      </c>
      <c r="E3714" t="s">
        <v>4862</v>
      </c>
    </row>
    <row r="3716" spans="1:5" x14ac:dyDescent="0.25">
      <c r="A3716" t="s">
        <v>6016</v>
      </c>
    </row>
    <row r="3717" spans="1:5" x14ac:dyDescent="0.25">
      <c r="A3717" t="s">
        <v>906</v>
      </c>
      <c r="B3717" t="s">
        <v>4394</v>
      </c>
      <c r="C3717" t="s">
        <v>5355</v>
      </c>
      <c r="D3717" t="s">
        <v>5356</v>
      </c>
      <c r="E3717" t="s">
        <v>5357</v>
      </c>
    </row>
    <row r="3718" spans="1:5" x14ac:dyDescent="0.25">
      <c r="A3718" t="s">
        <v>1338</v>
      </c>
      <c r="B3718">
        <v>46</v>
      </c>
      <c r="C3718" t="s">
        <v>4406</v>
      </c>
      <c r="D3718" t="s">
        <v>5231</v>
      </c>
      <c r="E3718" t="s">
        <v>4755</v>
      </c>
    </row>
    <row r="3719" spans="1:5" x14ac:dyDescent="0.25">
      <c r="A3719" t="s">
        <v>1370</v>
      </c>
      <c r="B3719">
        <v>33</v>
      </c>
      <c r="C3719" t="s">
        <v>4626</v>
      </c>
      <c r="D3719" t="s">
        <v>4469</v>
      </c>
      <c r="E3719" t="s">
        <v>4453</v>
      </c>
    </row>
    <row r="3720" spans="1:5" x14ac:dyDescent="0.25">
      <c r="A3720" t="s">
        <v>1439</v>
      </c>
      <c r="B3720">
        <v>21</v>
      </c>
      <c r="C3720" t="s">
        <v>4749</v>
      </c>
      <c r="D3720" t="s">
        <v>4469</v>
      </c>
      <c r="E3720" t="s">
        <v>4450</v>
      </c>
    </row>
    <row r="3721" spans="1:5" x14ac:dyDescent="0.25">
      <c r="A3721" t="s">
        <v>1476</v>
      </c>
      <c r="B3721">
        <v>71</v>
      </c>
      <c r="C3721" t="s">
        <v>4406</v>
      </c>
      <c r="D3721" t="s">
        <v>5037</v>
      </c>
      <c r="E3721" t="s">
        <v>4599</v>
      </c>
    </row>
    <row r="3722" spans="1:5" x14ac:dyDescent="0.25">
      <c r="A3722" t="s">
        <v>5476</v>
      </c>
      <c r="B3722">
        <v>6</v>
      </c>
      <c r="C3722" t="s">
        <v>4406</v>
      </c>
      <c r="D3722" t="s">
        <v>4454</v>
      </c>
      <c r="E3722" t="s">
        <v>4406</v>
      </c>
    </row>
    <row r="3723" spans="1:5" x14ac:dyDescent="0.25">
      <c r="A3723" t="s">
        <v>1399</v>
      </c>
      <c r="B3723">
        <v>44</v>
      </c>
      <c r="C3723" t="s">
        <v>4406</v>
      </c>
      <c r="D3723" t="s">
        <v>4401</v>
      </c>
      <c r="E3723" t="s">
        <v>4405</v>
      </c>
    </row>
    <row r="3724" spans="1:5" x14ac:dyDescent="0.25">
      <c r="A3724" t="s">
        <v>1415</v>
      </c>
      <c r="B3724">
        <v>76</v>
      </c>
      <c r="C3724" t="s">
        <v>4659</v>
      </c>
      <c r="D3724" t="s">
        <v>4534</v>
      </c>
      <c r="E3724" t="s">
        <v>4603</v>
      </c>
    </row>
    <row r="3725" spans="1:5" x14ac:dyDescent="0.25">
      <c r="A3725" t="s">
        <v>1296</v>
      </c>
      <c r="B3725">
        <v>297</v>
      </c>
      <c r="C3725" t="s">
        <v>4402</v>
      </c>
      <c r="D3725" t="s">
        <v>4469</v>
      </c>
      <c r="E3725" t="s">
        <v>4862</v>
      </c>
    </row>
    <row r="3727" spans="1:5" x14ac:dyDescent="0.25">
      <c r="A3727" t="s">
        <v>6017</v>
      </c>
    </row>
    <row r="3728" spans="1:5" x14ac:dyDescent="0.25">
      <c r="A3728" t="s">
        <v>907</v>
      </c>
      <c r="B3728" t="s">
        <v>4394</v>
      </c>
      <c r="C3728" t="s">
        <v>5355</v>
      </c>
      <c r="D3728" t="s">
        <v>5356</v>
      </c>
      <c r="E3728" t="s">
        <v>5357</v>
      </c>
    </row>
    <row r="3729" spans="1:7" x14ac:dyDescent="0.25">
      <c r="A3729" t="s">
        <v>109</v>
      </c>
      <c r="B3729">
        <v>257</v>
      </c>
      <c r="C3729" t="s">
        <v>4818</v>
      </c>
      <c r="D3729" t="s">
        <v>4577</v>
      </c>
      <c r="E3729" t="s">
        <v>4509</v>
      </c>
    </row>
    <row r="3730" spans="1:7" x14ac:dyDescent="0.25">
      <c r="A3730" t="s">
        <v>192</v>
      </c>
      <c r="B3730">
        <v>40</v>
      </c>
      <c r="C3730" t="s">
        <v>4758</v>
      </c>
      <c r="D3730" t="s">
        <v>4457</v>
      </c>
      <c r="E3730" t="s">
        <v>4644</v>
      </c>
    </row>
    <row r="3731" spans="1:7" x14ac:dyDescent="0.25">
      <c r="A3731" t="s">
        <v>1296</v>
      </c>
      <c r="B3731">
        <v>297</v>
      </c>
      <c r="C3731" t="s">
        <v>4402</v>
      </c>
      <c r="D3731" t="s">
        <v>4469</v>
      </c>
      <c r="E3731" t="s">
        <v>4862</v>
      </c>
    </row>
    <row r="3733" spans="1:7" x14ac:dyDescent="0.25">
      <c r="A3733" t="s">
        <v>6018</v>
      </c>
    </row>
    <row r="3734" spans="1:7" x14ac:dyDescent="0.25">
      <c r="A3734" t="s">
        <v>903</v>
      </c>
      <c r="B3734" t="s">
        <v>4394</v>
      </c>
      <c r="C3734" t="s">
        <v>5355</v>
      </c>
      <c r="D3734" t="s">
        <v>5356</v>
      </c>
      <c r="E3734" t="s">
        <v>5357</v>
      </c>
    </row>
    <row r="3735" spans="1:7" x14ac:dyDescent="0.25">
      <c r="A3735" t="s">
        <v>70</v>
      </c>
      <c r="B3735">
        <v>85</v>
      </c>
      <c r="C3735" t="s">
        <v>4422</v>
      </c>
      <c r="D3735" t="s">
        <v>4835</v>
      </c>
      <c r="E3735" t="s">
        <v>4558</v>
      </c>
    </row>
    <row r="3736" spans="1:7" x14ac:dyDescent="0.25">
      <c r="A3736" t="s">
        <v>71</v>
      </c>
      <c r="B3736">
        <v>212</v>
      </c>
      <c r="C3736" t="s">
        <v>4902</v>
      </c>
      <c r="D3736" t="s">
        <v>4829</v>
      </c>
      <c r="E3736" t="s">
        <v>4771</v>
      </c>
    </row>
    <row r="3737" spans="1:7" x14ac:dyDescent="0.25">
      <c r="A3737" t="s">
        <v>1296</v>
      </c>
      <c r="B3737">
        <v>297</v>
      </c>
      <c r="C3737" t="s">
        <v>4402</v>
      </c>
      <c r="D3737" t="s">
        <v>4469</v>
      </c>
      <c r="E3737" t="s">
        <v>4862</v>
      </c>
    </row>
    <row r="3739" spans="1:7" x14ac:dyDescent="0.25">
      <c r="A3739" t="s">
        <v>6019</v>
      </c>
    </row>
    <row r="3740" spans="1:7" x14ac:dyDescent="0.25">
      <c r="A3740" t="s">
        <v>1297</v>
      </c>
      <c r="B3740" t="s">
        <v>4394</v>
      </c>
      <c r="C3740" t="s">
        <v>5359</v>
      </c>
      <c r="D3740" t="s">
        <v>5360</v>
      </c>
      <c r="E3740" t="s">
        <v>4737</v>
      </c>
      <c r="F3740" t="s">
        <v>5361</v>
      </c>
      <c r="G3740" t="s">
        <v>5362</v>
      </c>
    </row>
    <row r="3741" spans="1:7" x14ac:dyDescent="0.25">
      <c r="A3741" t="s">
        <v>5549</v>
      </c>
      <c r="B3741">
        <v>198</v>
      </c>
      <c r="C3741" t="s">
        <v>4560</v>
      </c>
      <c r="D3741" t="s">
        <v>4626</v>
      </c>
      <c r="E3741" t="s">
        <v>4404</v>
      </c>
      <c r="F3741" t="s">
        <v>4883</v>
      </c>
      <c r="G3741" t="s">
        <v>5136</v>
      </c>
    </row>
    <row r="3742" spans="1:7" x14ac:dyDescent="0.25">
      <c r="A3742" t="s">
        <v>1397</v>
      </c>
      <c r="B3742">
        <v>99</v>
      </c>
      <c r="C3742" t="s">
        <v>5209</v>
      </c>
      <c r="D3742" t="s">
        <v>4406</v>
      </c>
      <c r="E3742" t="s">
        <v>4406</v>
      </c>
      <c r="F3742" t="s">
        <v>4726</v>
      </c>
      <c r="G3742" t="s">
        <v>5118</v>
      </c>
    </row>
    <row r="3743" spans="1:7" x14ac:dyDescent="0.25">
      <c r="A3743" t="s">
        <v>1296</v>
      </c>
      <c r="B3743">
        <v>297</v>
      </c>
      <c r="C3743" t="s">
        <v>4886</v>
      </c>
      <c r="D3743" t="s">
        <v>4744</v>
      </c>
      <c r="E3743" t="s">
        <v>4808</v>
      </c>
      <c r="F3743" t="s">
        <v>4591</v>
      </c>
      <c r="G3743" t="s">
        <v>5332</v>
      </c>
    </row>
    <row r="3745" spans="1:7" x14ac:dyDescent="0.25">
      <c r="A3745" t="s">
        <v>6020</v>
      </c>
    </row>
    <row r="3746" spans="1:7" x14ac:dyDescent="0.25">
      <c r="A3746" t="s">
        <v>905</v>
      </c>
      <c r="B3746" t="s">
        <v>4394</v>
      </c>
      <c r="C3746" t="s">
        <v>5359</v>
      </c>
      <c r="D3746" t="s">
        <v>5360</v>
      </c>
      <c r="E3746" t="s">
        <v>4737</v>
      </c>
      <c r="F3746" t="s">
        <v>5361</v>
      </c>
      <c r="G3746" t="s">
        <v>5362</v>
      </c>
    </row>
    <row r="3747" spans="1:7" x14ac:dyDescent="0.25">
      <c r="A3747" t="s">
        <v>4844</v>
      </c>
      <c r="B3747">
        <v>36</v>
      </c>
      <c r="C3747" t="s">
        <v>4469</v>
      </c>
      <c r="D3747" t="s">
        <v>4649</v>
      </c>
      <c r="E3747" t="s">
        <v>4649</v>
      </c>
      <c r="F3747" t="s">
        <v>4676</v>
      </c>
      <c r="G3747" t="s">
        <v>4596</v>
      </c>
    </row>
    <row r="3748" spans="1:7" x14ac:dyDescent="0.25">
      <c r="A3748" t="s">
        <v>4845</v>
      </c>
      <c r="B3748">
        <v>230</v>
      </c>
      <c r="C3748" t="s">
        <v>5212</v>
      </c>
      <c r="D3748" t="s">
        <v>4581</v>
      </c>
      <c r="E3748" t="s">
        <v>4406</v>
      </c>
      <c r="F3748" t="s">
        <v>4663</v>
      </c>
      <c r="G3748" t="s">
        <v>5215</v>
      </c>
    </row>
    <row r="3749" spans="1:7" x14ac:dyDescent="0.25">
      <c r="A3749" t="s">
        <v>4846</v>
      </c>
      <c r="B3749">
        <v>31</v>
      </c>
      <c r="C3749" t="s">
        <v>4563</v>
      </c>
      <c r="D3749" t="s">
        <v>4406</v>
      </c>
      <c r="E3749" t="s">
        <v>4406</v>
      </c>
      <c r="F3749" t="s">
        <v>4563</v>
      </c>
      <c r="G3749" t="s">
        <v>5111</v>
      </c>
    </row>
    <row r="3750" spans="1:7" x14ac:dyDescent="0.25">
      <c r="A3750" t="s">
        <v>1296</v>
      </c>
      <c r="B3750">
        <v>297</v>
      </c>
      <c r="C3750" t="s">
        <v>4886</v>
      </c>
      <c r="D3750" t="s">
        <v>4744</v>
      </c>
      <c r="E3750" t="s">
        <v>4808</v>
      </c>
      <c r="F3750" t="s">
        <v>4591</v>
      </c>
      <c r="G3750" t="s">
        <v>5332</v>
      </c>
    </row>
    <row r="3752" spans="1:7" x14ac:dyDescent="0.25">
      <c r="A3752" t="s">
        <v>6021</v>
      </c>
    </row>
    <row r="3753" spans="1:7" x14ac:dyDescent="0.25">
      <c r="A3753" t="s">
        <v>906</v>
      </c>
      <c r="B3753" t="s">
        <v>4394</v>
      </c>
      <c r="C3753" t="s">
        <v>5359</v>
      </c>
      <c r="D3753" t="s">
        <v>5360</v>
      </c>
      <c r="E3753" t="s">
        <v>4737</v>
      </c>
      <c r="F3753" t="s">
        <v>5361</v>
      </c>
      <c r="G3753" t="s">
        <v>5362</v>
      </c>
    </row>
    <row r="3754" spans="1:7" x14ac:dyDescent="0.25">
      <c r="A3754" t="s">
        <v>1338</v>
      </c>
      <c r="B3754">
        <v>46</v>
      </c>
      <c r="C3754" t="s">
        <v>4748</v>
      </c>
      <c r="D3754" t="s">
        <v>4581</v>
      </c>
      <c r="E3754" t="s">
        <v>4581</v>
      </c>
      <c r="F3754" t="s">
        <v>4684</v>
      </c>
      <c r="G3754" t="s">
        <v>4712</v>
      </c>
    </row>
    <row r="3755" spans="1:7" x14ac:dyDescent="0.25">
      <c r="A3755" t="s">
        <v>1370</v>
      </c>
      <c r="B3755">
        <v>33</v>
      </c>
      <c r="C3755" t="s">
        <v>4492</v>
      </c>
      <c r="D3755" t="s">
        <v>4406</v>
      </c>
      <c r="E3755" t="s">
        <v>4406</v>
      </c>
      <c r="F3755" t="s">
        <v>4451</v>
      </c>
      <c r="G3755" t="s">
        <v>4807</v>
      </c>
    </row>
    <row r="3756" spans="1:7" x14ac:dyDescent="0.25">
      <c r="A3756" t="s">
        <v>1439</v>
      </c>
      <c r="B3756">
        <v>21</v>
      </c>
      <c r="C3756" t="s">
        <v>4778</v>
      </c>
      <c r="D3756" t="s">
        <v>4406</v>
      </c>
      <c r="E3756" t="s">
        <v>4406</v>
      </c>
      <c r="F3756" t="s">
        <v>4749</v>
      </c>
      <c r="G3756" t="s">
        <v>4497</v>
      </c>
    </row>
    <row r="3757" spans="1:7" x14ac:dyDescent="0.25">
      <c r="A3757" t="s">
        <v>1476</v>
      </c>
      <c r="B3757">
        <v>71</v>
      </c>
      <c r="C3757" t="s">
        <v>4828</v>
      </c>
      <c r="D3757" t="s">
        <v>4750</v>
      </c>
      <c r="E3757" t="s">
        <v>4406</v>
      </c>
      <c r="F3757" t="s">
        <v>4701</v>
      </c>
      <c r="G3757" t="s">
        <v>4854</v>
      </c>
    </row>
    <row r="3758" spans="1:7" x14ac:dyDescent="0.25">
      <c r="A3758" t="s">
        <v>5476</v>
      </c>
      <c r="B3758">
        <v>6</v>
      </c>
      <c r="C3758" t="s">
        <v>4465</v>
      </c>
      <c r="D3758" t="s">
        <v>4406</v>
      </c>
      <c r="E3758" t="s">
        <v>4406</v>
      </c>
      <c r="F3758" t="s">
        <v>4465</v>
      </c>
      <c r="G3758" t="s">
        <v>4465</v>
      </c>
    </row>
    <row r="3759" spans="1:7" x14ac:dyDescent="0.25">
      <c r="A3759" t="s">
        <v>1399</v>
      </c>
      <c r="B3759">
        <v>44</v>
      </c>
      <c r="C3759" t="s">
        <v>4752</v>
      </c>
      <c r="D3759" t="s">
        <v>4753</v>
      </c>
      <c r="E3759" t="s">
        <v>4406</v>
      </c>
      <c r="F3759" t="s">
        <v>4766</v>
      </c>
      <c r="G3759" t="s">
        <v>4568</v>
      </c>
    </row>
    <row r="3760" spans="1:7" x14ac:dyDescent="0.25">
      <c r="A3760" t="s">
        <v>1415</v>
      </c>
      <c r="B3760">
        <v>76</v>
      </c>
      <c r="C3760" t="s">
        <v>4601</v>
      </c>
      <c r="D3760" t="s">
        <v>4692</v>
      </c>
      <c r="E3760" t="s">
        <v>4406</v>
      </c>
      <c r="F3760" t="s">
        <v>5014</v>
      </c>
      <c r="G3760" t="s">
        <v>4947</v>
      </c>
    </row>
    <row r="3761" spans="1:7" x14ac:dyDescent="0.25">
      <c r="A3761" t="s">
        <v>1296</v>
      </c>
      <c r="B3761">
        <v>297</v>
      </c>
      <c r="C3761" t="s">
        <v>4886</v>
      </c>
      <c r="D3761" t="s">
        <v>4744</v>
      </c>
      <c r="E3761" t="s">
        <v>4808</v>
      </c>
      <c r="F3761" t="s">
        <v>4591</v>
      </c>
      <c r="G3761" t="s">
        <v>5332</v>
      </c>
    </row>
    <row r="3763" spans="1:7" x14ac:dyDescent="0.25">
      <c r="A3763" t="s">
        <v>6022</v>
      </c>
    </row>
    <row r="3764" spans="1:7" x14ac:dyDescent="0.25">
      <c r="A3764" t="s">
        <v>907</v>
      </c>
      <c r="B3764" t="s">
        <v>4394</v>
      </c>
      <c r="C3764" t="s">
        <v>5359</v>
      </c>
      <c r="D3764" t="s">
        <v>5360</v>
      </c>
      <c r="E3764" t="s">
        <v>4737</v>
      </c>
      <c r="F3764" t="s">
        <v>5361</v>
      </c>
      <c r="G3764" t="s">
        <v>5362</v>
      </c>
    </row>
    <row r="3765" spans="1:7" x14ac:dyDescent="0.25">
      <c r="A3765" t="s">
        <v>109</v>
      </c>
      <c r="B3765">
        <v>257</v>
      </c>
      <c r="C3765" t="s">
        <v>4904</v>
      </c>
      <c r="D3765" t="s">
        <v>4753</v>
      </c>
      <c r="E3765" t="s">
        <v>4818</v>
      </c>
      <c r="F3765" t="s">
        <v>4546</v>
      </c>
      <c r="G3765" t="s">
        <v>4768</v>
      </c>
    </row>
    <row r="3766" spans="1:7" x14ac:dyDescent="0.25">
      <c r="A3766" t="s">
        <v>192</v>
      </c>
      <c r="B3766">
        <v>40</v>
      </c>
      <c r="C3766" t="s">
        <v>5363</v>
      </c>
      <c r="D3766" t="s">
        <v>4406</v>
      </c>
      <c r="E3766" t="s">
        <v>4406</v>
      </c>
      <c r="F3766" t="s">
        <v>4643</v>
      </c>
      <c r="G3766" t="s">
        <v>4760</v>
      </c>
    </row>
    <row r="3767" spans="1:7" x14ac:dyDescent="0.25">
      <c r="A3767" t="s">
        <v>1296</v>
      </c>
      <c r="B3767">
        <v>297</v>
      </c>
      <c r="C3767" t="s">
        <v>4886</v>
      </c>
      <c r="D3767" t="s">
        <v>4744</v>
      </c>
      <c r="E3767" t="s">
        <v>4808</v>
      </c>
      <c r="F3767" t="s">
        <v>4591</v>
      </c>
      <c r="G3767" t="s">
        <v>5332</v>
      </c>
    </row>
    <row r="3769" spans="1:7" x14ac:dyDescent="0.25">
      <c r="A3769" t="s">
        <v>6023</v>
      </c>
    </row>
    <row r="3770" spans="1:7" x14ac:dyDescent="0.25">
      <c r="A3770" t="s">
        <v>1295</v>
      </c>
      <c r="B3770" t="s">
        <v>4394</v>
      </c>
      <c r="C3770" t="s">
        <v>5359</v>
      </c>
      <c r="D3770" t="s">
        <v>5360</v>
      </c>
      <c r="E3770" t="s">
        <v>4737</v>
      </c>
      <c r="F3770" t="s">
        <v>5361</v>
      </c>
      <c r="G3770" t="s">
        <v>5362</v>
      </c>
    </row>
    <row r="3771" spans="1:7" x14ac:dyDescent="0.25">
      <c r="A3771" t="s">
        <v>4395</v>
      </c>
      <c r="B3771">
        <v>32</v>
      </c>
      <c r="C3771" t="s">
        <v>4468</v>
      </c>
      <c r="D3771" t="s">
        <v>4406</v>
      </c>
      <c r="E3771" t="s">
        <v>4406</v>
      </c>
      <c r="F3771" t="s">
        <v>5173</v>
      </c>
      <c r="G3771" t="s">
        <v>4948</v>
      </c>
    </row>
    <row r="3772" spans="1:7" x14ac:dyDescent="0.25">
      <c r="A3772" t="s">
        <v>4396</v>
      </c>
      <c r="B3772">
        <v>169</v>
      </c>
      <c r="C3772" t="s">
        <v>5364</v>
      </c>
      <c r="D3772" t="s">
        <v>4424</v>
      </c>
      <c r="E3772" t="s">
        <v>4413</v>
      </c>
      <c r="F3772" t="s">
        <v>4705</v>
      </c>
      <c r="G3772" t="s">
        <v>4712</v>
      </c>
    </row>
    <row r="3773" spans="1:7" x14ac:dyDescent="0.25">
      <c r="A3773" t="s">
        <v>4397</v>
      </c>
      <c r="B3773">
        <v>2</v>
      </c>
      <c r="C3773" t="s">
        <v>4406</v>
      </c>
      <c r="D3773" t="s">
        <v>4406</v>
      </c>
      <c r="E3773" t="s">
        <v>4406</v>
      </c>
      <c r="F3773" t="s">
        <v>4406</v>
      </c>
      <c r="G3773" t="s">
        <v>4454</v>
      </c>
    </row>
    <row r="3774" spans="1:7" x14ac:dyDescent="0.25">
      <c r="A3774" t="s">
        <v>4398</v>
      </c>
      <c r="B3774">
        <v>92</v>
      </c>
      <c r="C3774" t="s">
        <v>4748</v>
      </c>
      <c r="D3774" t="s">
        <v>4581</v>
      </c>
      <c r="E3774" t="s">
        <v>4406</v>
      </c>
      <c r="F3774" t="s">
        <v>4942</v>
      </c>
      <c r="G3774" t="s">
        <v>4460</v>
      </c>
    </row>
    <row r="3775" spans="1:7" x14ac:dyDescent="0.25">
      <c r="A3775" t="s">
        <v>4399</v>
      </c>
      <c r="B3775">
        <v>2</v>
      </c>
      <c r="C3775" t="s">
        <v>4454</v>
      </c>
      <c r="D3775" t="s">
        <v>4406</v>
      </c>
      <c r="E3775" t="s">
        <v>4406</v>
      </c>
      <c r="F3775" t="s">
        <v>4406</v>
      </c>
      <c r="G3775" t="s">
        <v>4406</v>
      </c>
    </row>
    <row r="3776" spans="1:7" x14ac:dyDescent="0.25">
      <c r="A3776" t="s">
        <v>1296</v>
      </c>
      <c r="B3776">
        <v>297</v>
      </c>
      <c r="C3776" t="s">
        <v>4886</v>
      </c>
      <c r="D3776" t="s">
        <v>4744</v>
      </c>
      <c r="E3776" t="s">
        <v>4808</v>
      </c>
      <c r="F3776" t="s">
        <v>4591</v>
      </c>
      <c r="G3776" t="s">
        <v>5332</v>
      </c>
    </row>
    <row r="3778" spans="1:7" x14ac:dyDescent="0.25">
      <c r="A3778" t="s">
        <v>6024</v>
      </c>
    </row>
    <row r="3779" spans="1:7" x14ac:dyDescent="0.25">
      <c r="A3779" t="s">
        <v>910</v>
      </c>
      <c r="B3779" t="s">
        <v>4394</v>
      </c>
      <c r="C3779" t="s">
        <v>5359</v>
      </c>
      <c r="D3779" t="s">
        <v>5360</v>
      </c>
      <c r="E3779" t="s">
        <v>4737</v>
      </c>
      <c r="F3779" t="s">
        <v>5361</v>
      </c>
      <c r="G3779" t="s">
        <v>5362</v>
      </c>
    </row>
    <row r="3780" spans="1:7" x14ac:dyDescent="0.25">
      <c r="A3780" t="s">
        <v>1371</v>
      </c>
      <c r="B3780">
        <v>42</v>
      </c>
      <c r="C3780" t="s">
        <v>4585</v>
      </c>
      <c r="D3780" t="s">
        <v>4406</v>
      </c>
      <c r="E3780" t="s">
        <v>4406</v>
      </c>
      <c r="F3780" t="s">
        <v>4604</v>
      </c>
      <c r="G3780" t="s">
        <v>4411</v>
      </c>
    </row>
    <row r="3781" spans="1:7" x14ac:dyDescent="0.25">
      <c r="A3781" t="s">
        <v>1452</v>
      </c>
      <c r="B3781">
        <v>18</v>
      </c>
      <c r="C3781" t="s">
        <v>4465</v>
      </c>
      <c r="D3781" t="s">
        <v>4571</v>
      </c>
      <c r="E3781" t="s">
        <v>4406</v>
      </c>
      <c r="F3781" t="s">
        <v>4406</v>
      </c>
      <c r="G3781" t="s">
        <v>5214</v>
      </c>
    </row>
    <row r="3782" spans="1:7" x14ac:dyDescent="0.25">
      <c r="A3782" t="s">
        <v>5560</v>
      </c>
      <c r="B3782">
        <v>59</v>
      </c>
      <c r="C3782" t="s">
        <v>4540</v>
      </c>
      <c r="D3782" t="s">
        <v>4406</v>
      </c>
      <c r="E3782" t="s">
        <v>4406</v>
      </c>
      <c r="F3782" t="s">
        <v>4933</v>
      </c>
      <c r="G3782" t="s">
        <v>4503</v>
      </c>
    </row>
    <row r="3783" spans="1:7" x14ac:dyDescent="0.25">
      <c r="A3783" t="s">
        <v>1424</v>
      </c>
      <c r="B3783">
        <v>120</v>
      </c>
      <c r="C3783" t="s">
        <v>5363</v>
      </c>
      <c r="D3783" t="s">
        <v>4419</v>
      </c>
      <c r="E3783" t="s">
        <v>4417</v>
      </c>
      <c r="F3783" t="s">
        <v>4867</v>
      </c>
      <c r="G3783" t="s">
        <v>4451</v>
      </c>
    </row>
    <row r="3784" spans="1:7" x14ac:dyDescent="0.25">
      <c r="A3784" t="s">
        <v>1340</v>
      </c>
      <c r="B3784">
        <v>31</v>
      </c>
      <c r="C3784" t="s">
        <v>4642</v>
      </c>
      <c r="D3784" t="s">
        <v>4670</v>
      </c>
      <c r="E3784" t="s">
        <v>4406</v>
      </c>
      <c r="F3784" t="s">
        <v>4564</v>
      </c>
      <c r="G3784" t="s">
        <v>5071</v>
      </c>
    </row>
    <row r="3785" spans="1:7" x14ac:dyDescent="0.25">
      <c r="A3785" t="s">
        <v>5561</v>
      </c>
      <c r="B3785">
        <v>8</v>
      </c>
      <c r="C3785" t="s">
        <v>4468</v>
      </c>
      <c r="D3785" t="s">
        <v>4479</v>
      </c>
      <c r="E3785" t="s">
        <v>4406</v>
      </c>
      <c r="F3785" t="s">
        <v>4406</v>
      </c>
      <c r="G3785" t="s">
        <v>4481</v>
      </c>
    </row>
    <row r="3786" spans="1:7" x14ac:dyDescent="0.25">
      <c r="A3786" t="s">
        <v>1416</v>
      </c>
      <c r="B3786">
        <v>19</v>
      </c>
      <c r="C3786" t="s">
        <v>4867</v>
      </c>
      <c r="D3786" t="s">
        <v>4406</v>
      </c>
      <c r="E3786" t="s">
        <v>4406</v>
      </c>
      <c r="F3786" t="s">
        <v>4406</v>
      </c>
      <c r="G3786" t="s">
        <v>5072</v>
      </c>
    </row>
    <row r="3787" spans="1:7" x14ac:dyDescent="0.25">
      <c r="A3787" t="s">
        <v>1296</v>
      </c>
      <c r="B3787">
        <v>297</v>
      </c>
      <c r="C3787" t="s">
        <v>4886</v>
      </c>
      <c r="D3787" t="s">
        <v>4744</v>
      </c>
      <c r="E3787" t="s">
        <v>4808</v>
      </c>
      <c r="F3787" t="s">
        <v>4591</v>
      </c>
      <c r="G3787" t="s">
        <v>5332</v>
      </c>
    </row>
    <row r="3789" spans="1:7" x14ac:dyDescent="0.25">
      <c r="A3789" t="s">
        <v>6025</v>
      </c>
    </row>
    <row r="3790" spans="1:7" x14ac:dyDescent="0.25">
      <c r="A3790" t="s">
        <v>5481</v>
      </c>
      <c r="B3790" t="s">
        <v>4394</v>
      </c>
      <c r="C3790" t="s">
        <v>5359</v>
      </c>
      <c r="D3790" t="s">
        <v>5360</v>
      </c>
      <c r="E3790" t="s">
        <v>4737</v>
      </c>
      <c r="F3790" t="s">
        <v>5361</v>
      </c>
      <c r="G3790" t="s">
        <v>5362</v>
      </c>
    </row>
    <row r="3791" spans="1:7" x14ac:dyDescent="0.25">
      <c r="A3791" t="s">
        <v>4438</v>
      </c>
      <c r="B3791">
        <v>129</v>
      </c>
      <c r="C3791" t="s">
        <v>4611</v>
      </c>
      <c r="D3791" t="s">
        <v>4417</v>
      </c>
      <c r="E3791" t="s">
        <v>4406</v>
      </c>
      <c r="F3791" t="s">
        <v>4861</v>
      </c>
      <c r="G3791" t="s">
        <v>5155</v>
      </c>
    </row>
    <row r="3792" spans="1:7" x14ac:dyDescent="0.25">
      <c r="A3792" t="s">
        <v>4439</v>
      </c>
      <c r="B3792">
        <v>93</v>
      </c>
      <c r="C3792" t="s">
        <v>5103</v>
      </c>
      <c r="D3792" t="s">
        <v>4713</v>
      </c>
      <c r="E3792" t="s">
        <v>4406</v>
      </c>
      <c r="F3792" t="s">
        <v>4561</v>
      </c>
      <c r="G3792" t="s">
        <v>4561</v>
      </c>
    </row>
    <row r="3793" spans="1:7" x14ac:dyDescent="0.25">
      <c r="A3793" t="s">
        <v>1400</v>
      </c>
      <c r="B3793">
        <v>5</v>
      </c>
      <c r="C3793" t="s">
        <v>4457</v>
      </c>
      <c r="D3793" t="s">
        <v>4406</v>
      </c>
      <c r="E3793" t="s">
        <v>4406</v>
      </c>
      <c r="F3793" t="s">
        <v>4458</v>
      </c>
      <c r="G3793" t="s">
        <v>4406</v>
      </c>
    </row>
    <row r="3794" spans="1:7" x14ac:dyDescent="0.25">
      <c r="A3794" t="s">
        <v>5566</v>
      </c>
      <c r="B3794">
        <v>36</v>
      </c>
      <c r="C3794" t="s">
        <v>4465</v>
      </c>
      <c r="D3794" t="s">
        <v>4571</v>
      </c>
      <c r="E3794" t="s">
        <v>4406</v>
      </c>
      <c r="F3794" t="s">
        <v>4943</v>
      </c>
      <c r="G3794" t="s">
        <v>4648</v>
      </c>
    </row>
    <row r="3795" spans="1:7" x14ac:dyDescent="0.25">
      <c r="A3795" t="s">
        <v>1372</v>
      </c>
      <c r="B3795">
        <v>34</v>
      </c>
      <c r="C3795" t="s">
        <v>5227</v>
      </c>
      <c r="D3795" t="s">
        <v>4406</v>
      </c>
      <c r="E3795" t="s">
        <v>4697</v>
      </c>
      <c r="F3795" t="s">
        <v>4498</v>
      </c>
      <c r="G3795" t="s">
        <v>4619</v>
      </c>
    </row>
    <row r="3796" spans="1:7" x14ac:dyDescent="0.25">
      <c r="A3796" t="s">
        <v>1296</v>
      </c>
      <c r="B3796">
        <v>297</v>
      </c>
      <c r="C3796" t="s">
        <v>4886</v>
      </c>
      <c r="D3796" t="s">
        <v>4744</v>
      </c>
      <c r="E3796" t="s">
        <v>4808</v>
      </c>
      <c r="F3796" t="s">
        <v>4591</v>
      </c>
      <c r="G3796" t="s">
        <v>5332</v>
      </c>
    </row>
    <row r="3798" spans="1:7" x14ac:dyDescent="0.25">
      <c r="A3798" t="s">
        <v>6026</v>
      </c>
    </row>
    <row r="3799" spans="1:7" x14ac:dyDescent="0.25">
      <c r="A3799" t="s">
        <v>5477</v>
      </c>
      <c r="B3799" t="s">
        <v>4394</v>
      </c>
      <c r="C3799" t="s">
        <v>5359</v>
      </c>
      <c r="D3799" t="s">
        <v>5360</v>
      </c>
      <c r="E3799" t="s">
        <v>4737</v>
      </c>
      <c r="F3799" t="s">
        <v>5361</v>
      </c>
      <c r="G3799" t="s">
        <v>5362</v>
      </c>
    </row>
    <row r="3800" spans="1:7" x14ac:dyDescent="0.25">
      <c r="A3800" t="s">
        <v>4438</v>
      </c>
      <c r="B3800">
        <v>95</v>
      </c>
      <c r="C3800" t="s">
        <v>4528</v>
      </c>
      <c r="D3800" t="s">
        <v>4406</v>
      </c>
      <c r="E3800" t="s">
        <v>4406</v>
      </c>
      <c r="F3800" t="s">
        <v>4873</v>
      </c>
      <c r="G3800" t="s">
        <v>5178</v>
      </c>
    </row>
    <row r="3801" spans="1:7" x14ac:dyDescent="0.25">
      <c r="A3801" t="s">
        <v>4439</v>
      </c>
      <c r="B3801">
        <v>128</v>
      </c>
      <c r="C3801" t="s">
        <v>4544</v>
      </c>
      <c r="D3801" t="s">
        <v>4753</v>
      </c>
      <c r="E3801" t="s">
        <v>4406</v>
      </c>
      <c r="F3801" t="s">
        <v>4573</v>
      </c>
      <c r="G3801" t="s">
        <v>4726</v>
      </c>
    </row>
    <row r="3802" spans="1:7" x14ac:dyDescent="0.25">
      <c r="A3802" t="s">
        <v>1400</v>
      </c>
      <c r="B3802">
        <v>7</v>
      </c>
      <c r="C3802" t="s">
        <v>4447</v>
      </c>
      <c r="D3802" t="s">
        <v>4406</v>
      </c>
      <c r="E3802" t="s">
        <v>4406</v>
      </c>
      <c r="F3802" t="s">
        <v>4447</v>
      </c>
      <c r="G3802" t="s">
        <v>4522</v>
      </c>
    </row>
    <row r="3803" spans="1:7" x14ac:dyDescent="0.25">
      <c r="A3803" t="s">
        <v>5566</v>
      </c>
      <c r="B3803">
        <v>36</v>
      </c>
      <c r="C3803" t="s">
        <v>4465</v>
      </c>
      <c r="D3803" t="s">
        <v>4571</v>
      </c>
      <c r="E3803" t="s">
        <v>4406</v>
      </c>
      <c r="F3803" t="s">
        <v>4943</v>
      </c>
      <c r="G3803" t="s">
        <v>4648</v>
      </c>
    </row>
    <row r="3804" spans="1:7" x14ac:dyDescent="0.25">
      <c r="A3804" t="s">
        <v>1426</v>
      </c>
      <c r="B3804">
        <v>1</v>
      </c>
      <c r="C3804" t="s">
        <v>4406</v>
      </c>
      <c r="D3804" t="s">
        <v>4406</v>
      </c>
      <c r="E3804" t="s">
        <v>4406</v>
      </c>
      <c r="F3804" t="s">
        <v>4454</v>
      </c>
      <c r="G3804" t="s">
        <v>4406</v>
      </c>
    </row>
    <row r="3805" spans="1:7" x14ac:dyDescent="0.25">
      <c r="A3805" t="s">
        <v>1372</v>
      </c>
      <c r="B3805">
        <v>30</v>
      </c>
      <c r="C3805" t="s">
        <v>4512</v>
      </c>
      <c r="D3805" t="s">
        <v>4651</v>
      </c>
      <c r="E3805" t="s">
        <v>4651</v>
      </c>
      <c r="F3805" t="s">
        <v>4489</v>
      </c>
      <c r="G3805" t="s">
        <v>4472</v>
      </c>
    </row>
    <row r="3806" spans="1:7" x14ac:dyDescent="0.25">
      <c r="A3806" t="s">
        <v>1296</v>
      </c>
      <c r="B3806">
        <v>297</v>
      </c>
      <c r="C3806" t="s">
        <v>4886</v>
      </c>
      <c r="D3806" t="s">
        <v>4744</v>
      </c>
      <c r="E3806" t="s">
        <v>4808</v>
      </c>
      <c r="F3806" t="s">
        <v>4591</v>
      </c>
      <c r="G3806" t="s">
        <v>5332</v>
      </c>
    </row>
    <row r="3808" spans="1:7" x14ac:dyDescent="0.25">
      <c r="A3808" t="s">
        <v>6027</v>
      </c>
    </row>
    <row r="3809" spans="1:7" x14ac:dyDescent="0.25">
      <c r="A3809" t="s">
        <v>911</v>
      </c>
      <c r="B3809" t="s">
        <v>4394</v>
      </c>
      <c r="C3809" t="s">
        <v>5359</v>
      </c>
      <c r="D3809" t="s">
        <v>5360</v>
      </c>
      <c r="E3809" t="s">
        <v>4737</v>
      </c>
      <c r="F3809" t="s">
        <v>5361</v>
      </c>
      <c r="G3809" t="s">
        <v>5362</v>
      </c>
    </row>
    <row r="3810" spans="1:7" x14ac:dyDescent="0.25">
      <c r="A3810" t="s">
        <v>4438</v>
      </c>
      <c r="B3810">
        <v>122</v>
      </c>
      <c r="C3810" t="s">
        <v>4853</v>
      </c>
      <c r="D3810" t="s">
        <v>4417</v>
      </c>
      <c r="E3810" t="s">
        <v>4406</v>
      </c>
      <c r="F3810" t="s">
        <v>4628</v>
      </c>
      <c r="G3810" t="s">
        <v>4711</v>
      </c>
    </row>
    <row r="3811" spans="1:7" x14ac:dyDescent="0.25">
      <c r="A3811" t="s">
        <v>4439</v>
      </c>
      <c r="B3811">
        <v>79</v>
      </c>
      <c r="C3811" t="s">
        <v>5203</v>
      </c>
      <c r="D3811" t="s">
        <v>4720</v>
      </c>
      <c r="E3811" t="s">
        <v>4406</v>
      </c>
      <c r="F3811" t="s">
        <v>4959</v>
      </c>
      <c r="G3811" t="s">
        <v>5179</v>
      </c>
    </row>
    <row r="3812" spans="1:7" x14ac:dyDescent="0.25">
      <c r="A3812" t="s">
        <v>1400</v>
      </c>
      <c r="B3812">
        <v>19</v>
      </c>
      <c r="C3812" t="s">
        <v>4528</v>
      </c>
      <c r="D3812" t="s">
        <v>4406</v>
      </c>
      <c r="E3812" t="s">
        <v>4406</v>
      </c>
      <c r="F3812" t="s">
        <v>4504</v>
      </c>
      <c r="G3812" t="s">
        <v>4524</v>
      </c>
    </row>
    <row r="3813" spans="1:7" x14ac:dyDescent="0.25">
      <c r="A3813" t="s">
        <v>1340</v>
      </c>
      <c r="B3813">
        <v>31</v>
      </c>
      <c r="C3813" t="s">
        <v>4642</v>
      </c>
      <c r="D3813" t="s">
        <v>4670</v>
      </c>
      <c r="E3813" t="s">
        <v>4406</v>
      </c>
      <c r="F3813" t="s">
        <v>4564</v>
      </c>
      <c r="G3813" t="s">
        <v>5071</v>
      </c>
    </row>
    <row r="3814" spans="1:7" x14ac:dyDescent="0.25">
      <c r="A3814" t="s">
        <v>1426</v>
      </c>
      <c r="B3814">
        <v>8</v>
      </c>
      <c r="C3814" t="s">
        <v>4468</v>
      </c>
      <c r="D3814" t="s">
        <v>4406</v>
      </c>
      <c r="E3814" t="s">
        <v>4406</v>
      </c>
      <c r="F3814" t="s">
        <v>4479</v>
      </c>
      <c r="G3814" t="s">
        <v>4481</v>
      </c>
    </row>
    <row r="3815" spans="1:7" x14ac:dyDescent="0.25">
      <c r="A3815" t="s">
        <v>1372</v>
      </c>
      <c r="B3815">
        <v>38</v>
      </c>
      <c r="C3815" t="s">
        <v>4461</v>
      </c>
      <c r="D3815" t="s">
        <v>4406</v>
      </c>
      <c r="E3815" t="s">
        <v>4864</v>
      </c>
      <c r="F3815" t="s">
        <v>4715</v>
      </c>
      <c r="G3815" t="s">
        <v>4504</v>
      </c>
    </row>
    <row r="3816" spans="1:7" x14ac:dyDescent="0.25">
      <c r="A3816" t="s">
        <v>1296</v>
      </c>
      <c r="B3816">
        <v>297</v>
      </c>
      <c r="C3816" t="s">
        <v>4886</v>
      </c>
      <c r="D3816" t="s">
        <v>4744</v>
      </c>
      <c r="E3816" t="s">
        <v>4808</v>
      </c>
      <c r="F3816" t="s">
        <v>4591</v>
      </c>
      <c r="G3816" t="s">
        <v>5332</v>
      </c>
    </row>
    <row r="3818" spans="1:7" x14ac:dyDescent="0.25">
      <c r="A3818" t="s">
        <v>6028</v>
      </c>
    </row>
    <row r="3819" spans="1:7" x14ac:dyDescent="0.25">
      <c r="A3819" t="s">
        <v>912</v>
      </c>
      <c r="B3819" t="s">
        <v>4394</v>
      </c>
      <c r="C3819" t="s">
        <v>5359</v>
      </c>
      <c r="D3819" t="s">
        <v>5360</v>
      </c>
      <c r="E3819" t="s">
        <v>4737</v>
      </c>
      <c r="F3819" t="s">
        <v>5361</v>
      </c>
      <c r="G3819" t="s">
        <v>5362</v>
      </c>
    </row>
    <row r="3820" spans="1:7" x14ac:dyDescent="0.25">
      <c r="A3820" t="s">
        <v>4438</v>
      </c>
      <c r="B3820">
        <v>80</v>
      </c>
      <c r="C3820" t="s">
        <v>4555</v>
      </c>
      <c r="D3820" t="s">
        <v>4659</v>
      </c>
      <c r="E3820" t="s">
        <v>4406</v>
      </c>
      <c r="F3820" t="s">
        <v>4869</v>
      </c>
      <c r="G3820" t="s">
        <v>5158</v>
      </c>
    </row>
    <row r="3821" spans="1:7" x14ac:dyDescent="0.25">
      <c r="A3821" t="s">
        <v>4439</v>
      </c>
      <c r="B3821">
        <v>106</v>
      </c>
      <c r="C3821" t="s">
        <v>4891</v>
      </c>
      <c r="D3821" t="s">
        <v>4952</v>
      </c>
      <c r="E3821" t="s">
        <v>4406</v>
      </c>
      <c r="F3821" t="s">
        <v>4715</v>
      </c>
      <c r="G3821" t="s">
        <v>4485</v>
      </c>
    </row>
    <row r="3822" spans="1:7" x14ac:dyDescent="0.25">
      <c r="A3822" t="s">
        <v>1400</v>
      </c>
      <c r="B3822">
        <v>30</v>
      </c>
      <c r="C3822" t="s">
        <v>4652</v>
      </c>
      <c r="D3822" t="s">
        <v>4651</v>
      </c>
      <c r="E3822" t="s">
        <v>4406</v>
      </c>
      <c r="F3822" t="s">
        <v>4596</v>
      </c>
      <c r="G3822" t="s">
        <v>5039</v>
      </c>
    </row>
    <row r="3823" spans="1:7" x14ac:dyDescent="0.25">
      <c r="A3823" t="s">
        <v>1340</v>
      </c>
      <c r="B3823">
        <v>31</v>
      </c>
      <c r="C3823" t="s">
        <v>4642</v>
      </c>
      <c r="D3823" t="s">
        <v>4670</v>
      </c>
      <c r="E3823" t="s">
        <v>4406</v>
      </c>
      <c r="F3823" t="s">
        <v>4564</v>
      </c>
      <c r="G3823" t="s">
        <v>5071</v>
      </c>
    </row>
    <row r="3824" spans="1:7" x14ac:dyDescent="0.25">
      <c r="A3824" t="s">
        <v>1426</v>
      </c>
      <c r="B3824">
        <v>15</v>
      </c>
      <c r="C3824" t="s">
        <v>5106</v>
      </c>
      <c r="D3824" t="s">
        <v>4406</v>
      </c>
      <c r="E3824" t="s">
        <v>4406</v>
      </c>
      <c r="F3824" t="s">
        <v>4472</v>
      </c>
      <c r="G3824" t="s">
        <v>4465</v>
      </c>
    </row>
    <row r="3825" spans="1:7" x14ac:dyDescent="0.25">
      <c r="A3825" t="s">
        <v>1372</v>
      </c>
      <c r="B3825">
        <v>35</v>
      </c>
      <c r="C3825" t="s">
        <v>4496</v>
      </c>
      <c r="D3825" t="s">
        <v>4406</v>
      </c>
      <c r="E3825" t="s">
        <v>4697</v>
      </c>
      <c r="F3825" t="s">
        <v>4612</v>
      </c>
      <c r="G3825" t="s">
        <v>4870</v>
      </c>
    </row>
    <row r="3826" spans="1:7" x14ac:dyDescent="0.25">
      <c r="A3826" t="s">
        <v>1296</v>
      </c>
      <c r="B3826">
        <v>297</v>
      </c>
      <c r="C3826" t="s">
        <v>4886</v>
      </c>
      <c r="D3826" t="s">
        <v>4744</v>
      </c>
      <c r="E3826" t="s">
        <v>4808</v>
      </c>
      <c r="F3826" t="s">
        <v>4591</v>
      </c>
      <c r="G3826" t="s">
        <v>5332</v>
      </c>
    </row>
    <row r="3828" spans="1:7" x14ac:dyDescent="0.25">
      <c r="A3828" t="s">
        <v>6029</v>
      </c>
    </row>
    <row r="3829" spans="1:7" x14ac:dyDescent="0.25">
      <c r="A3829" t="s">
        <v>920</v>
      </c>
      <c r="B3829" t="s">
        <v>4394</v>
      </c>
      <c r="C3829" t="s">
        <v>5359</v>
      </c>
      <c r="D3829" t="s">
        <v>5360</v>
      </c>
      <c r="E3829" t="s">
        <v>4737</v>
      </c>
      <c r="F3829" t="s">
        <v>5361</v>
      </c>
      <c r="G3829" t="s">
        <v>5362</v>
      </c>
    </row>
    <row r="3830" spans="1:7" x14ac:dyDescent="0.25">
      <c r="A3830" t="s">
        <v>1343</v>
      </c>
      <c r="B3830">
        <v>170</v>
      </c>
      <c r="C3830" t="s">
        <v>4866</v>
      </c>
      <c r="D3830" t="s">
        <v>4757</v>
      </c>
      <c r="E3830" t="s">
        <v>4413</v>
      </c>
      <c r="F3830" t="s">
        <v>4653</v>
      </c>
      <c r="G3830" t="s">
        <v>4533</v>
      </c>
    </row>
    <row r="3831" spans="1:7" x14ac:dyDescent="0.25">
      <c r="A3831" t="s">
        <v>1345</v>
      </c>
      <c r="B3831">
        <v>75</v>
      </c>
      <c r="C3831" t="s">
        <v>5107</v>
      </c>
      <c r="D3831" t="s">
        <v>4406</v>
      </c>
      <c r="E3831" t="s">
        <v>4406</v>
      </c>
      <c r="F3831" t="s">
        <v>4660</v>
      </c>
      <c r="G3831" t="s">
        <v>4508</v>
      </c>
    </row>
    <row r="3832" spans="1:7" x14ac:dyDescent="0.25">
      <c r="A3832" t="s">
        <v>1466</v>
      </c>
      <c r="B3832">
        <v>50</v>
      </c>
      <c r="C3832" t="s">
        <v>4928</v>
      </c>
      <c r="D3832" t="s">
        <v>4406</v>
      </c>
      <c r="E3832" t="s">
        <v>4406</v>
      </c>
      <c r="F3832" t="s">
        <v>4503</v>
      </c>
      <c r="G3832" t="s">
        <v>5174</v>
      </c>
    </row>
    <row r="3833" spans="1:7" x14ac:dyDescent="0.25">
      <c r="A3833" t="s">
        <v>5554</v>
      </c>
      <c r="B3833">
        <v>2</v>
      </c>
      <c r="C3833" t="s">
        <v>4454</v>
      </c>
      <c r="D3833" t="s">
        <v>4406</v>
      </c>
      <c r="E3833" t="s">
        <v>4406</v>
      </c>
      <c r="F3833" t="s">
        <v>4406</v>
      </c>
      <c r="G3833" t="s">
        <v>4406</v>
      </c>
    </row>
    <row r="3834" spans="1:7" x14ac:dyDescent="0.25">
      <c r="A3834" t="s">
        <v>1296</v>
      </c>
      <c r="B3834">
        <v>297</v>
      </c>
      <c r="C3834" t="s">
        <v>4886</v>
      </c>
      <c r="D3834" t="s">
        <v>4744</v>
      </c>
      <c r="E3834" t="s">
        <v>4808</v>
      </c>
      <c r="F3834" t="s">
        <v>4591</v>
      </c>
      <c r="G3834" t="s">
        <v>5332</v>
      </c>
    </row>
    <row r="3836" spans="1:7" x14ac:dyDescent="0.25">
      <c r="A3836" t="s">
        <v>6030</v>
      </c>
    </row>
    <row r="3837" spans="1:7" x14ac:dyDescent="0.25">
      <c r="A3837" t="s">
        <v>924</v>
      </c>
      <c r="B3837" t="s">
        <v>4394</v>
      </c>
      <c r="C3837" t="s">
        <v>5359</v>
      </c>
      <c r="D3837" t="s">
        <v>5360</v>
      </c>
      <c r="E3837" t="s">
        <v>4737</v>
      </c>
      <c r="F3837" t="s">
        <v>5361</v>
      </c>
      <c r="G3837" t="s">
        <v>5362</v>
      </c>
    </row>
    <row r="3838" spans="1:7" x14ac:dyDescent="0.25">
      <c r="A3838" t="s">
        <v>1345</v>
      </c>
      <c r="B3838">
        <v>69</v>
      </c>
      <c r="C3838" t="s">
        <v>4679</v>
      </c>
      <c r="D3838" t="s">
        <v>4697</v>
      </c>
      <c r="E3838" t="s">
        <v>4750</v>
      </c>
      <c r="F3838" t="s">
        <v>4591</v>
      </c>
      <c r="G3838" t="s">
        <v>4509</v>
      </c>
    </row>
    <row r="3839" spans="1:7" x14ac:dyDescent="0.25">
      <c r="A3839" t="s">
        <v>1441</v>
      </c>
      <c r="B3839">
        <v>123</v>
      </c>
      <c r="C3839" t="s">
        <v>5213</v>
      </c>
      <c r="D3839" t="s">
        <v>4417</v>
      </c>
      <c r="E3839" t="s">
        <v>4406</v>
      </c>
      <c r="F3839" t="s">
        <v>4663</v>
      </c>
      <c r="G3839" t="s">
        <v>4536</v>
      </c>
    </row>
    <row r="3840" spans="1:7" x14ac:dyDescent="0.25">
      <c r="A3840" t="s">
        <v>1461</v>
      </c>
      <c r="B3840">
        <v>95</v>
      </c>
      <c r="C3840" t="s">
        <v>4886</v>
      </c>
      <c r="D3840" t="s">
        <v>4713</v>
      </c>
      <c r="E3840" t="s">
        <v>4406</v>
      </c>
      <c r="F3840" t="s">
        <v>4867</v>
      </c>
      <c r="G3840" t="s">
        <v>4490</v>
      </c>
    </row>
    <row r="3841" spans="1:7" x14ac:dyDescent="0.25">
      <c r="A3841" t="s">
        <v>5554</v>
      </c>
      <c r="B3841">
        <v>10</v>
      </c>
      <c r="C3841" t="s">
        <v>4458</v>
      </c>
      <c r="D3841" t="s">
        <v>4406</v>
      </c>
      <c r="E3841" t="s">
        <v>4406</v>
      </c>
      <c r="F3841" t="s">
        <v>4472</v>
      </c>
      <c r="G3841" t="s">
        <v>4458</v>
      </c>
    </row>
    <row r="3842" spans="1:7" x14ac:dyDescent="0.25">
      <c r="A3842" t="s">
        <v>1296</v>
      </c>
      <c r="B3842">
        <v>297</v>
      </c>
      <c r="C3842" t="s">
        <v>4886</v>
      </c>
      <c r="D3842" t="s">
        <v>4744</v>
      </c>
      <c r="E3842" t="s">
        <v>4808</v>
      </c>
      <c r="F3842" t="s">
        <v>4591</v>
      </c>
      <c r="G3842" t="s">
        <v>5332</v>
      </c>
    </row>
    <row r="3844" spans="1:7" x14ac:dyDescent="0.25">
      <c r="A3844" t="s">
        <v>6031</v>
      </c>
    </row>
    <row r="3845" spans="1:7" x14ac:dyDescent="0.25">
      <c r="A3845" t="s">
        <v>903</v>
      </c>
      <c r="B3845" t="s">
        <v>4394</v>
      </c>
      <c r="C3845" t="s">
        <v>5359</v>
      </c>
      <c r="D3845" t="s">
        <v>5360</v>
      </c>
      <c r="E3845" t="s">
        <v>4737</v>
      </c>
      <c r="F3845" t="s">
        <v>5361</v>
      </c>
      <c r="G3845" t="s">
        <v>5362</v>
      </c>
    </row>
    <row r="3846" spans="1:7" x14ac:dyDescent="0.25">
      <c r="A3846" t="s">
        <v>70</v>
      </c>
      <c r="B3846">
        <v>85</v>
      </c>
      <c r="C3846" t="s">
        <v>4457</v>
      </c>
      <c r="D3846" t="s">
        <v>4406</v>
      </c>
      <c r="E3846" t="s">
        <v>4406</v>
      </c>
      <c r="F3846" t="s">
        <v>4617</v>
      </c>
      <c r="G3846" t="s">
        <v>4704</v>
      </c>
    </row>
    <row r="3847" spans="1:7" x14ac:dyDescent="0.25">
      <c r="A3847" t="s">
        <v>71</v>
      </c>
      <c r="B3847">
        <v>212</v>
      </c>
      <c r="C3847" t="s">
        <v>4672</v>
      </c>
      <c r="D3847" t="s">
        <v>4649</v>
      </c>
      <c r="E3847" t="s">
        <v>4404</v>
      </c>
      <c r="F3847" t="s">
        <v>4543</v>
      </c>
      <c r="G3847" t="s">
        <v>4536</v>
      </c>
    </row>
    <row r="3848" spans="1:7" x14ac:dyDescent="0.25">
      <c r="A3848" t="s">
        <v>1296</v>
      </c>
      <c r="B3848">
        <v>297</v>
      </c>
      <c r="C3848" t="s">
        <v>4886</v>
      </c>
      <c r="D3848" t="s">
        <v>4744</v>
      </c>
      <c r="E3848" t="s">
        <v>4808</v>
      </c>
      <c r="F3848" t="s">
        <v>4591</v>
      </c>
      <c r="G3848" t="s">
        <v>5332</v>
      </c>
    </row>
    <row r="3850" spans="1:7" x14ac:dyDescent="0.25">
      <c r="A3850" t="s">
        <v>6032</v>
      </c>
    </row>
    <row r="3851" spans="1:7" x14ac:dyDescent="0.25">
      <c r="A3851" t="s">
        <v>1297</v>
      </c>
      <c r="B3851" t="s">
        <v>4394</v>
      </c>
      <c r="C3851" t="s">
        <v>5359</v>
      </c>
      <c r="D3851" t="s">
        <v>5360</v>
      </c>
      <c r="E3851" t="s">
        <v>5361</v>
      </c>
      <c r="F3851" t="s">
        <v>5362</v>
      </c>
    </row>
    <row r="3852" spans="1:7" x14ac:dyDescent="0.25">
      <c r="A3852" t="s">
        <v>5549</v>
      </c>
      <c r="B3852">
        <v>198</v>
      </c>
      <c r="C3852" t="s">
        <v>4927</v>
      </c>
      <c r="D3852" t="s">
        <v>4404</v>
      </c>
      <c r="E3852" t="s">
        <v>4852</v>
      </c>
      <c r="F3852" t="s">
        <v>4570</v>
      </c>
    </row>
    <row r="3853" spans="1:7" x14ac:dyDescent="0.25">
      <c r="A3853" t="s">
        <v>1397</v>
      </c>
      <c r="B3853">
        <v>99</v>
      </c>
      <c r="C3853" t="s">
        <v>5327</v>
      </c>
      <c r="D3853" t="s">
        <v>4402</v>
      </c>
      <c r="E3853" t="s">
        <v>4501</v>
      </c>
      <c r="F3853" t="s">
        <v>4625</v>
      </c>
    </row>
    <row r="3854" spans="1:7" x14ac:dyDescent="0.25">
      <c r="A3854" t="s">
        <v>1296</v>
      </c>
      <c r="B3854">
        <v>297</v>
      </c>
      <c r="C3854" t="s">
        <v>4560</v>
      </c>
      <c r="D3854" t="s">
        <v>4410</v>
      </c>
      <c r="E3854" t="s">
        <v>4867</v>
      </c>
      <c r="F3854" t="s">
        <v>4644</v>
      </c>
    </row>
    <row r="3856" spans="1:7" x14ac:dyDescent="0.25">
      <c r="A3856" t="s">
        <v>6033</v>
      </c>
    </row>
    <row r="3857" spans="1:6" x14ac:dyDescent="0.25">
      <c r="A3857" t="s">
        <v>905</v>
      </c>
      <c r="B3857" t="s">
        <v>4394</v>
      </c>
      <c r="C3857" t="s">
        <v>5359</v>
      </c>
      <c r="D3857" t="s">
        <v>5360</v>
      </c>
      <c r="E3857" t="s">
        <v>5361</v>
      </c>
      <c r="F3857" t="s">
        <v>5362</v>
      </c>
    </row>
    <row r="3858" spans="1:6" x14ac:dyDescent="0.25">
      <c r="A3858" t="s">
        <v>4844</v>
      </c>
      <c r="B3858">
        <v>36</v>
      </c>
      <c r="C3858" t="s">
        <v>4793</v>
      </c>
      <c r="D3858" t="s">
        <v>4406</v>
      </c>
      <c r="E3858" t="s">
        <v>4676</v>
      </c>
      <c r="F3858" t="s">
        <v>4859</v>
      </c>
    </row>
    <row r="3859" spans="1:6" x14ac:dyDescent="0.25">
      <c r="A3859" t="s">
        <v>4845</v>
      </c>
      <c r="B3859">
        <v>230</v>
      </c>
      <c r="C3859" t="s">
        <v>4866</v>
      </c>
      <c r="D3859" t="s">
        <v>4902</v>
      </c>
      <c r="E3859" t="s">
        <v>4522</v>
      </c>
      <c r="F3859" t="s">
        <v>5468</v>
      </c>
    </row>
    <row r="3860" spans="1:6" x14ac:dyDescent="0.25">
      <c r="A3860" t="s">
        <v>4846</v>
      </c>
      <c r="B3860">
        <v>31</v>
      </c>
      <c r="C3860" t="s">
        <v>4862</v>
      </c>
      <c r="D3860" t="s">
        <v>4406</v>
      </c>
      <c r="E3860" t="s">
        <v>4862</v>
      </c>
      <c r="F3860" t="s">
        <v>4642</v>
      </c>
    </row>
    <row r="3861" spans="1:6" x14ac:dyDescent="0.25">
      <c r="A3861" t="s">
        <v>1296</v>
      </c>
      <c r="B3861">
        <v>297</v>
      </c>
      <c r="C3861" t="s">
        <v>4560</v>
      </c>
      <c r="D3861" t="s">
        <v>4410</v>
      </c>
      <c r="E3861" t="s">
        <v>4867</v>
      </c>
      <c r="F3861" t="s">
        <v>4644</v>
      </c>
    </row>
    <row r="3863" spans="1:6" x14ac:dyDescent="0.25">
      <c r="A3863" t="s">
        <v>6034</v>
      </c>
    </row>
    <row r="3864" spans="1:6" x14ac:dyDescent="0.25">
      <c r="A3864" t="s">
        <v>906</v>
      </c>
      <c r="B3864" t="s">
        <v>4394</v>
      </c>
      <c r="C3864" t="s">
        <v>5359</v>
      </c>
      <c r="D3864" t="s">
        <v>5360</v>
      </c>
      <c r="E3864" t="s">
        <v>5361</v>
      </c>
      <c r="F3864" t="s">
        <v>5362</v>
      </c>
    </row>
    <row r="3865" spans="1:6" x14ac:dyDescent="0.25">
      <c r="A3865" t="s">
        <v>1338</v>
      </c>
      <c r="B3865">
        <v>46</v>
      </c>
      <c r="C3865" t="s">
        <v>4611</v>
      </c>
      <c r="D3865" t="s">
        <v>4406</v>
      </c>
      <c r="E3865" t="s">
        <v>4670</v>
      </c>
      <c r="F3865" t="s">
        <v>4712</v>
      </c>
    </row>
    <row r="3866" spans="1:6" x14ac:dyDescent="0.25">
      <c r="A3866" t="s">
        <v>1370</v>
      </c>
      <c r="B3866">
        <v>33</v>
      </c>
      <c r="C3866" t="s">
        <v>4465</v>
      </c>
      <c r="D3866" t="s">
        <v>4406</v>
      </c>
      <c r="E3866" t="s">
        <v>4453</v>
      </c>
      <c r="F3866" t="s">
        <v>4492</v>
      </c>
    </row>
    <row r="3867" spans="1:6" x14ac:dyDescent="0.25">
      <c r="A3867" t="s">
        <v>1439</v>
      </c>
      <c r="B3867">
        <v>21</v>
      </c>
      <c r="C3867" t="s">
        <v>4497</v>
      </c>
      <c r="D3867" t="s">
        <v>4406</v>
      </c>
      <c r="E3867" t="s">
        <v>4785</v>
      </c>
      <c r="F3867" t="s">
        <v>4447</v>
      </c>
    </row>
    <row r="3868" spans="1:6" x14ac:dyDescent="0.25">
      <c r="A3868" t="s">
        <v>1476</v>
      </c>
      <c r="B3868">
        <v>71</v>
      </c>
      <c r="C3868" t="s">
        <v>5365</v>
      </c>
      <c r="D3868" t="s">
        <v>4406</v>
      </c>
      <c r="E3868" t="s">
        <v>4701</v>
      </c>
      <c r="F3868" t="s">
        <v>4824</v>
      </c>
    </row>
    <row r="3869" spans="1:6" x14ac:dyDescent="0.25">
      <c r="A3869" t="s">
        <v>5476</v>
      </c>
      <c r="B3869">
        <v>6</v>
      </c>
      <c r="C3869" t="s">
        <v>4596</v>
      </c>
      <c r="D3869" t="s">
        <v>4406</v>
      </c>
      <c r="E3869" t="s">
        <v>4465</v>
      </c>
      <c r="F3869" t="s">
        <v>4468</v>
      </c>
    </row>
    <row r="3870" spans="1:6" x14ac:dyDescent="0.25">
      <c r="A3870" t="s">
        <v>1399</v>
      </c>
      <c r="B3870">
        <v>44</v>
      </c>
      <c r="C3870" t="s">
        <v>4452</v>
      </c>
      <c r="D3870" t="s">
        <v>4753</v>
      </c>
      <c r="E3870" t="s">
        <v>4462</v>
      </c>
      <c r="F3870" t="s">
        <v>4726</v>
      </c>
    </row>
    <row r="3871" spans="1:6" x14ac:dyDescent="0.25">
      <c r="A3871" t="s">
        <v>1415</v>
      </c>
      <c r="B3871">
        <v>76</v>
      </c>
      <c r="C3871" t="s">
        <v>4601</v>
      </c>
      <c r="D3871" t="s">
        <v>4659</v>
      </c>
      <c r="E3871" t="s">
        <v>4714</v>
      </c>
      <c r="F3871" t="s">
        <v>5168</v>
      </c>
    </row>
    <row r="3872" spans="1:6" x14ac:dyDescent="0.25">
      <c r="A3872" t="s">
        <v>1296</v>
      </c>
      <c r="B3872">
        <v>297</v>
      </c>
      <c r="C3872" t="s">
        <v>4560</v>
      </c>
      <c r="D3872" t="s">
        <v>4410</v>
      </c>
      <c r="E3872" t="s">
        <v>4867</v>
      </c>
      <c r="F3872" t="s">
        <v>4644</v>
      </c>
    </row>
    <row r="3874" spans="1:6" x14ac:dyDescent="0.25">
      <c r="A3874" t="s">
        <v>6035</v>
      </c>
    </row>
    <row r="3875" spans="1:6" x14ac:dyDescent="0.25">
      <c r="A3875" t="s">
        <v>907</v>
      </c>
      <c r="B3875" t="s">
        <v>4394</v>
      </c>
      <c r="C3875" t="s">
        <v>5359</v>
      </c>
      <c r="D3875" t="s">
        <v>5360</v>
      </c>
      <c r="E3875" t="s">
        <v>5361</v>
      </c>
      <c r="F3875" t="s">
        <v>5362</v>
      </c>
    </row>
    <row r="3876" spans="1:6" x14ac:dyDescent="0.25">
      <c r="A3876" t="s">
        <v>109</v>
      </c>
      <c r="B3876">
        <v>257</v>
      </c>
      <c r="C3876" t="s">
        <v>4853</v>
      </c>
      <c r="D3876" t="s">
        <v>4417</v>
      </c>
      <c r="E3876" t="s">
        <v>4596</v>
      </c>
      <c r="F3876" t="s">
        <v>4644</v>
      </c>
    </row>
    <row r="3877" spans="1:6" x14ac:dyDescent="0.25">
      <c r="A3877" t="s">
        <v>192</v>
      </c>
      <c r="B3877">
        <v>40</v>
      </c>
      <c r="C3877" t="s">
        <v>4840</v>
      </c>
      <c r="D3877" t="s">
        <v>4406</v>
      </c>
      <c r="E3877" t="s">
        <v>4646</v>
      </c>
      <c r="F3877" t="s">
        <v>4644</v>
      </c>
    </row>
    <row r="3878" spans="1:6" x14ac:dyDescent="0.25">
      <c r="A3878" t="s">
        <v>1296</v>
      </c>
      <c r="B3878">
        <v>297</v>
      </c>
      <c r="C3878" t="s">
        <v>4560</v>
      </c>
      <c r="D3878" t="s">
        <v>4410</v>
      </c>
      <c r="E3878" t="s">
        <v>4867</v>
      </c>
      <c r="F3878" t="s">
        <v>4644</v>
      </c>
    </row>
    <row r="3880" spans="1:6" x14ac:dyDescent="0.25">
      <c r="A3880" t="s">
        <v>6036</v>
      </c>
    </row>
    <row r="3881" spans="1:6" x14ac:dyDescent="0.25">
      <c r="A3881" t="s">
        <v>1295</v>
      </c>
      <c r="B3881" t="s">
        <v>4394</v>
      </c>
      <c r="C3881" t="s">
        <v>5359</v>
      </c>
      <c r="D3881" t="s">
        <v>5360</v>
      </c>
      <c r="E3881" t="s">
        <v>5361</v>
      </c>
      <c r="F3881" t="s">
        <v>5362</v>
      </c>
    </row>
    <row r="3882" spans="1:6" x14ac:dyDescent="0.25">
      <c r="A3882" t="s">
        <v>4395</v>
      </c>
      <c r="B3882">
        <v>32</v>
      </c>
      <c r="C3882" t="s">
        <v>4916</v>
      </c>
      <c r="D3882" t="s">
        <v>4406</v>
      </c>
      <c r="E3882" t="s">
        <v>4665</v>
      </c>
      <c r="F3882" t="s">
        <v>4543</v>
      </c>
    </row>
    <row r="3883" spans="1:6" x14ac:dyDescent="0.25">
      <c r="A3883" t="s">
        <v>4396</v>
      </c>
      <c r="B3883">
        <v>169</v>
      </c>
      <c r="C3883" t="s">
        <v>4901</v>
      </c>
      <c r="D3883" t="s">
        <v>4406</v>
      </c>
      <c r="E3883" t="s">
        <v>4943</v>
      </c>
      <c r="F3883" t="s">
        <v>4916</v>
      </c>
    </row>
    <row r="3884" spans="1:6" x14ac:dyDescent="0.25">
      <c r="A3884" t="s">
        <v>4397</v>
      </c>
      <c r="B3884">
        <v>2</v>
      </c>
      <c r="C3884" t="s">
        <v>4406</v>
      </c>
      <c r="D3884" t="s">
        <v>4406</v>
      </c>
      <c r="E3884" t="s">
        <v>4406</v>
      </c>
      <c r="F3884" t="s">
        <v>4454</v>
      </c>
    </row>
    <row r="3885" spans="1:6" x14ac:dyDescent="0.25">
      <c r="A3885" t="s">
        <v>4398</v>
      </c>
      <c r="B3885">
        <v>92</v>
      </c>
      <c r="C3885" t="s">
        <v>5366</v>
      </c>
      <c r="D3885" t="s">
        <v>4581</v>
      </c>
      <c r="E3885" t="s">
        <v>4606</v>
      </c>
      <c r="F3885" t="s">
        <v>4462</v>
      </c>
    </row>
    <row r="3886" spans="1:6" x14ac:dyDescent="0.25">
      <c r="A3886" t="s">
        <v>4399</v>
      </c>
      <c r="B3886">
        <v>2</v>
      </c>
      <c r="C3886" t="s">
        <v>4454</v>
      </c>
      <c r="D3886" t="s">
        <v>4406</v>
      </c>
      <c r="E3886" t="s">
        <v>4406</v>
      </c>
      <c r="F3886" t="s">
        <v>4406</v>
      </c>
    </row>
    <row r="3887" spans="1:6" x14ac:dyDescent="0.25">
      <c r="A3887" t="s">
        <v>1296</v>
      </c>
      <c r="B3887">
        <v>297</v>
      </c>
      <c r="C3887" t="s">
        <v>4560</v>
      </c>
      <c r="D3887" t="s">
        <v>4410</v>
      </c>
      <c r="E3887" t="s">
        <v>4867</v>
      </c>
      <c r="F3887" t="s">
        <v>4644</v>
      </c>
    </row>
    <row r="3889" spans="1:6" x14ac:dyDescent="0.25">
      <c r="A3889" t="s">
        <v>6037</v>
      </c>
    </row>
    <row r="3890" spans="1:6" x14ac:dyDescent="0.25">
      <c r="A3890" t="s">
        <v>910</v>
      </c>
      <c r="B3890" t="s">
        <v>4394</v>
      </c>
      <c r="C3890" t="s">
        <v>5359</v>
      </c>
      <c r="D3890" t="s">
        <v>5360</v>
      </c>
      <c r="E3890" t="s">
        <v>5361</v>
      </c>
      <c r="F3890" t="s">
        <v>5362</v>
      </c>
    </row>
    <row r="3891" spans="1:6" x14ac:dyDescent="0.25">
      <c r="A3891" t="s">
        <v>1371</v>
      </c>
      <c r="B3891">
        <v>42</v>
      </c>
      <c r="C3891" t="s">
        <v>5301</v>
      </c>
      <c r="D3891" t="s">
        <v>4406</v>
      </c>
      <c r="E3891" t="s">
        <v>4785</v>
      </c>
      <c r="F3891" t="s">
        <v>4604</v>
      </c>
    </row>
    <row r="3892" spans="1:6" x14ac:dyDescent="0.25">
      <c r="A3892" t="s">
        <v>1452</v>
      </c>
      <c r="B3892">
        <v>18</v>
      </c>
      <c r="C3892" t="s">
        <v>4482</v>
      </c>
      <c r="D3892" t="s">
        <v>4406</v>
      </c>
      <c r="E3892" t="s">
        <v>4571</v>
      </c>
      <c r="F3892" t="s">
        <v>4469</v>
      </c>
    </row>
    <row r="3893" spans="1:6" x14ac:dyDescent="0.25">
      <c r="A3893" t="s">
        <v>5560</v>
      </c>
      <c r="B3893">
        <v>59</v>
      </c>
      <c r="C3893" t="s">
        <v>5743</v>
      </c>
      <c r="D3893" t="s">
        <v>4406</v>
      </c>
      <c r="E3893" t="s">
        <v>4511</v>
      </c>
      <c r="F3893" t="s">
        <v>4933</v>
      </c>
    </row>
    <row r="3894" spans="1:6" x14ac:dyDescent="0.25">
      <c r="A3894" t="s">
        <v>1424</v>
      </c>
      <c r="B3894">
        <v>120</v>
      </c>
      <c r="C3894" t="s">
        <v>4468</v>
      </c>
      <c r="D3894" t="s">
        <v>4417</v>
      </c>
      <c r="E3894" t="s">
        <v>4467</v>
      </c>
      <c r="F3894" t="s">
        <v>4489</v>
      </c>
    </row>
    <row r="3895" spans="1:6" x14ac:dyDescent="0.25">
      <c r="A3895" t="s">
        <v>1340</v>
      </c>
      <c r="B3895">
        <v>31</v>
      </c>
      <c r="C3895" t="s">
        <v>5111</v>
      </c>
      <c r="D3895" t="s">
        <v>4713</v>
      </c>
      <c r="E3895" t="s">
        <v>4713</v>
      </c>
      <c r="F3895" t="s">
        <v>4608</v>
      </c>
    </row>
    <row r="3896" spans="1:6" x14ac:dyDescent="0.25">
      <c r="A3896" t="s">
        <v>5561</v>
      </c>
      <c r="B3896">
        <v>8</v>
      </c>
      <c r="C3896" t="s">
        <v>4602</v>
      </c>
      <c r="D3896" t="s">
        <v>4406</v>
      </c>
      <c r="E3896" t="s">
        <v>4406</v>
      </c>
      <c r="F3896" t="s">
        <v>4481</v>
      </c>
    </row>
    <row r="3897" spans="1:6" x14ac:dyDescent="0.25">
      <c r="A3897" t="s">
        <v>1416</v>
      </c>
      <c r="B3897">
        <v>19</v>
      </c>
      <c r="C3897" t="s">
        <v>4867</v>
      </c>
      <c r="D3897" t="s">
        <v>4406</v>
      </c>
      <c r="E3897" t="s">
        <v>4406</v>
      </c>
      <c r="F3897" t="s">
        <v>5072</v>
      </c>
    </row>
    <row r="3898" spans="1:6" x14ac:dyDescent="0.25">
      <c r="A3898" t="s">
        <v>1296</v>
      </c>
      <c r="B3898">
        <v>297</v>
      </c>
      <c r="C3898" t="s">
        <v>4560</v>
      </c>
      <c r="D3898" t="s">
        <v>4410</v>
      </c>
      <c r="E3898" t="s">
        <v>4867</v>
      </c>
      <c r="F3898" t="s">
        <v>4644</v>
      </c>
    </row>
    <row r="3900" spans="1:6" x14ac:dyDescent="0.25">
      <c r="A3900" t="s">
        <v>6038</v>
      </c>
    </row>
    <row r="3901" spans="1:6" x14ac:dyDescent="0.25">
      <c r="A3901" t="s">
        <v>5481</v>
      </c>
      <c r="B3901" t="s">
        <v>4394</v>
      </c>
      <c r="C3901" t="s">
        <v>5359</v>
      </c>
      <c r="D3901" t="s">
        <v>5360</v>
      </c>
      <c r="E3901" t="s">
        <v>5361</v>
      </c>
      <c r="F3901" t="s">
        <v>5362</v>
      </c>
    </row>
    <row r="3902" spans="1:6" x14ac:dyDescent="0.25">
      <c r="A3902" t="s">
        <v>4438</v>
      </c>
      <c r="B3902">
        <v>129</v>
      </c>
      <c r="C3902" t="s">
        <v>4611</v>
      </c>
      <c r="D3902" t="s">
        <v>4406</v>
      </c>
      <c r="E3902" t="s">
        <v>4861</v>
      </c>
      <c r="F3902" t="s">
        <v>5104</v>
      </c>
    </row>
    <row r="3903" spans="1:6" x14ac:dyDescent="0.25">
      <c r="A3903" t="s">
        <v>4439</v>
      </c>
      <c r="B3903">
        <v>93</v>
      </c>
      <c r="C3903" t="s">
        <v>4658</v>
      </c>
      <c r="D3903" t="s">
        <v>4825</v>
      </c>
      <c r="E3903" t="s">
        <v>4862</v>
      </c>
      <c r="F3903" t="s">
        <v>5110</v>
      </c>
    </row>
    <row r="3904" spans="1:6" x14ac:dyDescent="0.25">
      <c r="A3904" t="s">
        <v>1400</v>
      </c>
      <c r="B3904">
        <v>5</v>
      </c>
      <c r="C3904" t="s">
        <v>4457</v>
      </c>
      <c r="D3904" t="s">
        <v>4406</v>
      </c>
      <c r="E3904" t="s">
        <v>4458</v>
      </c>
      <c r="F3904" t="s">
        <v>4406</v>
      </c>
    </row>
    <row r="3905" spans="1:6" x14ac:dyDescent="0.25">
      <c r="A3905" t="s">
        <v>5566</v>
      </c>
      <c r="B3905">
        <v>36</v>
      </c>
      <c r="C3905" t="s">
        <v>4702</v>
      </c>
      <c r="D3905" t="s">
        <v>4649</v>
      </c>
      <c r="E3905" t="s">
        <v>4649</v>
      </c>
      <c r="F3905" t="s">
        <v>4648</v>
      </c>
    </row>
    <row r="3906" spans="1:6" x14ac:dyDescent="0.25">
      <c r="A3906" t="s">
        <v>1372</v>
      </c>
      <c r="B3906">
        <v>34</v>
      </c>
      <c r="C3906" t="s">
        <v>5227</v>
      </c>
      <c r="D3906" t="s">
        <v>4406</v>
      </c>
      <c r="E3906" t="s">
        <v>4498</v>
      </c>
      <c r="F3906" t="s">
        <v>4526</v>
      </c>
    </row>
    <row r="3907" spans="1:6" x14ac:dyDescent="0.25">
      <c r="A3907" t="s">
        <v>1296</v>
      </c>
      <c r="B3907">
        <v>297</v>
      </c>
      <c r="C3907" t="s">
        <v>4560</v>
      </c>
      <c r="D3907" t="s">
        <v>4410</v>
      </c>
      <c r="E3907" t="s">
        <v>4867</v>
      </c>
      <c r="F3907" t="s">
        <v>4644</v>
      </c>
    </row>
    <row r="3909" spans="1:6" x14ac:dyDescent="0.25">
      <c r="A3909" t="s">
        <v>6039</v>
      </c>
    </row>
    <row r="3910" spans="1:6" x14ac:dyDescent="0.25">
      <c r="A3910" t="s">
        <v>5477</v>
      </c>
      <c r="B3910" t="s">
        <v>4394</v>
      </c>
      <c r="C3910" t="s">
        <v>5359</v>
      </c>
      <c r="D3910" t="s">
        <v>5360</v>
      </c>
      <c r="E3910" t="s">
        <v>5361</v>
      </c>
      <c r="F3910" t="s">
        <v>5362</v>
      </c>
    </row>
    <row r="3911" spans="1:6" x14ac:dyDescent="0.25">
      <c r="A3911" t="s">
        <v>4438</v>
      </c>
      <c r="B3911">
        <v>95</v>
      </c>
      <c r="C3911" t="s">
        <v>5071</v>
      </c>
      <c r="D3911" t="s">
        <v>4406</v>
      </c>
      <c r="E3911" t="s">
        <v>4675</v>
      </c>
      <c r="F3911" t="s">
        <v>4601</v>
      </c>
    </row>
    <row r="3912" spans="1:6" x14ac:dyDescent="0.25">
      <c r="A3912" t="s">
        <v>4439</v>
      </c>
      <c r="B3912">
        <v>128</v>
      </c>
      <c r="C3912" t="s">
        <v>4484</v>
      </c>
      <c r="D3912" t="s">
        <v>4417</v>
      </c>
      <c r="E3912" t="s">
        <v>4933</v>
      </c>
      <c r="F3912" t="s">
        <v>4718</v>
      </c>
    </row>
    <row r="3913" spans="1:6" x14ac:dyDescent="0.25">
      <c r="A3913" t="s">
        <v>1400</v>
      </c>
      <c r="B3913">
        <v>7</v>
      </c>
      <c r="C3913" t="s">
        <v>4447</v>
      </c>
      <c r="D3913" t="s">
        <v>4406</v>
      </c>
      <c r="E3913" t="s">
        <v>4447</v>
      </c>
      <c r="F3913" t="s">
        <v>4522</v>
      </c>
    </row>
    <row r="3914" spans="1:6" x14ac:dyDescent="0.25">
      <c r="A3914" t="s">
        <v>5566</v>
      </c>
      <c r="B3914">
        <v>36</v>
      </c>
      <c r="C3914" t="s">
        <v>4702</v>
      </c>
      <c r="D3914" t="s">
        <v>4649</v>
      </c>
      <c r="E3914" t="s">
        <v>4649</v>
      </c>
      <c r="F3914" t="s">
        <v>4648</v>
      </c>
    </row>
    <row r="3915" spans="1:6" x14ac:dyDescent="0.25">
      <c r="A3915" t="s">
        <v>1426</v>
      </c>
      <c r="B3915">
        <v>1</v>
      </c>
      <c r="C3915" t="s">
        <v>4406</v>
      </c>
      <c r="D3915" t="s">
        <v>4406</v>
      </c>
      <c r="E3915" t="s">
        <v>4454</v>
      </c>
      <c r="F3915" t="s">
        <v>4406</v>
      </c>
    </row>
    <row r="3916" spans="1:6" x14ac:dyDescent="0.25">
      <c r="A3916" t="s">
        <v>1372</v>
      </c>
      <c r="B3916">
        <v>30</v>
      </c>
      <c r="C3916" t="s">
        <v>4652</v>
      </c>
      <c r="D3916" t="s">
        <v>4406</v>
      </c>
      <c r="E3916" t="s">
        <v>5039</v>
      </c>
      <c r="F3916" t="s">
        <v>4472</v>
      </c>
    </row>
    <row r="3917" spans="1:6" x14ac:dyDescent="0.25">
      <c r="A3917" t="s">
        <v>1296</v>
      </c>
      <c r="B3917">
        <v>297</v>
      </c>
      <c r="C3917" t="s">
        <v>4560</v>
      </c>
      <c r="D3917" t="s">
        <v>4410</v>
      </c>
      <c r="E3917" t="s">
        <v>4867</v>
      </c>
      <c r="F3917" t="s">
        <v>4644</v>
      </c>
    </row>
    <row r="3919" spans="1:6" x14ac:dyDescent="0.25">
      <c r="A3919" t="s">
        <v>6040</v>
      </c>
    </row>
    <row r="3920" spans="1:6" x14ac:dyDescent="0.25">
      <c r="A3920" t="s">
        <v>911</v>
      </c>
      <c r="B3920" t="s">
        <v>4394</v>
      </c>
      <c r="C3920" t="s">
        <v>5359</v>
      </c>
      <c r="D3920" t="s">
        <v>5360</v>
      </c>
      <c r="E3920" t="s">
        <v>5361</v>
      </c>
      <c r="F3920" t="s">
        <v>5362</v>
      </c>
    </row>
    <row r="3921" spans="1:6" x14ac:dyDescent="0.25">
      <c r="A3921" t="s">
        <v>4438</v>
      </c>
      <c r="B3921">
        <v>122</v>
      </c>
      <c r="C3921" t="s">
        <v>4853</v>
      </c>
      <c r="D3921" t="s">
        <v>4406</v>
      </c>
      <c r="E3921" t="s">
        <v>4859</v>
      </c>
      <c r="F3921" t="s">
        <v>4711</v>
      </c>
    </row>
    <row r="3922" spans="1:6" x14ac:dyDescent="0.25">
      <c r="A3922" t="s">
        <v>4439</v>
      </c>
      <c r="B3922">
        <v>79</v>
      </c>
      <c r="C3922" t="s">
        <v>5319</v>
      </c>
      <c r="D3922" t="s">
        <v>4659</v>
      </c>
      <c r="E3922" t="s">
        <v>4764</v>
      </c>
      <c r="F3922" t="s">
        <v>4488</v>
      </c>
    </row>
    <row r="3923" spans="1:6" x14ac:dyDescent="0.25">
      <c r="A3923" t="s">
        <v>1400</v>
      </c>
      <c r="B3923">
        <v>19</v>
      </c>
      <c r="C3923" t="s">
        <v>4796</v>
      </c>
      <c r="D3923" t="s">
        <v>4406</v>
      </c>
      <c r="E3923" t="s">
        <v>4524</v>
      </c>
      <c r="F3923" t="s">
        <v>4867</v>
      </c>
    </row>
    <row r="3924" spans="1:6" x14ac:dyDescent="0.25">
      <c r="A3924" t="s">
        <v>1340</v>
      </c>
      <c r="B3924">
        <v>31</v>
      </c>
      <c r="C3924" t="s">
        <v>5111</v>
      </c>
      <c r="D3924" t="s">
        <v>4713</v>
      </c>
      <c r="E3924" t="s">
        <v>4713</v>
      </c>
      <c r="F3924" t="s">
        <v>4608</v>
      </c>
    </row>
    <row r="3925" spans="1:6" x14ac:dyDescent="0.25">
      <c r="A3925" t="s">
        <v>1426</v>
      </c>
      <c r="B3925">
        <v>8</v>
      </c>
      <c r="C3925" t="s">
        <v>4481</v>
      </c>
      <c r="D3925" t="s">
        <v>4406</v>
      </c>
      <c r="E3925" t="s">
        <v>4481</v>
      </c>
      <c r="F3925" t="s">
        <v>4462</v>
      </c>
    </row>
    <row r="3926" spans="1:6" x14ac:dyDescent="0.25">
      <c r="A3926" t="s">
        <v>1372</v>
      </c>
      <c r="B3926">
        <v>38</v>
      </c>
      <c r="C3926" t="s">
        <v>4796</v>
      </c>
      <c r="D3926" t="s">
        <v>4406</v>
      </c>
      <c r="E3926" t="s">
        <v>4715</v>
      </c>
      <c r="F3926" t="s">
        <v>4511</v>
      </c>
    </row>
    <row r="3927" spans="1:6" x14ac:dyDescent="0.25">
      <c r="A3927" t="s">
        <v>1296</v>
      </c>
      <c r="B3927">
        <v>297</v>
      </c>
      <c r="C3927" t="s">
        <v>4560</v>
      </c>
      <c r="D3927" t="s">
        <v>4410</v>
      </c>
      <c r="E3927" t="s">
        <v>4867</v>
      </c>
      <c r="F3927" t="s">
        <v>4644</v>
      </c>
    </row>
    <row r="3929" spans="1:6" x14ac:dyDescent="0.25">
      <c r="A3929" t="s">
        <v>6041</v>
      </c>
    </row>
    <row r="3930" spans="1:6" x14ac:dyDescent="0.25">
      <c r="A3930" t="s">
        <v>912</v>
      </c>
      <c r="B3930" t="s">
        <v>4394</v>
      </c>
      <c r="C3930" t="s">
        <v>5359</v>
      </c>
      <c r="D3930" t="s">
        <v>5360</v>
      </c>
      <c r="E3930" t="s">
        <v>5361</v>
      </c>
      <c r="F3930" t="s">
        <v>5362</v>
      </c>
    </row>
    <row r="3931" spans="1:6" x14ac:dyDescent="0.25">
      <c r="A3931" t="s">
        <v>4438</v>
      </c>
      <c r="B3931">
        <v>80</v>
      </c>
      <c r="C3931" t="s">
        <v>4761</v>
      </c>
      <c r="D3931" t="s">
        <v>4406</v>
      </c>
      <c r="E3931" t="s">
        <v>4470</v>
      </c>
      <c r="F3931" t="s">
        <v>4916</v>
      </c>
    </row>
    <row r="3932" spans="1:6" x14ac:dyDescent="0.25">
      <c r="A3932" t="s">
        <v>4439</v>
      </c>
      <c r="B3932">
        <v>106</v>
      </c>
      <c r="C3932" t="s">
        <v>4915</v>
      </c>
      <c r="D3932" t="s">
        <v>4406</v>
      </c>
      <c r="E3932" t="s">
        <v>4657</v>
      </c>
      <c r="F3932" t="s">
        <v>4485</v>
      </c>
    </row>
    <row r="3933" spans="1:6" x14ac:dyDescent="0.25">
      <c r="A3933" t="s">
        <v>1400</v>
      </c>
      <c r="B3933">
        <v>30</v>
      </c>
      <c r="C3933" t="s">
        <v>4512</v>
      </c>
      <c r="D3933" t="s">
        <v>4651</v>
      </c>
      <c r="E3933" t="s">
        <v>4472</v>
      </c>
      <c r="F3933" t="s">
        <v>4465</v>
      </c>
    </row>
    <row r="3934" spans="1:6" x14ac:dyDescent="0.25">
      <c r="A3934" t="s">
        <v>1340</v>
      </c>
      <c r="B3934">
        <v>31</v>
      </c>
      <c r="C3934" t="s">
        <v>5111</v>
      </c>
      <c r="D3934" t="s">
        <v>4713</v>
      </c>
      <c r="E3934" t="s">
        <v>4713</v>
      </c>
      <c r="F3934" t="s">
        <v>4608</v>
      </c>
    </row>
    <row r="3935" spans="1:6" x14ac:dyDescent="0.25">
      <c r="A3935" t="s">
        <v>1426</v>
      </c>
      <c r="B3935">
        <v>15</v>
      </c>
      <c r="C3935" t="s">
        <v>4458</v>
      </c>
      <c r="D3935" t="s">
        <v>4406</v>
      </c>
      <c r="E3935" t="s">
        <v>4465</v>
      </c>
      <c r="F3935" t="s">
        <v>4415</v>
      </c>
    </row>
    <row r="3936" spans="1:6" x14ac:dyDescent="0.25">
      <c r="A3936" t="s">
        <v>1372</v>
      </c>
      <c r="B3936">
        <v>35</v>
      </c>
      <c r="C3936" t="s">
        <v>4457</v>
      </c>
      <c r="D3936" t="s">
        <v>4406</v>
      </c>
      <c r="E3936" t="s">
        <v>4472</v>
      </c>
      <c r="F3936" t="s">
        <v>4472</v>
      </c>
    </row>
    <row r="3937" spans="1:6" x14ac:dyDescent="0.25">
      <c r="A3937" t="s">
        <v>1296</v>
      </c>
      <c r="B3937">
        <v>297</v>
      </c>
      <c r="C3937" t="s">
        <v>4560</v>
      </c>
      <c r="D3937" t="s">
        <v>4410</v>
      </c>
      <c r="E3937" t="s">
        <v>4867</v>
      </c>
      <c r="F3937" t="s">
        <v>4644</v>
      </c>
    </row>
    <row r="3939" spans="1:6" x14ac:dyDescent="0.25">
      <c r="A3939" t="s">
        <v>6042</v>
      </c>
    </row>
    <row r="3940" spans="1:6" x14ac:dyDescent="0.25">
      <c r="A3940" t="s">
        <v>920</v>
      </c>
      <c r="B3940" t="s">
        <v>4394</v>
      </c>
      <c r="C3940" t="s">
        <v>5359</v>
      </c>
      <c r="D3940" t="s">
        <v>5360</v>
      </c>
      <c r="E3940" t="s">
        <v>5361</v>
      </c>
      <c r="F3940" t="s">
        <v>5362</v>
      </c>
    </row>
    <row r="3941" spans="1:6" x14ac:dyDescent="0.25">
      <c r="A3941" t="s">
        <v>1343</v>
      </c>
      <c r="B3941">
        <v>170</v>
      </c>
      <c r="C3941" t="s">
        <v>4672</v>
      </c>
      <c r="D3941" t="s">
        <v>4422</v>
      </c>
      <c r="E3941" t="s">
        <v>4858</v>
      </c>
      <c r="F3941" t="s">
        <v>4568</v>
      </c>
    </row>
    <row r="3942" spans="1:6" x14ac:dyDescent="0.25">
      <c r="A3942" t="s">
        <v>1345</v>
      </c>
      <c r="B3942">
        <v>75</v>
      </c>
      <c r="C3942" t="s">
        <v>4908</v>
      </c>
      <c r="D3942" t="s">
        <v>4406</v>
      </c>
      <c r="E3942" t="s">
        <v>4660</v>
      </c>
      <c r="F3942" t="s">
        <v>4908</v>
      </c>
    </row>
    <row r="3943" spans="1:6" x14ac:dyDescent="0.25">
      <c r="A3943" t="s">
        <v>1466</v>
      </c>
      <c r="B3943">
        <v>50</v>
      </c>
      <c r="C3943" t="s">
        <v>5211</v>
      </c>
      <c r="D3943" t="s">
        <v>4406</v>
      </c>
      <c r="E3943" t="s">
        <v>4503</v>
      </c>
      <c r="F3943" t="s">
        <v>4472</v>
      </c>
    </row>
    <row r="3944" spans="1:6" x14ac:dyDescent="0.25">
      <c r="A3944" t="s">
        <v>5554</v>
      </c>
      <c r="B3944">
        <v>2</v>
      </c>
      <c r="C3944" t="s">
        <v>4454</v>
      </c>
      <c r="D3944" t="s">
        <v>4406</v>
      </c>
      <c r="E3944" t="s">
        <v>4406</v>
      </c>
      <c r="F3944" t="s">
        <v>4406</v>
      </c>
    </row>
    <row r="3945" spans="1:6" x14ac:dyDescent="0.25">
      <c r="A3945" t="s">
        <v>1296</v>
      </c>
      <c r="B3945">
        <v>297</v>
      </c>
      <c r="C3945" t="s">
        <v>4560</v>
      </c>
      <c r="D3945" t="s">
        <v>4410</v>
      </c>
      <c r="E3945" t="s">
        <v>4867</v>
      </c>
      <c r="F3945" t="s">
        <v>4644</v>
      </c>
    </row>
    <row r="3947" spans="1:6" x14ac:dyDescent="0.25">
      <c r="A3947" t="s">
        <v>6043</v>
      </c>
    </row>
    <row r="3948" spans="1:6" x14ac:dyDescent="0.25">
      <c r="A3948" t="s">
        <v>924</v>
      </c>
      <c r="B3948" t="s">
        <v>4394</v>
      </c>
      <c r="C3948" t="s">
        <v>5359</v>
      </c>
      <c r="D3948" t="s">
        <v>5360</v>
      </c>
      <c r="E3948" t="s">
        <v>5361</v>
      </c>
      <c r="F3948" t="s">
        <v>5362</v>
      </c>
    </row>
    <row r="3949" spans="1:6" x14ac:dyDescent="0.25">
      <c r="A3949" t="s">
        <v>1345</v>
      </c>
      <c r="B3949">
        <v>69</v>
      </c>
      <c r="C3949" t="s">
        <v>4476</v>
      </c>
      <c r="D3949" t="s">
        <v>4750</v>
      </c>
      <c r="E3949" t="s">
        <v>4944</v>
      </c>
      <c r="F3949" t="s">
        <v>4664</v>
      </c>
    </row>
    <row r="3950" spans="1:6" x14ac:dyDescent="0.25">
      <c r="A3950" t="s">
        <v>1441</v>
      </c>
      <c r="B3950">
        <v>123</v>
      </c>
      <c r="C3950" t="s">
        <v>4648</v>
      </c>
      <c r="D3950" t="s">
        <v>4406</v>
      </c>
      <c r="E3950" t="s">
        <v>4637</v>
      </c>
      <c r="F3950" t="s">
        <v>4536</v>
      </c>
    </row>
    <row r="3951" spans="1:6" x14ac:dyDescent="0.25">
      <c r="A3951" t="s">
        <v>1461</v>
      </c>
      <c r="B3951">
        <v>95</v>
      </c>
      <c r="C3951" t="s">
        <v>4555</v>
      </c>
      <c r="D3951" t="s">
        <v>4825</v>
      </c>
      <c r="E3951" t="s">
        <v>4584</v>
      </c>
      <c r="F3951" t="s">
        <v>4955</v>
      </c>
    </row>
    <row r="3952" spans="1:6" x14ac:dyDescent="0.25">
      <c r="A3952" t="s">
        <v>5554</v>
      </c>
      <c r="B3952">
        <v>10</v>
      </c>
      <c r="C3952" t="s">
        <v>4458</v>
      </c>
      <c r="D3952" t="s">
        <v>4406</v>
      </c>
      <c r="E3952" t="s">
        <v>4489</v>
      </c>
      <c r="F3952" t="s">
        <v>4489</v>
      </c>
    </row>
    <row r="3953" spans="1:6" x14ac:dyDescent="0.25">
      <c r="A3953" t="s">
        <v>1296</v>
      </c>
      <c r="B3953">
        <v>297</v>
      </c>
      <c r="C3953" t="s">
        <v>4560</v>
      </c>
      <c r="D3953" t="s">
        <v>4410</v>
      </c>
      <c r="E3953" t="s">
        <v>4867</v>
      </c>
      <c r="F3953" t="s">
        <v>4644</v>
      </c>
    </row>
    <row r="3955" spans="1:6" x14ac:dyDescent="0.25">
      <c r="A3955" t="s">
        <v>6044</v>
      </c>
    </row>
    <row r="3956" spans="1:6" x14ac:dyDescent="0.25">
      <c r="A3956" t="s">
        <v>903</v>
      </c>
      <c r="B3956" t="s">
        <v>4394</v>
      </c>
      <c r="C3956" t="s">
        <v>5359</v>
      </c>
      <c r="D3956" t="s">
        <v>5360</v>
      </c>
      <c r="E3956" t="s">
        <v>5361</v>
      </c>
      <c r="F3956" t="s">
        <v>5362</v>
      </c>
    </row>
    <row r="3957" spans="1:6" x14ac:dyDescent="0.25">
      <c r="A3957" t="s">
        <v>70</v>
      </c>
      <c r="B3957">
        <v>85</v>
      </c>
      <c r="C3957" t="s">
        <v>4842</v>
      </c>
      <c r="D3957" t="s">
        <v>4406</v>
      </c>
      <c r="E3957" t="s">
        <v>4617</v>
      </c>
      <c r="F3957" t="s">
        <v>4506</v>
      </c>
    </row>
    <row r="3958" spans="1:6" x14ac:dyDescent="0.25">
      <c r="A3958" t="s">
        <v>71</v>
      </c>
      <c r="B3958">
        <v>212</v>
      </c>
      <c r="C3958" t="s">
        <v>4517</v>
      </c>
      <c r="D3958" t="s">
        <v>4902</v>
      </c>
      <c r="E3958" t="s">
        <v>4759</v>
      </c>
      <c r="F3958" t="s">
        <v>4536</v>
      </c>
    </row>
    <row r="3959" spans="1:6" x14ac:dyDescent="0.25">
      <c r="A3959" t="s">
        <v>1296</v>
      </c>
      <c r="B3959">
        <v>297</v>
      </c>
      <c r="C3959" t="s">
        <v>4560</v>
      </c>
      <c r="D3959" t="s">
        <v>4410</v>
      </c>
      <c r="E3959" t="s">
        <v>4867</v>
      </c>
      <c r="F3959" t="s">
        <v>4644</v>
      </c>
    </row>
    <row r="3961" spans="1:6" x14ac:dyDescent="0.25">
      <c r="A3961" t="s">
        <v>6045</v>
      </c>
    </row>
    <row r="3962" spans="1:6" x14ac:dyDescent="0.25">
      <c r="A3962" t="s">
        <v>1297</v>
      </c>
      <c r="B3962" t="s">
        <v>4394</v>
      </c>
      <c r="C3962" t="s">
        <v>109</v>
      </c>
      <c r="D3962" t="s">
        <v>192</v>
      </c>
    </row>
    <row r="3963" spans="1:6" x14ac:dyDescent="0.25">
      <c r="A3963" t="s">
        <v>5549</v>
      </c>
      <c r="B3963">
        <v>116</v>
      </c>
      <c r="C3963" t="s">
        <v>4989</v>
      </c>
      <c r="D3963" t="s">
        <v>4864</v>
      </c>
    </row>
    <row r="3964" spans="1:6" x14ac:dyDescent="0.25">
      <c r="A3964" t="s">
        <v>1397</v>
      </c>
      <c r="B3964">
        <v>85</v>
      </c>
      <c r="C3964" t="s">
        <v>4454</v>
      </c>
      <c r="D3964" t="s">
        <v>4406</v>
      </c>
    </row>
    <row r="3965" spans="1:6" x14ac:dyDescent="0.25">
      <c r="A3965" t="s">
        <v>1296</v>
      </c>
      <c r="B3965">
        <v>201</v>
      </c>
      <c r="C3965" t="s">
        <v>5367</v>
      </c>
      <c r="D3965" t="s">
        <v>4680</v>
      </c>
    </row>
    <row r="3967" spans="1:6" x14ac:dyDescent="0.25">
      <c r="A3967" t="s">
        <v>6046</v>
      </c>
    </row>
    <row r="3968" spans="1:6" x14ac:dyDescent="0.25">
      <c r="A3968" t="s">
        <v>906</v>
      </c>
      <c r="B3968" t="s">
        <v>4394</v>
      </c>
      <c r="C3968" t="s">
        <v>109</v>
      </c>
      <c r="D3968" t="s">
        <v>192</v>
      </c>
    </row>
    <row r="3969" spans="1:4" x14ac:dyDescent="0.25">
      <c r="A3969" t="s">
        <v>1338</v>
      </c>
      <c r="B3969">
        <v>29</v>
      </c>
      <c r="C3969" t="s">
        <v>4454</v>
      </c>
      <c r="D3969" t="s">
        <v>4406</v>
      </c>
    </row>
    <row r="3970" spans="1:4" x14ac:dyDescent="0.25">
      <c r="A3970" t="s">
        <v>1370</v>
      </c>
      <c r="B3970">
        <v>23</v>
      </c>
      <c r="C3970" t="s">
        <v>4454</v>
      </c>
      <c r="D3970" t="s">
        <v>4406</v>
      </c>
    </row>
    <row r="3971" spans="1:4" x14ac:dyDescent="0.25">
      <c r="A3971" t="s">
        <v>1439</v>
      </c>
      <c r="B3971">
        <v>15</v>
      </c>
      <c r="C3971" t="s">
        <v>4454</v>
      </c>
      <c r="D3971" t="s">
        <v>4406</v>
      </c>
    </row>
    <row r="3972" spans="1:4" x14ac:dyDescent="0.25">
      <c r="A3972" t="s">
        <v>1476</v>
      </c>
      <c r="B3972">
        <v>62</v>
      </c>
      <c r="C3972" t="s">
        <v>5007</v>
      </c>
      <c r="D3972" t="s">
        <v>4749</v>
      </c>
    </row>
    <row r="3973" spans="1:4" x14ac:dyDescent="0.25">
      <c r="A3973" t="s">
        <v>5476</v>
      </c>
      <c r="B3973">
        <v>6</v>
      </c>
      <c r="C3973" t="s">
        <v>4454</v>
      </c>
      <c r="D3973" t="s">
        <v>4406</v>
      </c>
    </row>
    <row r="3974" spans="1:4" x14ac:dyDescent="0.25">
      <c r="A3974" t="s">
        <v>1399</v>
      </c>
      <c r="B3974">
        <v>36</v>
      </c>
      <c r="C3974" t="s">
        <v>4454</v>
      </c>
      <c r="D3974" t="s">
        <v>4406</v>
      </c>
    </row>
    <row r="3975" spans="1:4" x14ac:dyDescent="0.25">
      <c r="A3975" t="s">
        <v>1415</v>
      </c>
      <c r="B3975">
        <v>30</v>
      </c>
      <c r="C3975" t="s">
        <v>4454</v>
      </c>
      <c r="D3975" t="s">
        <v>4406</v>
      </c>
    </row>
    <row r="3976" spans="1:4" x14ac:dyDescent="0.25">
      <c r="A3976" t="s">
        <v>1296</v>
      </c>
      <c r="B3976">
        <v>201</v>
      </c>
      <c r="C3976" t="s">
        <v>5367</v>
      </c>
      <c r="D3976" t="s">
        <v>4680</v>
      </c>
    </row>
    <row r="3978" spans="1:4" x14ac:dyDescent="0.25">
      <c r="A3978" t="s">
        <v>6047</v>
      </c>
    </row>
    <row r="3979" spans="1:4" x14ac:dyDescent="0.25">
      <c r="A3979" t="s">
        <v>907</v>
      </c>
      <c r="B3979" t="s">
        <v>4394</v>
      </c>
      <c r="C3979" t="s">
        <v>109</v>
      </c>
      <c r="D3979" t="s">
        <v>192</v>
      </c>
    </row>
    <row r="3980" spans="1:4" x14ac:dyDescent="0.25">
      <c r="A3980" t="s">
        <v>109</v>
      </c>
      <c r="B3980">
        <v>175</v>
      </c>
      <c r="C3980" t="s">
        <v>5280</v>
      </c>
      <c r="D3980" t="s">
        <v>4825</v>
      </c>
    </row>
    <row r="3981" spans="1:4" x14ac:dyDescent="0.25">
      <c r="A3981" t="s">
        <v>192</v>
      </c>
      <c r="B3981">
        <v>26</v>
      </c>
      <c r="C3981" t="s">
        <v>5368</v>
      </c>
      <c r="D3981" t="s">
        <v>4720</v>
      </c>
    </row>
    <row r="3982" spans="1:4" x14ac:dyDescent="0.25">
      <c r="A3982" t="s">
        <v>1296</v>
      </c>
      <c r="B3982">
        <v>201</v>
      </c>
      <c r="C3982" t="s">
        <v>5367</v>
      </c>
      <c r="D3982" t="s">
        <v>4680</v>
      </c>
    </row>
    <row r="3984" spans="1:4" x14ac:dyDescent="0.25">
      <c r="A3984" t="s">
        <v>6048</v>
      </c>
    </row>
    <row r="3985" spans="1:12" x14ac:dyDescent="0.25">
      <c r="A3985" t="s">
        <v>903</v>
      </c>
      <c r="B3985" t="s">
        <v>4394</v>
      </c>
      <c r="C3985" t="s">
        <v>109</v>
      </c>
      <c r="D3985" t="s">
        <v>192</v>
      </c>
    </row>
    <row r="3986" spans="1:12" x14ac:dyDescent="0.25">
      <c r="A3986" t="s">
        <v>70</v>
      </c>
      <c r="B3986">
        <v>66</v>
      </c>
      <c r="C3986" t="s">
        <v>5342</v>
      </c>
      <c r="D3986" t="s">
        <v>4626</v>
      </c>
    </row>
    <row r="3987" spans="1:12" x14ac:dyDescent="0.25">
      <c r="A3987" t="s">
        <v>71</v>
      </c>
      <c r="B3987">
        <v>135</v>
      </c>
      <c r="C3987" t="s">
        <v>5369</v>
      </c>
      <c r="D3987" t="s">
        <v>4410</v>
      </c>
    </row>
    <row r="3988" spans="1:12" x14ac:dyDescent="0.25">
      <c r="A3988" t="s">
        <v>1296</v>
      </c>
      <c r="B3988">
        <v>201</v>
      </c>
      <c r="C3988" t="s">
        <v>5367</v>
      </c>
      <c r="D3988" t="s">
        <v>4680</v>
      </c>
    </row>
    <row r="3990" spans="1:12" x14ac:dyDescent="0.25">
      <c r="A3990" t="s">
        <v>6049</v>
      </c>
    </row>
    <row r="3991" spans="1:12" x14ac:dyDescent="0.25">
      <c r="A3991" t="s">
        <v>1297</v>
      </c>
      <c r="B3991" t="s">
        <v>4394</v>
      </c>
      <c r="C3991" t="s">
        <v>4732</v>
      </c>
      <c r="D3991" t="s">
        <v>4736</v>
      </c>
      <c r="E3991" t="s">
        <v>4737</v>
      </c>
      <c r="F3991" t="s">
        <v>5370</v>
      </c>
      <c r="G3991" t="s">
        <v>5371</v>
      </c>
      <c r="H3991" t="s">
        <v>5372</v>
      </c>
      <c r="I3991" t="s">
        <v>5373</v>
      </c>
      <c r="J3991" t="s">
        <v>5374</v>
      </c>
      <c r="K3991" t="s">
        <v>5375</v>
      </c>
      <c r="L3991" t="s">
        <v>5376</v>
      </c>
    </row>
    <row r="3992" spans="1:12" x14ac:dyDescent="0.25">
      <c r="A3992" t="s">
        <v>5549</v>
      </c>
      <c r="B3992">
        <v>2</v>
      </c>
      <c r="C3992">
        <v>0</v>
      </c>
      <c r="D3992">
        <v>0</v>
      </c>
      <c r="E3992">
        <v>0</v>
      </c>
      <c r="F3992">
        <v>1</v>
      </c>
      <c r="G3992">
        <v>0</v>
      </c>
      <c r="H3992">
        <v>0</v>
      </c>
      <c r="I3992">
        <v>1</v>
      </c>
      <c r="J3992">
        <v>0</v>
      </c>
      <c r="K3992">
        <v>0</v>
      </c>
      <c r="L3992">
        <v>0</v>
      </c>
    </row>
    <row r="3993" spans="1:12" x14ac:dyDescent="0.25">
      <c r="A3993" t="s">
        <v>1296</v>
      </c>
      <c r="B3993">
        <v>2</v>
      </c>
      <c r="C3993">
        <v>0</v>
      </c>
      <c r="D3993">
        <v>0</v>
      </c>
      <c r="E3993">
        <v>0</v>
      </c>
      <c r="F3993">
        <v>1</v>
      </c>
      <c r="G3993">
        <v>0</v>
      </c>
      <c r="H3993">
        <v>0</v>
      </c>
      <c r="I3993">
        <v>1</v>
      </c>
      <c r="J3993">
        <v>0</v>
      </c>
      <c r="K3993">
        <v>0</v>
      </c>
      <c r="L3993">
        <v>0</v>
      </c>
    </row>
    <row r="3995" spans="1:12" x14ac:dyDescent="0.25">
      <c r="A3995" t="s">
        <v>6050</v>
      </c>
    </row>
    <row r="3996" spans="1:12" x14ac:dyDescent="0.25">
      <c r="A3996" t="s">
        <v>906</v>
      </c>
      <c r="B3996" t="s">
        <v>4394</v>
      </c>
      <c r="C3996" t="s">
        <v>4732</v>
      </c>
      <c r="D3996" t="s">
        <v>4736</v>
      </c>
      <c r="E3996" t="s">
        <v>4737</v>
      </c>
      <c r="F3996" t="s">
        <v>5370</v>
      </c>
      <c r="G3996" t="s">
        <v>5371</v>
      </c>
      <c r="H3996" t="s">
        <v>5372</v>
      </c>
      <c r="I3996" t="s">
        <v>5373</v>
      </c>
      <c r="J3996" t="s">
        <v>5374</v>
      </c>
      <c r="K3996" t="s">
        <v>5375</v>
      </c>
      <c r="L3996" t="s">
        <v>5376</v>
      </c>
    </row>
    <row r="3997" spans="1:12" x14ac:dyDescent="0.25">
      <c r="A3997" t="s">
        <v>1370</v>
      </c>
      <c r="B3997">
        <v>2</v>
      </c>
      <c r="C3997">
        <v>0</v>
      </c>
      <c r="D3997">
        <v>0</v>
      </c>
      <c r="E3997">
        <v>0</v>
      </c>
      <c r="F3997">
        <v>1</v>
      </c>
      <c r="G3997">
        <v>0</v>
      </c>
      <c r="H3997">
        <v>0</v>
      </c>
      <c r="I3997">
        <v>1</v>
      </c>
      <c r="J3997">
        <v>0</v>
      </c>
      <c r="K3997">
        <v>0</v>
      </c>
      <c r="L3997">
        <v>0</v>
      </c>
    </row>
    <row r="3998" spans="1:12" x14ac:dyDescent="0.25">
      <c r="A3998" t="s">
        <v>1296</v>
      </c>
      <c r="B3998">
        <v>2</v>
      </c>
      <c r="C3998">
        <v>0</v>
      </c>
      <c r="D3998">
        <v>0</v>
      </c>
      <c r="E3998">
        <v>0</v>
      </c>
      <c r="F3998">
        <v>1</v>
      </c>
      <c r="G3998">
        <v>0</v>
      </c>
      <c r="H3998">
        <v>0</v>
      </c>
      <c r="I3998">
        <v>1</v>
      </c>
      <c r="J3998">
        <v>0</v>
      </c>
      <c r="K3998">
        <v>0</v>
      </c>
      <c r="L3998">
        <v>0</v>
      </c>
    </row>
    <row r="4000" spans="1:12" x14ac:dyDescent="0.25">
      <c r="A4000" t="s">
        <v>6051</v>
      </c>
    </row>
    <row r="4001" spans="1:12" x14ac:dyDescent="0.25">
      <c r="A4001" t="s">
        <v>907</v>
      </c>
      <c r="B4001" t="s">
        <v>4394</v>
      </c>
      <c r="C4001" t="s">
        <v>4732</v>
      </c>
      <c r="D4001" t="s">
        <v>4736</v>
      </c>
      <c r="E4001" t="s">
        <v>4737</v>
      </c>
      <c r="F4001" t="s">
        <v>5370</v>
      </c>
      <c r="G4001" t="s">
        <v>5371</v>
      </c>
      <c r="H4001" t="s">
        <v>5372</v>
      </c>
      <c r="I4001" t="s">
        <v>5373</v>
      </c>
      <c r="J4001" t="s">
        <v>5374</v>
      </c>
      <c r="K4001" t="s">
        <v>5375</v>
      </c>
      <c r="L4001" t="s">
        <v>5376</v>
      </c>
    </row>
    <row r="4002" spans="1:12" x14ac:dyDescent="0.25">
      <c r="A4002" t="s">
        <v>109</v>
      </c>
      <c r="B4002">
        <v>2</v>
      </c>
      <c r="C4002">
        <v>0</v>
      </c>
      <c r="D4002">
        <v>0</v>
      </c>
      <c r="E4002">
        <v>0</v>
      </c>
      <c r="F4002">
        <v>1</v>
      </c>
      <c r="G4002">
        <v>0</v>
      </c>
      <c r="H4002">
        <v>0</v>
      </c>
      <c r="I4002">
        <v>1</v>
      </c>
      <c r="J4002">
        <v>0</v>
      </c>
      <c r="K4002">
        <v>0</v>
      </c>
      <c r="L4002">
        <v>0</v>
      </c>
    </row>
    <row r="4003" spans="1:12" x14ac:dyDescent="0.25">
      <c r="A4003" t="s">
        <v>1296</v>
      </c>
      <c r="B4003">
        <v>2</v>
      </c>
      <c r="C4003">
        <v>0</v>
      </c>
      <c r="D4003">
        <v>0</v>
      </c>
      <c r="E4003">
        <v>0</v>
      </c>
      <c r="F4003">
        <v>1</v>
      </c>
      <c r="G4003">
        <v>0</v>
      </c>
      <c r="H4003">
        <v>0</v>
      </c>
      <c r="I4003">
        <v>1</v>
      </c>
      <c r="J4003">
        <v>0</v>
      </c>
      <c r="K4003">
        <v>0</v>
      </c>
      <c r="L4003">
        <v>0</v>
      </c>
    </row>
    <row r="4005" spans="1:12" x14ac:dyDescent="0.25">
      <c r="A4005" t="s">
        <v>6052</v>
      </c>
    </row>
    <row r="4006" spans="1:12" x14ac:dyDescent="0.25">
      <c r="A4006" t="s">
        <v>1154</v>
      </c>
      <c r="B4006" t="s">
        <v>4394</v>
      </c>
      <c r="C4006" t="s">
        <v>4732</v>
      </c>
      <c r="D4006" t="s">
        <v>4736</v>
      </c>
      <c r="E4006" t="s">
        <v>4737</v>
      </c>
      <c r="F4006" t="s">
        <v>5370</v>
      </c>
      <c r="G4006" t="s">
        <v>5371</v>
      </c>
      <c r="H4006" t="s">
        <v>5372</v>
      </c>
      <c r="I4006" t="s">
        <v>5373</v>
      </c>
      <c r="J4006" t="s">
        <v>5374</v>
      </c>
      <c r="K4006" t="s">
        <v>5375</v>
      </c>
      <c r="L4006" t="s">
        <v>5376</v>
      </c>
    </row>
    <row r="4007" spans="1:12" x14ac:dyDescent="0.25">
      <c r="A4007" t="s">
        <v>5356</v>
      </c>
      <c r="B4007">
        <v>2</v>
      </c>
      <c r="C4007">
        <v>0</v>
      </c>
      <c r="D4007">
        <v>0</v>
      </c>
      <c r="E4007">
        <v>0</v>
      </c>
      <c r="F4007">
        <v>1</v>
      </c>
      <c r="G4007">
        <v>0</v>
      </c>
      <c r="H4007">
        <v>0</v>
      </c>
      <c r="I4007">
        <v>1</v>
      </c>
      <c r="J4007">
        <v>0</v>
      </c>
      <c r="K4007">
        <v>0</v>
      </c>
      <c r="L4007">
        <v>0</v>
      </c>
    </row>
    <row r="4008" spans="1:12" x14ac:dyDescent="0.25">
      <c r="A4008" t="s">
        <v>1296</v>
      </c>
      <c r="B4008">
        <v>2</v>
      </c>
      <c r="C4008">
        <v>0</v>
      </c>
      <c r="D4008">
        <v>0</v>
      </c>
      <c r="E4008">
        <v>0</v>
      </c>
      <c r="F4008">
        <v>1</v>
      </c>
      <c r="G4008">
        <v>0</v>
      </c>
      <c r="H4008">
        <v>0</v>
      </c>
      <c r="I4008">
        <v>1</v>
      </c>
      <c r="J4008">
        <v>0</v>
      </c>
      <c r="K4008">
        <v>0</v>
      </c>
      <c r="L4008">
        <v>0</v>
      </c>
    </row>
    <row r="4010" spans="1:12" x14ac:dyDescent="0.25">
      <c r="A4010" t="s">
        <v>6053</v>
      </c>
    </row>
    <row r="4011" spans="1:12" x14ac:dyDescent="0.25">
      <c r="A4011" t="s">
        <v>903</v>
      </c>
      <c r="B4011" t="s">
        <v>4394</v>
      </c>
      <c r="C4011" t="s">
        <v>4732</v>
      </c>
      <c r="D4011" t="s">
        <v>4736</v>
      </c>
      <c r="E4011" t="s">
        <v>4737</v>
      </c>
      <c r="F4011" t="s">
        <v>5370</v>
      </c>
      <c r="G4011" t="s">
        <v>5371</v>
      </c>
      <c r="H4011" t="s">
        <v>5372</v>
      </c>
      <c r="I4011" t="s">
        <v>5373</v>
      </c>
      <c r="J4011" t="s">
        <v>5374</v>
      </c>
      <c r="K4011" t="s">
        <v>5375</v>
      </c>
      <c r="L4011" t="s">
        <v>5376</v>
      </c>
    </row>
    <row r="4012" spans="1:12" x14ac:dyDescent="0.25">
      <c r="A4012" t="s">
        <v>71</v>
      </c>
      <c r="B4012">
        <v>2</v>
      </c>
      <c r="C4012">
        <v>0</v>
      </c>
      <c r="D4012">
        <v>0</v>
      </c>
      <c r="E4012">
        <v>0</v>
      </c>
      <c r="F4012">
        <v>1</v>
      </c>
      <c r="G4012">
        <v>0</v>
      </c>
      <c r="H4012">
        <v>0</v>
      </c>
      <c r="I4012">
        <v>1</v>
      </c>
      <c r="J4012">
        <v>0</v>
      </c>
      <c r="K4012">
        <v>0</v>
      </c>
      <c r="L4012">
        <v>0</v>
      </c>
    </row>
    <row r="4013" spans="1:12" x14ac:dyDescent="0.25">
      <c r="A4013" t="s">
        <v>1296</v>
      </c>
      <c r="B4013">
        <v>2</v>
      </c>
      <c r="C4013">
        <v>0</v>
      </c>
      <c r="D4013">
        <v>0</v>
      </c>
      <c r="E4013">
        <v>0</v>
      </c>
      <c r="F4013">
        <v>1</v>
      </c>
      <c r="G4013">
        <v>0</v>
      </c>
      <c r="H4013">
        <v>0</v>
      </c>
      <c r="I4013">
        <v>1</v>
      </c>
      <c r="J4013">
        <v>0</v>
      </c>
      <c r="K4013">
        <v>0</v>
      </c>
      <c r="L4013">
        <v>0</v>
      </c>
    </row>
    <row r="4015" spans="1:12" x14ac:dyDescent="0.25">
      <c r="A4015" t="s">
        <v>6054</v>
      </c>
    </row>
    <row r="4016" spans="1:12" x14ac:dyDescent="0.25">
      <c r="A4016" t="s">
        <v>1297</v>
      </c>
      <c r="B4016" t="s">
        <v>4394</v>
      </c>
      <c r="C4016" t="s">
        <v>4620</v>
      </c>
      <c r="D4016" t="s">
        <v>4621</v>
      </c>
      <c r="E4016" t="s">
        <v>4622</v>
      </c>
      <c r="F4016" t="s">
        <v>4624</v>
      </c>
    </row>
    <row r="4017" spans="1:6" x14ac:dyDescent="0.25">
      <c r="A4017" t="s">
        <v>5549</v>
      </c>
      <c r="B4017">
        <v>198</v>
      </c>
      <c r="C4017" t="s">
        <v>4402</v>
      </c>
      <c r="D4017" t="s">
        <v>4606</v>
      </c>
      <c r="E4017" t="s">
        <v>5147</v>
      </c>
      <c r="F4017" t="s">
        <v>4965</v>
      </c>
    </row>
    <row r="4018" spans="1:6" x14ac:dyDescent="0.25">
      <c r="A4018" t="s">
        <v>1397</v>
      </c>
      <c r="B4018">
        <v>99</v>
      </c>
      <c r="C4018" t="s">
        <v>4406</v>
      </c>
      <c r="D4018" t="s">
        <v>4940</v>
      </c>
      <c r="E4018" t="s">
        <v>4469</v>
      </c>
      <c r="F4018" t="s">
        <v>4443</v>
      </c>
    </row>
    <row r="4019" spans="1:6" x14ac:dyDescent="0.25">
      <c r="A4019" t="s">
        <v>1296</v>
      </c>
      <c r="B4019">
        <v>297</v>
      </c>
      <c r="C4019" t="s">
        <v>4410</v>
      </c>
      <c r="D4019" t="s">
        <v>4530</v>
      </c>
      <c r="E4019" t="s">
        <v>5377</v>
      </c>
      <c r="F4019" t="s">
        <v>4405</v>
      </c>
    </row>
    <row r="4021" spans="1:6" x14ac:dyDescent="0.25">
      <c r="A4021" t="s">
        <v>6055</v>
      </c>
    </row>
    <row r="4022" spans="1:6" x14ac:dyDescent="0.25">
      <c r="A4022" t="s">
        <v>906</v>
      </c>
      <c r="B4022" t="s">
        <v>4394</v>
      </c>
      <c r="C4022" t="s">
        <v>4620</v>
      </c>
      <c r="D4022" t="s">
        <v>4621</v>
      </c>
      <c r="E4022" t="s">
        <v>4622</v>
      </c>
      <c r="F4022" t="s">
        <v>4624</v>
      </c>
    </row>
    <row r="4023" spans="1:6" x14ac:dyDescent="0.25">
      <c r="A4023" t="s">
        <v>1338</v>
      </c>
      <c r="B4023">
        <v>46</v>
      </c>
      <c r="C4023" t="s">
        <v>4406</v>
      </c>
      <c r="D4023" t="s">
        <v>4926</v>
      </c>
      <c r="E4023" t="s">
        <v>4611</v>
      </c>
      <c r="F4023" t="s">
        <v>5086</v>
      </c>
    </row>
    <row r="4024" spans="1:6" x14ac:dyDescent="0.25">
      <c r="A4024" t="s">
        <v>1370</v>
      </c>
      <c r="B4024">
        <v>33</v>
      </c>
      <c r="C4024" t="s">
        <v>4741</v>
      </c>
      <c r="D4024" t="s">
        <v>4539</v>
      </c>
      <c r="E4024" t="s">
        <v>5055</v>
      </c>
      <c r="F4024" t="s">
        <v>5118</v>
      </c>
    </row>
    <row r="4025" spans="1:6" x14ac:dyDescent="0.25">
      <c r="A4025" t="s">
        <v>1439</v>
      </c>
      <c r="B4025">
        <v>21</v>
      </c>
      <c r="C4025" t="s">
        <v>4406</v>
      </c>
      <c r="D4025" t="s">
        <v>4465</v>
      </c>
      <c r="E4025" t="s">
        <v>4469</v>
      </c>
      <c r="F4025" t="s">
        <v>4406</v>
      </c>
    </row>
    <row r="4026" spans="1:6" x14ac:dyDescent="0.25">
      <c r="A4026" t="s">
        <v>1476</v>
      </c>
      <c r="B4026">
        <v>71</v>
      </c>
      <c r="C4026" t="s">
        <v>4406</v>
      </c>
      <c r="D4026" t="s">
        <v>4425</v>
      </c>
      <c r="E4026" t="s">
        <v>4967</v>
      </c>
      <c r="F4026" t="s">
        <v>4854</v>
      </c>
    </row>
    <row r="4027" spans="1:6" x14ac:dyDescent="0.25">
      <c r="A4027" t="s">
        <v>5476</v>
      </c>
      <c r="B4027">
        <v>6</v>
      </c>
      <c r="C4027" t="s">
        <v>4406</v>
      </c>
      <c r="D4027" t="s">
        <v>4406</v>
      </c>
      <c r="E4027" t="s">
        <v>4469</v>
      </c>
      <c r="F4027" t="s">
        <v>4465</v>
      </c>
    </row>
    <row r="4028" spans="1:6" x14ac:dyDescent="0.25">
      <c r="A4028" t="s">
        <v>1399</v>
      </c>
      <c r="B4028">
        <v>44</v>
      </c>
      <c r="C4028" t="s">
        <v>4406</v>
      </c>
      <c r="D4028" t="s">
        <v>4587</v>
      </c>
      <c r="E4028" t="s">
        <v>4767</v>
      </c>
      <c r="F4028" t="s">
        <v>4583</v>
      </c>
    </row>
    <row r="4029" spans="1:6" x14ac:dyDescent="0.25">
      <c r="A4029" t="s">
        <v>1415</v>
      </c>
      <c r="B4029">
        <v>76</v>
      </c>
      <c r="C4029" t="s">
        <v>4406</v>
      </c>
      <c r="D4029" t="s">
        <v>4524</v>
      </c>
      <c r="E4029" t="s">
        <v>4590</v>
      </c>
      <c r="F4029" t="s">
        <v>4558</v>
      </c>
    </row>
    <row r="4030" spans="1:6" x14ac:dyDescent="0.25">
      <c r="A4030" t="s">
        <v>1296</v>
      </c>
      <c r="B4030">
        <v>297</v>
      </c>
      <c r="C4030" t="s">
        <v>4410</v>
      </c>
      <c r="D4030" t="s">
        <v>4530</v>
      </c>
      <c r="E4030" t="s">
        <v>5377</v>
      </c>
      <c r="F4030" t="s">
        <v>4405</v>
      </c>
    </row>
    <row r="4032" spans="1:6" x14ac:dyDescent="0.25">
      <c r="A4032" t="s">
        <v>6056</v>
      </c>
    </row>
    <row r="4033" spans="1:6" x14ac:dyDescent="0.25">
      <c r="A4033" t="s">
        <v>907</v>
      </c>
      <c r="B4033" t="s">
        <v>4394</v>
      </c>
      <c r="C4033" t="s">
        <v>4620</v>
      </c>
      <c r="D4033" t="s">
        <v>4621</v>
      </c>
      <c r="E4033" t="s">
        <v>4622</v>
      </c>
      <c r="F4033" t="s">
        <v>4624</v>
      </c>
    </row>
    <row r="4034" spans="1:6" x14ac:dyDescent="0.25">
      <c r="A4034" t="s">
        <v>109</v>
      </c>
      <c r="B4034">
        <v>257</v>
      </c>
      <c r="C4034" t="s">
        <v>4417</v>
      </c>
      <c r="D4034" t="s">
        <v>4653</v>
      </c>
      <c r="E4034" t="s">
        <v>5378</v>
      </c>
      <c r="F4034" t="s">
        <v>4824</v>
      </c>
    </row>
    <row r="4035" spans="1:6" x14ac:dyDescent="0.25">
      <c r="A4035" t="s">
        <v>192</v>
      </c>
      <c r="B4035">
        <v>40</v>
      </c>
      <c r="C4035" t="s">
        <v>4406</v>
      </c>
      <c r="D4035" t="s">
        <v>4480</v>
      </c>
      <c r="E4035" t="s">
        <v>4457</v>
      </c>
      <c r="F4035" t="s">
        <v>4759</v>
      </c>
    </row>
    <row r="4036" spans="1:6" x14ac:dyDescent="0.25">
      <c r="A4036" t="s">
        <v>1296</v>
      </c>
      <c r="B4036">
        <v>297</v>
      </c>
      <c r="C4036" t="s">
        <v>4410</v>
      </c>
      <c r="D4036" t="s">
        <v>4530</v>
      </c>
      <c r="E4036" t="s">
        <v>5377</v>
      </c>
      <c r="F4036" t="s">
        <v>4405</v>
      </c>
    </row>
    <row r="4038" spans="1:6" x14ac:dyDescent="0.25">
      <c r="A4038" t="s">
        <v>6057</v>
      </c>
    </row>
    <row r="4039" spans="1:6" x14ac:dyDescent="0.25">
      <c r="A4039" t="s">
        <v>1154</v>
      </c>
      <c r="B4039" t="s">
        <v>4394</v>
      </c>
      <c r="C4039" t="s">
        <v>4620</v>
      </c>
      <c r="D4039" t="s">
        <v>4621</v>
      </c>
      <c r="E4039" t="s">
        <v>4622</v>
      </c>
      <c r="F4039" t="s">
        <v>4624</v>
      </c>
    </row>
    <row r="4040" spans="1:6" x14ac:dyDescent="0.25">
      <c r="A4040" t="s">
        <v>5355</v>
      </c>
      <c r="B4040">
        <v>3</v>
      </c>
      <c r="C4040" t="s">
        <v>4406</v>
      </c>
      <c r="D4040" t="s">
        <v>4406</v>
      </c>
      <c r="E4040" t="s">
        <v>4454</v>
      </c>
      <c r="F4040" t="s">
        <v>4406</v>
      </c>
    </row>
    <row r="4041" spans="1:6" x14ac:dyDescent="0.25">
      <c r="A4041" t="s">
        <v>5356</v>
      </c>
      <c r="B4041">
        <v>198</v>
      </c>
      <c r="C4041" t="s">
        <v>4402</v>
      </c>
      <c r="D4041" t="s">
        <v>4882</v>
      </c>
      <c r="E4041" t="s">
        <v>4577</v>
      </c>
      <c r="F4041" t="s">
        <v>4854</v>
      </c>
    </row>
    <row r="4042" spans="1:6" x14ac:dyDescent="0.25">
      <c r="A4042" t="s">
        <v>5357</v>
      </c>
      <c r="B4042">
        <v>96</v>
      </c>
      <c r="C4042" t="s">
        <v>4406</v>
      </c>
      <c r="D4042" t="s">
        <v>4874</v>
      </c>
      <c r="E4042" t="s">
        <v>4478</v>
      </c>
      <c r="F4042" t="s">
        <v>4769</v>
      </c>
    </row>
    <row r="4043" spans="1:6" x14ac:dyDescent="0.25">
      <c r="A4043" t="s">
        <v>1296</v>
      </c>
      <c r="B4043">
        <v>297</v>
      </c>
      <c r="C4043" t="s">
        <v>4410</v>
      </c>
      <c r="D4043" t="s">
        <v>4530</v>
      </c>
      <c r="E4043" t="s">
        <v>5377</v>
      </c>
      <c r="F4043" t="s">
        <v>4405</v>
      </c>
    </row>
    <row r="4045" spans="1:6" x14ac:dyDescent="0.25">
      <c r="A4045" t="s">
        <v>6058</v>
      </c>
    </row>
    <row r="4046" spans="1:6" x14ac:dyDescent="0.25">
      <c r="A4046" t="s">
        <v>903</v>
      </c>
      <c r="B4046" t="s">
        <v>4394</v>
      </c>
      <c r="C4046" t="s">
        <v>4620</v>
      </c>
      <c r="D4046" t="s">
        <v>4621</v>
      </c>
      <c r="E4046" t="s">
        <v>4622</v>
      </c>
      <c r="F4046" t="s">
        <v>4624</v>
      </c>
    </row>
    <row r="4047" spans="1:6" x14ac:dyDescent="0.25">
      <c r="A4047" t="s">
        <v>70</v>
      </c>
      <c r="B4047">
        <v>85</v>
      </c>
      <c r="C4047" t="s">
        <v>4406</v>
      </c>
      <c r="D4047" t="s">
        <v>4616</v>
      </c>
      <c r="E4047" t="s">
        <v>4822</v>
      </c>
      <c r="F4047" t="s">
        <v>4616</v>
      </c>
    </row>
    <row r="4048" spans="1:6" x14ac:dyDescent="0.25">
      <c r="A4048" t="s">
        <v>71</v>
      </c>
      <c r="B4048">
        <v>212</v>
      </c>
      <c r="C4048" t="s">
        <v>4902</v>
      </c>
      <c r="D4048" t="s">
        <v>4584</v>
      </c>
      <c r="E4048" t="s">
        <v>4829</v>
      </c>
      <c r="F4048" t="s">
        <v>4527</v>
      </c>
    </row>
    <row r="4049" spans="1:7" x14ac:dyDescent="0.25">
      <c r="A4049" t="s">
        <v>1296</v>
      </c>
      <c r="B4049">
        <v>297</v>
      </c>
      <c r="C4049" t="s">
        <v>4410</v>
      </c>
      <c r="D4049" t="s">
        <v>4530</v>
      </c>
      <c r="E4049" t="s">
        <v>5377</v>
      </c>
      <c r="F4049" t="s">
        <v>4405</v>
      </c>
    </row>
    <row r="4051" spans="1:7" x14ac:dyDescent="0.25">
      <c r="A4051" t="s">
        <v>6059</v>
      </c>
    </row>
    <row r="4052" spans="1:7" x14ac:dyDescent="0.25">
      <c r="A4052" t="s">
        <v>1297</v>
      </c>
      <c r="B4052" t="s">
        <v>4394</v>
      </c>
      <c r="C4052" t="s">
        <v>4428</v>
      </c>
      <c r="D4052" t="s">
        <v>4429</v>
      </c>
      <c r="E4052" t="s">
        <v>4430</v>
      </c>
      <c r="F4052" t="s">
        <v>4431</v>
      </c>
      <c r="G4052" t="s">
        <v>4432</v>
      </c>
    </row>
    <row r="4053" spans="1:7" x14ac:dyDescent="0.25">
      <c r="A4053" t="s">
        <v>5549</v>
      </c>
      <c r="B4053">
        <v>132</v>
      </c>
      <c r="C4053">
        <v>27.58</v>
      </c>
      <c r="D4053">
        <v>24</v>
      </c>
      <c r="E4053">
        <v>8</v>
      </c>
      <c r="F4053">
        <v>107</v>
      </c>
      <c r="G4053">
        <v>3641</v>
      </c>
    </row>
    <row r="4054" spans="1:7" x14ac:dyDescent="0.25">
      <c r="A4054" t="s">
        <v>1397</v>
      </c>
      <c r="B4054">
        <v>73</v>
      </c>
      <c r="C4054">
        <v>34.700000000000003</v>
      </c>
      <c r="D4054">
        <v>32</v>
      </c>
      <c r="E4054">
        <v>7</v>
      </c>
      <c r="F4054">
        <v>98</v>
      </c>
      <c r="G4054">
        <v>2533</v>
      </c>
    </row>
    <row r="4056" spans="1:7" x14ac:dyDescent="0.25">
      <c r="A4056" t="s">
        <v>6060</v>
      </c>
    </row>
    <row r="4057" spans="1:7" x14ac:dyDescent="0.25">
      <c r="A4057" t="s">
        <v>905</v>
      </c>
      <c r="B4057" t="s">
        <v>4394</v>
      </c>
      <c r="C4057" t="s">
        <v>4428</v>
      </c>
      <c r="D4057" t="s">
        <v>4429</v>
      </c>
      <c r="E4057" t="s">
        <v>4430</v>
      </c>
      <c r="F4057" t="s">
        <v>4431</v>
      </c>
      <c r="G4057" t="s">
        <v>4432</v>
      </c>
    </row>
    <row r="4058" spans="1:7" x14ac:dyDescent="0.25">
      <c r="A4058" t="s">
        <v>4844</v>
      </c>
      <c r="B4058">
        <v>23</v>
      </c>
      <c r="C4058">
        <v>44.87</v>
      </c>
      <c r="D4058">
        <v>36</v>
      </c>
      <c r="E4058">
        <v>11</v>
      </c>
      <c r="F4058">
        <v>107</v>
      </c>
      <c r="G4058">
        <v>1032</v>
      </c>
    </row>
    <row r="4059" spans="1:7" x14ac:dyDescent="0.25">
      <c r="A4059" t="s">
        <v>4845</v>
      </c>
      <c r="B4059">
        <v>161</v>
      </c>
      <c r="C4059">
        <v>29.06</v>
      </c>
      <c r="D4059">
        <v>26</v>
      </c>
      <c r="E4059">
        <v>7</v>
      </c>
      <c r="F4059">
        <v>98</v>
      </c>
      <c r="G4059">
        <v>4678</v>
      </c>
    </row>
    <row r="4060" spans="1:7" x14ac:dyDescent="0.25">
      <c r="A4060" t="s">
        <v>4846</v>
      </c>
      <c r="B4060">
        <v>21</v>
      </c>
      <c r="C4060">
        <v>22.1</v>
      </c>
      <c r="D4060">
        <v>21</v>
      </c>
      <c r="E4060">
        <v>8</v>
      </c>
      <c r="F4060">
        <v>57</v>
      </c>
      <c r="G4060">
        <v>464</v>
      </c>
    </row>
    <row r="4062" spans="1:7" x14ac:dyDescent="0.25">
      <c r="A4062" t="s">
        <v>6061</v>
      </c>
    </row>
    <row r="4063" spans="1:7" x14ac:dyDescent="0.25">
      <c r="A4063" t="s">
        <v>906</v>
      </c>
      <c r="B4063" t="s">
        <v>4394</v>
      </c>
      <c r="C4063" t="s">
        <v>4428</v>
      </c>
      <c r="D4063" t="s">
        <v>4429</v>
      </c>
      <c r="E4063" t="s">
        <v>4430</v>
      </c>
      <c r="F4063" t="s">
        <v>4431</v>
      </c>
      <c r="G4063" t="s">
        <v>4432</v>
      </c>
    </row>
    <row r="4064" spans="1:7" x14ac:dyDescent="0.25">
      <c r="A4064" t="s">
        <v>1338</v>
      </c>
      <c r="B4064">
        <v>33</v>
      </c>
      <c r="C4064">
        <v>29.48</v>
      </c>
      <c r="D4064">
        <v>26</v>
      </c>
      <c r="E4064">
        <v>10</v>
      </c>
      <c r="F4064">
        <v>107</v>
      </c>
      <c r="G4064">
        <v>973</v>
      </c>
    </row>
    <row r="4065" spans="1:7" x14ac:dyDescent="0.25">
      <c r="A4065" t="s">
        <v>1370</v>
      </c>
      <c r="B4065">
        <v>23</v>
      </c>
      <c r="C4065">
        <v>25</v>
      </c>
      <c r="D4065">
        <v>24</v>
      </c>
      <c r="E4065">
        <v>9</v>
      </c>
      <c r="F4065">
        <v>42</v>
      </c>
      <c r="G4065">
        <v>575</v>
      </c>
    </row>
    <row r="4066" spans="1:7" x14ac:dyDescent="0.25">
      <c r="A4066" t="s">
        <v>1439</v>
      </c>
      <c r="B4066">
        <v>13</v>
      </c>
      <c r="C4066">
        <v>28.08</v>
      </c>
      <c r="D4066">
        <v>29</v>
      </c>
      <c r="E4066">
        <v>10</v>
      </c>
      <c r="F4066">
        <v>56</v>
      </c>
      <c r="G4066">
        <v>365</v>
      </c>
    </row>
    <row r="4067" spans="1:7" x14ac:dyDescent="0.25">
      <c r="A4067" t="s">
        <v>1476</v>
      </c>
      <c r="B4067">
        <v>42</v>
      </c>
      <c r="C4067">
        <v>39.4</v>
      </c>
      <c r="D4067">
        <v>34</v>
      </c>
      <c r="E4067">
        <v>11</v>
      </c>
      <c r="F4067">
        <v>98</v>
      </c>
      <c r="G4067">
        <v>1655</v>
      </c>
    </row>
    <row r="4068" spans="1:7" x14ac:dyDescent="0.25">
      <c r="A4068" t="s">
        <v>5476</v>
      </c>
      <c r="B4068">
        <v>2</v>
      </c>
      <c r="C4068">
        <v>40</v>
      </c>
      <c r="D4068">
        <v>40</v>
      </c>
      <c r="E4068">
        <v>40</v>
      </c>
      <c r="F4068">
        <v>40</v>
      </c>
      <c r="G4068">
        <v>80</v>
      </c>
    </row>
    <row r="4069" spans="1:7" x14ac:dyDescent="0.25">
      <c r="A4069" t="s">
        <v>1399</v>
      </c>
      <c r="B4069">
        <v>33</v>
      </c>
      <c r="C4069">
        <v>31.58</v>
      </c>
      <c r="D4069">
        <v>29</v>
      </c>
      <c r="E4069">
        <v>9</v>
      </c>
      <c r="F4069">
        <v>83</v>
      </c>
      <c r="G4069">
        <v>1042</v>
      </c>
    </row>
    <row r="4070" spans="1:7" x14ac:dyDescent="0.25">
      <c r="A4070" t="s">
        <v>1415</v>
      </c>
      <c r="B4070">
        <v>59</v>
      </c>
      <c r="C4070">
        <v>25.15</v>
      </c>
      <c r="D4070">
        <v>22</v>
      </c>
      <c r="E4070">
        <v>7</v>
      </c>
      <c r="F4070">
        <v>77</v>
      </c>
      <c r="G4070">
        <v>1484</v>
      </c>
    </row>
    <row r="4072" spans="1:7" x14ac:dyDescent="0.25">
      <c r="A4072" t="s">
        <v>6062</v>
      </c>
    </row>
    <row r="4073" spans="1:7" x14ac:dyDescent="0.25">
      <c r="A4073" t="s">
        <v>907</v>
      </c>
      <c r="B4073" t="s">
        <v>4394</v>
      </c>
      <c r="C4073" t="s">
        <v>4428</v>
      </c>
      <c r="D4073" t="s">
        <v>4429</v>
      </c>
      <c r="E4073" t="s">
        <v>4430</v>
      </c>
      <c r="F4073" t="s">
        <v>4431</v>
      </c>
      <c r="G4073" t="s">
        <v>4432</v>
      </c>
    </row>
    <row r="4074" spans="1:7" x14ac:dyDescent="0.25">
      <c r="A4074" t="s">
        <v>109</v>
      </c>
      <c r="B4074">
        <v>182</v>
      </c>
      <c r="C4074">
        <v>29.71</v>
      </c>
      <c r="D4074">
        <v>26</v>
      </c>
      <c r="E4074">
        <v>7</v>
      </c>
      <c r="F4074">
        <v>107</v>
      </c>
      <c r="G4074">
        <v>5407</v>
      </c>
    </row>
    <row r="4075" spans="1:7" x14ac:dyDescent="0.25">
      <c r="A4075" t="s">
        <v>192</v>
      </c>
      <c r="B4075">
        <v>23</v>
      </c>
      <c r="C4075">
        <v>33.35</v>
      </c>
      <c r="D4075">
        <v>31</v>
      </c>
      <c r="E4075">
        <v>10</v>
      </c>
      <c r="F4075">
        <v>65</v>
      </c>
      <c r="G4075">
        <v>767</v>
      </c>
    </row>
    <row r="4077" spans="1:7" x14ac:dyDescent="0.25">
      <c r="A4077" t="s">
        <v>6063</v>
      </c>
    </row>
    <row r="4078" spans="1:7" x14ac:dyDescent="0.25">
      <c r="A4078" t="s">
        <v>910</v>
      </c>
      <c r="B4078" t="s">
        <v>4394</v>
      </c>
      <c r="C4078" t="s">
        <v>4428</v>
      </c>
      <c r="D4078" t="s">
        <v>4429</v>
      </c>
      <c r="E4078" t="s">
        <v>4430</v>
      </c>
      <c r="F4078" t="s">
        <v>4431</v>
      </c>
      <c r="G4078" t="s">
        <v>4432</v>
      </c>
    </row>
    <row r="4079" spans="1:7" x14ac:dyDescent="0.25">
      <c r="A4079" t="s">
        <v>1371</v>
      </c>
      <c r="B4079">
        <v>29</v>
      </c>
      <c r="C4079">
        <v>25.17</v>
      </c>
      <c r="D4079">
        <v>24</v>
      </c>
      <c r="E4079">
        <v>7</v>
      </c>
      <c r="F4079">
        <v>44</v>
      </c>
      <c r="G4079">
        <v>730</v>
      </c>
    </row>
    <row r="4080" spans="1:7" x14ac:dyDescent="0.25">
      <c r="A4080" t="s">
        <v>1452</v>
      </c>
      <c r="B4080">
        <v>17</v>
      </c>
      <c r="C4080">
        <v>18.41</v>
      </c>
      <c r="D4080">
        <v>19</v>
      </c>
      <c r="E4080">
        <v>9</v>
      </c>
      <c r="F4080">
        <v>29</v>
      </c>
      <c r="G4080">
        <v>313</v>
      </c>
    </row>
    <row r="4081" spans="1:7" x14ac:dyDescent="0.25">
      <c r="A4081" t="s">
        <v>5560</v>
      </c>
      <c r="B4081">
        <v>35</v>
      </c>
      <c r="C4081">
        <v>42.06</v>
      </c>
      <c r="D4081">
        <v>35</v>
      </c>
      <c r="E4081">
        <v>11</v>
      </c>
      <c r="F4081">
        <v>107</v>
      </c>
      <c r="G4081">
        <v>1472</v>
      </c>
    </row>
    <row r="4082" spans="1:7" x14ac:dyDescent="0.25">
      <c r="A4082" t="s">
        <v>1424</v>
      </c>
      <c r="B4082">
        <v>79</v>
      </c>
      <c r="C4082">
        <v>32.200000000000003</v>
      </c>
      <c r="D4082">
        <v>29</v>
      </c>
      <c r="E4082">
        <v>10</v>
      </c>
      <c r="F4082">
        <v>98</v>
      </c>
      <c r="G4082">
        <v>2544</v>
      </c>
    </row>
    <row r="4083" spans="1:7" x14ac:dyDescent="0.25">
      <c r="A4083" t="s">
        <v>1340</v>
      </c>
      <c r="B4083">
        <v>24</v>
      </c>
      <c r="C4083">
        <v>25</v>
      </c>
      <c r="D4083">
        <v>23</v>
      </c>
      <c r="E4083">
        <v>8</v>
      </c>
      <c r="F4083">
        <v>57</v>
      </c>
      <c r="G4083">
        <v>600</v>
      </c>
    </row>
    <row r="4084" spans="1:7" x14ac:dyDescent="0.25">
      <c r="A4084" t="s">
        <v>5561</v>
      </c>
      <c r="B4084">
        <v>3</v>
      </c>
      <c r="C4084">
        <v>53</v>
      </c>
      <c r="D4084">
        <v>40</v>
      </c>
      <c r="E4084">
        <v>36</v>
      </c>
      <c r="F4084">
        <v>83</v>
      </c>
      <c r="G4084">
        <v>159</v>
      </c>
    </row>
    <row r="4085" spans="1:7" x14ac:dyDescent="0.25">
      <c r="A4085" t="s">
        <v>1416</v>
      </c>
      <c r="B4085">
        <v>18</v>
      </c>
      <c r="C4085">
        <v>19.78</v>
      </c>
      <c r="D4085">
        <v>18</v>
      </c>
      <c r="E4085">
        <v>13</v>
      </c>
      <c r="F4085">
        <v>34</v>
      </c>
      <c r="G4085">
        <v>356</v>
      </c>
    </row>
    <row r="4087" spans="1:7" x14ac:dyDescent="0.25">
      <c r="A4087" t="s">
        <v>6064</v>
      </c>
    </row>
    <row r="4088" spans="1:7" x14ac:dyDescent="0.25">
      <c r="A4088" t="s">
        <v>928</v>
      </c>
      <c r="B4088" t="s">
        <v>4394</v>
      </c>
      <c r="C4088" t="s">
        <v>4428</v>
      </c>
      <c r="D4088" t="s">
        <v>4429</v>
      </c>
      <c r="E4088" t="s">
        <v>4430</v>
      </c>
      <c r="F4088" t="s">
        <v>4431</v>
      </c>
      <c r="G4088" t="s">
        <v>4432</v>
      </c>
    </row>
    <row r="4089" spans="1:7" x14ac:dyDescent="0.25">
      <c r="A4089" t="s">
        <v>4433</v>
      </c>
      <c r="B4089">
        <v>4</v>
      </c>
      <c r="C4089">
        <v>31.5</v>
      </c>
      <c r="D4089">
        <v>24</v>
      </c>
      <c r="E4089">
        <v>10</v>
      </c>
      <c r="F4089">
        <v>50</v>
      </c>
      <c r="G4089">
        <v>126</v>
      </c>
    </row>
    <row r="4090" spans="1:7" x14ac:dyDescent="0.25">
      <c r="A4090" t="s">
        <v>4434</v>
      </c>
      <c r="B4090">
        <v>112</v>
      </c>
      <c r="C4090">
        <v>31.97</v>
      </c>
      <c r="D4090">
        <v>29</v>
      </c>
      <c r="E4090">
        <v>7</v>
      </c>
      <c r="F4090">
        <v>107</v>
      </c>
      <c r="G4090">
        <v>3581</v>
      </c>
    </row>
    <row r="4091" spans="1:7" x14ac:dyDescent="0.25">
      <c r="A4091" t="s">
        <v>4435</v>
      </c>
      <c r="B4091">
        <v>87</v>
      </c>
      <c r="C4091">
        <v>27.9</v>
      </c>
      <c r="D4091">
        <v>26</v>
      </c>
      <c r="E4091">
        <v>10</v>
      </c>
      <c r="F4091">
        <v>83</v>
      </c>
      <c r="G4091">
        <v>2427</v>
      </c>
    </row>
    <row r="4092" spans="1:7" x14ac:dyDescent="0.25">
      <c r="A4092" t="s">
        <v>4437</v>
      </c>
      <c r="B4092">
        <v>2</v>
      </c>
      <c r="C4092">
        <v>20</v>
      </c>
      <c r="D4092">
        <v>18</v>
      </c>
      <c r="E4092">
        <v>18</v>
      </c>
      <c r="F4092">
        <v>22</v>
      </c>
      <c r="G4092">
        <v>40</v>
      </c>
    </row>
    <row r="4094" spans="1:7" x14ac:dyDescent="0.25">
      <c r="A4094" t="s">
        <v>6065</v>
      </c>
    </row>
    <row r="4095" spans="1:7" x14ac:dyDescent="0.25">
      <c r="A4095" t="s">
        <v>913</v>
      </c>
      <c r="B4095" t="s">
        <v>4394</v>
      </c>
      <c r="C4095" t="s">
        <v>4428</v>
      </c>
      <c r="D4095" t="s">
        <v>4429</v>
      </c>
      <c r="E4095" t="s">
        <v>4430</v>
      </c>
      <c r="F4095" t="s">
        <v>4431</v>
      </c>
      <c r="G4095" t="s">
        <v>4432</v>
      </c>
    </row>
    <row r="4096" spans="1:7" x14ac:dyDescent="0.25">
      <c r="A4096" t="s">
        <v>1561</v>
      </c>
      <c r="B4096">
        <v>2</v>
      </c>
      <c r="C4096">
        <v>46</v>
      </c>
      <c r="D4096">
        <v>42</v>
      </c>
      <c r="E4096">
        <v>42</v>
      </c>
      <c r="F4096">
        <v>50</v>
      </c>
      <c r="G4096">
        <v>92</v>
      </c>
    </row>
    <row r="4097" spans="1:7" x14ac:dyDescent="0.25">
      <c r="A4097" t="s">
        <v>1460</v>
      </c>
      <c r="B4097">
        <v>65</v>
      </c>
      <c r="C4097">
        <v>35.69</v>
      </c>
      <c r="D4097">
        <v>31</v>
      </c>
      <c r="E4097">
        <v>9</v>
      </c>
      <c r="F4097">
        <v>107</v>
      </c>
      <c r="G4097">
        <v>2320</v>
      </c>
    </row>
    <row r="4098" spans="1:7" x14ac:dyDescent="0.25">
      <c r="A4098" t="s">
        <v>1342</v>
      </c>
      <c r="B4098">
        <v>64</v>
      </c>
      <c r="C4098">
        <v>29.8</v>
      </c>
      <c r="D4098">
        <v>28</v>
      </c>
      <c r="E4098">
        <v>10</v>
      </c>
      <c r="F4098">
        <v>83</v>
      </c>
      <c r="G4098">
        <v>1907</v>
      </c>
    </row>
    <row r="4099" spans="1:7" x14ac:dyDescent="0.25">
      <c r="A4099" t="s">
        <v>1375</v>
      </c>
      <c r="B4099">
        <v>73</v>
      </c>
      <c r="C4099">
        <v>25.16</v>
      </c>
      <c r="D4099">
        <v>22</v>
      </c>
      <c r="E4099">
        <v>7</v>
      </c>
      <c r="F4099">
        <v>98</v>
      </c>
      <c r="G4099">
        <v>1837</v>
      </c>
    </row>
    <row r="4100" spans="1:7" x14ac:dyDescent="0.25">
      <c r="A4100" t="s">
        <v>1682</v>
      </c>
      <c r="B4100">
        <v>1</v>
      </c>
      <c r="C4100">
        <v>18</v>
      </c>
      <c r="D4100">
        <v>18</v>
      </c>
      <c r="E4100">
        <v>18</v>
      </c>
      <c r="F4100">
        <v>18</v>
      </c>
      <c r="G4100">
        <v>18</v>
      </c>
    </row>
    <row r="4102" spans="1:7" x14ac:dyDescent="0.25">
      <c r="A4102" t="s">
        <v>6066</v>
      </c>
    </row>
    <row r="4103" spans="1:7" x14ac:dyDescent="0.25">
      <c r="A4103" t="s">
        <v>903</v>
      </c>
      <c r="B4103" t="s">
        <v>4394</v>
      </c>
      <c r="C4103" t="s">
        <v>4428</v>
      </c>
      <c r="D4103" t="s">
        <v>4429</v>
      </c>
      <c r="E4103" t="s">
        <v>4430</v>
      </c>
      <c r="F4103" t="s">
        <v>4431</v>
      </c>
      <c r="G4103" t="s">
        <v>4432</v>
      </c>
    </row>
    <row r="4104" spans="1:7" x14ac:dyDescent="0.25">
      <c r="A4104" t="s">
        <v>70</v>
      </c>
      <c r="B4104">
        <v>24</v>
      </c>
      <c r="C4104">
        <v>27</v>
      </c>
      <c r="D4104">
        <v>26</v>
      </c>
      <c r="E4104">
        <v>8</v>
      </c>
      <c r="F4104">
        <v>57</v>
      </c>
      <c r="G4104">
        <v>648</v>
      </c>
    </row>
    <row r="4105" spans="1:7" x14ac:dyDescent="0.25">
      <c r="A4105" t="s">
        <v>71</v>
      </c>
      <c r="B4105">
        <v>181</v>
      </c>
      <c r="C4105">
        <v>30.53</v>
      </c>
      <c r="D4105">
        <v>26</v>
      </c>
      <c r="E4105">
        <v>7</v>
      </c>
      <c r="F4105">
        <v>107</v>
      </c>
      <c r="G4105">
        <v>5526</v>
      </c>
    </row>
    <row r="4106" spans="1:7" x14ac:dyDescent="0.25">
      <c r="A4106" t="s">
        <v>1296</v>
      </c>
      <c r="B4106">
        <v>205</v>
      </c>
      <c r="C4106">
        <v>30.12</v>
      </c>
      <c r="D4106">
        <v>26</v>
      </c>
      <c r="E4106">
        <v>7</v>
      </c>
      <c r="F4106">
        <v>107</v>
      </c>
      <c r="G4106">
        <v>6174</v>
      </c>
    </row>
    <row r="4108" spans="1:7" x14ac:dyDescent="0.25">
      <c r="A4108" t="s">
        <v>6067</v>
      </c>
    </row>
    <row r="4109" spans="1:7" x14ac:dyDescent="0.25">
      <c r="A4109" t="s">
        <v>1297</v>
      </c>
      <c r="B4109" t="s">
        <v>4394</v>
      </c>
      <c r="C4109" t="s">
        <v>4428</v>
      </c>
      <c r="D4109" t="s">
        <v>4429</v>
      </c>
      <c r="E4109" t="s">
        <v>4430</v>
      </c>
      <c r="F4109" t="s">
        <v>4431</v>
      </c>
      <c r="G4109" t="s">
        <v>4432</v>
      </c>
    </row>
    <row r="4110" spans="1:7" x14ac:dyDescent="0.25">
      <c r="A4110" t="s">
        <v>5549</v>
      </c>
      <c r="B4110">
        <v>134</v>
      </c>
      <c r="C4110">
        <v>19.760000000000002</v>
      </c>
      <c r="D4110">
        <v>15</v>
      </c>
      <c r="E4110">
        <v>6</v>
      </c>
      <c r="F4110">
        <v>73</v>
      </c>
      <c r="G4110">
        <v>2648</v>
      </c>
    </row>
    <row r="4111" spans="1:7" x14ac:dyDescent="0.25">
      <c r="A4111" t="s">
        <v>1397</v>
      </c>
      <c r="B4111">
        <v>76</v>
      </c>
      <c r="C4111">
        <v>25.67</v>
      </c>
      <c r="D4111">
        <v>21</v>
      </c>
      <c r="E4111">
        <v>6</v>
      </c>
      <c r="F4111">
        <v>89</v>
      </c>
      <c r="G4111">
        <v>1951</v>
      </c>
    </row>
    <row r="4113" spans="1:7" x14ac:dyDescent="0.25">
      <c r="A4113" t="s">
        <v>6068</v>
      </c>
    </row>
    <row r="4114" spans="1:7" x14ac:dyDescent="0.25">
      <c r="A4114" t="s">
        <v>905</v>
      </c>
      <c r="B4114" t="s">
        <v>4394</v>
      </c>
      <c r="C4114" t="s">
        <v>4428</v>
      </c>
      <c r="D4114" t="s">
        <v>4429</v>
      </c>
      <c r="E4114" t="s">
        <v>4430</v>
      </c>
      <c r="F4114" t="s">
        <v>4431</v>
      </c>
      <c r="G4114" t="s">
        <v>4432</v>
      </c>
    </row>
    <row r="4115" spans="1:7" x14ac:dyDescent="0.25">
      <c r="A4115" t="s">
        <v>4844</v>
      </c>
      <c r="B4115">
        <v>23</v>
      </c>
      <c r="C4115">
        <v>29.04</v>
      </c>
      <c r="D4115">
        <v>27</v>
      </c>
      <c r="E4115">
        <v>11</v>
      </c>
      <c r="F4115">
        <v>60</v>
      </c>
      <c r="G4115">
        <v>668</v>
      </c>
    </row>
    <row r="4116" spans="1:7" x14ac:dyDescent="0.25">
      <c r="A4116" t="s">
        <v>4845</v>
      </c>
      <c r="B4116">
        <v>166</v>
      </c>
      <c r="C4116">
        <v>21.98</v>
      </c>
      <c r="D4116">
        <v>18</v>
      </c>
      <c r="E4116">
        <v>6</v>
      </c>
      <c r="F4116">
        <v>89</v>
      </c>
      <c r="G4116">
        <v>3648</v>
      </c>
    </row>
    <row r="4117" spans="1:7" x14ac:dyDescent="0.25">
      <c r="A4117" t="s">
        <v>4846</v>
      </c>
      <c r="B4117">
        <v>21</v>
      </c>
      <c r="C4117">
        <v>13.48</v>
      </c>
      <c r="D4117">
        <v>11</v>
      </c>
      <c r="E4117">
        <v>7</v>
      </c>
      <c r="F4117">
        <v>42</v>
      </c>
      <c r="G4117">
        <v>283</v>
      </c>
    </row>
    <row r="4119" spans="1:7" x14ac:dyDescent="0.25">
      <c r="A4119" t="s">
        <v>6069</v>
      </c>
    </row>
    <row r="4120" spans="1:7" x14ac:dyDescent="0.25">
      <c r="A4120" t="s">
        <v>906</v>
      </c>
      <c r="B4120" t="s">
        <v>4394</v>
      </c>
      <c r="C4120" t="s">
        <v>4428</v>
      </c>
      <c r="D4120" t="s">
        <v>4429</v>
      </c>
      <c r="E4120" t="s">
        <v>4430</v>
      </c>
      <c r="F4120" t="s">
        <v>4431</v>
      </c>
      <c r="G4120" t="s">
        <v>4432</v>
      </c>
    </row>
    <row r="4121" spans="1:7" x14ac:dyDescent="0.25">
      <c r="A4121" t="s">
        <v>1338</v>
      </c>
      <c r="B4121">
        <v>36</v>
      </c>
      <c r="C4121">
        <v>20.36</v>
      </c>
      <c r="D4121">
        <v>15</v>
      </c>
      <c r="E4121">
        <v>7</v>
      </c>
      <c r="F4121">
        <v>78</v>
      </c>
      <c r="G4121">
        <v>733</v>
      </c>
    </row>
    <row r="4122" spans="1:7" x14ac:dyDescent="0.25">
      <c r="A4122" t="s">
        <v>1370</v>
      </c>
      <c r="B4122">
        <v>22</v>
      </c>
      <c r="C4122">
        <v>18.09</v>
      </c>
      <c r="D4122">
        <v>13</v>
      </c>
      <c r="E4122">
        <v>6</v>
      </c>
      <c r="F4122">
        <v>73</v>
      </c>
      <c r="G4122">
        <v>398</v>
      </c>
    </row>
    <row r="4123" spans="1:7" x14ac:dyDescent="0.25">
      <c r="A4123" t="s">
        <v>1439</v>
      </c>
      <c r="B4123">
        <v>13</v>
      </c>
      <c r="C4123">
        <v>18.54</v>
      </c>
      <c r="D4123">
        <v>18</v>
      </c>
      <c r="E4123">
        <v>9</v>
      </c>
      <c r="F4123">
        <v>32</v>
      </c>
      <c r="G4123">
        <v>241</v>
      </c>
    </row>
    <row r="4124" spans="1:7" x14ac:dyDescent="0.25">
      <c r="A4124" t="s">
        <v>1476</v>
      </c>
      <c r="B4124">
        <v>42</v>
      </c>
      <c r="C4124">
        <v>26.67</v>
      </c>
      <c r="D4124">
        <v>23</v>
      </c>
      <c r="E4124">
        <v>9</v>
      </c>
      <c r="F4124">
        <v>50</v>
      </c>
      <c r="G4124">
        <v>1120</v>
      </c>
    </row>
    <row r="4125" spans="1:7" x14ac:dyDescent="0.25">
      <c r="A4125" t="s">
        <v>5476</v>
      </c>
      <c r="B4125">
        <v>2</v>
      </c>
      <c r="C4125">
        <v>34</v>
      </c>
      <c r="D4125">
        <v>26</v>
      </c>
      <c r="E4125">
        <v>26</v>
      </c>
      <c r="F4125">
        <v>42</v>
      </c>
      <c r="G4125">
        <v>68</v>
      </c>
    </row>
    <row r="4126" spans="1:7" x14ac:dyDescent="0.25">
      <c r="A4126" t="s">
        <v>1399</v>
      </c>
      <c r="B4126">
        <v>35</v>
      </c>
      <c r="C4126">
        <v>27.6</v>
      </c>
      <c r="D4126">
        <v>21</v>
      </c>
      <c r="E4126">
        <v>6</v>
      </c>
      <c r="F4126">
        <v>89</v>
      </c>
      <c r="G4126">
        <v>966</v>
      </c>
    </row>
    <row r="4127" spans="1:7" x14ac:dyDescent="0.25">
      <c r="A4127" t="s">
        <v>1415</v>
      </c>
      <c r="B4127">
        <v>60</v>
      </c>
      <c r="C4127">
        <v>17.88</v>
      </c>
      <c r="D4127">
        <v>14</v>
      </c>
      <c r="E4127">
        <v>7</v>
      </c>
      <c r="F4127">
        <v>53</v>
      </c>
      <c r="G4127">
        <v>1073</v>
      </c>
    </row>
    <row r="4129" spans="1:7" x14ac:dyDescent="0.25">
      <c r="A4129" t="s">
        <v>6070</v>
      </c>
    </row>
    <row r="4130" spans="1:7" x14ac:dyDescent="0.25">
      <c r="A4130" t="s">
        <v>907</v>
      </c>
      <c r="B4130" t="s">
        <v>4394</v>
      </c>
      <c r="C4130" t="s">
        <v>4428</v>
      </c>
      <c r="D4130" t="s">
        <v>4429</v>
      </c>
      <c r="E4130" t="s">
        <v>4430</v>
      </c>
      <c r="F4130" t="s">
        <v>4431</v>
      </c>
      <c r="G4130" t="s">
        <v>4432</v>
      </c>
    </row>
    <row r="4131" spans="1:7" x14ac:dyDescent="0.25">
      <c r="A4131" t="s">
        <v>109</v>
      </c>
      <c r="B4131">
        <v>187</v>
      </c>
      <c r="C4131">
        <v>21.53</v>
      </c>
      <c r="D4131">
        <v>17</v>
      </c>
      <c r="E4131">
        <v>6</v>
      </c>
      <c r="F4131">
        <v>89</v>
      </c>
      <c r="G4131">
        <v>4027</v>
      </c>
    </row>
    <row r="4132" spans="1:7" x14ac:dyDescent="0.25">
      <c r="A4132" t="s">
        <v>192</v>
      </c>
      <c r="B4132">
        <v>23</v>
      </c>
      <c r="C4132">
        <v>24.87</v>
      </c>
      <c r="D4132">
        <v>20</v>
      </c>
      <c r="E4132">
        <v>7</v>
      </c>
      <c r="F4132">
        <v>73</v>
      </c>
      <c r="G4132">
        <v>572</v>
      </c>
    </row>
    <row r="4134" spans="1:7" x14ac:dyDescent="0.25">
      <c r="A4134" t="s">
        <v>6071</v>
      </c>
    </row>
    <row r="4135" spans="1:7" x14ac:dyDescent="0.25">
      <c r="A4135" t="s">
        <v>910</v>
      </c>
      <c r="B4135" t="s">
        <v>4394</v>
      </c>
      <c r="C4135" t="s">
        <v>4428</v>
      </c>
      <c r="D4135" t="s">
        <v>4429</v>
      </c>
      <c r="E4135" t="s">
        <v>4430</v>
      </c>
      <c r="F4135" t="s">
        <v>4431</v>
      </c>
      <c r="G4135" t="s">
        <v>4432</v>
      </c>
    </row>
    <row r="4136" spans="1:7" x14ac:dyDescent="0.25">
      <c r="A4136" t="s">
        <v>1371</v>
      </c>
      <c r="B4136">
        <v>29</v>
      </c>
      <c r="C4136">
        <v>18.62</v>
      </c>
      <c r="D4136">
        <v>17</v>
      </c>
      <c r="E4136">
        <v>7</v>
      </c>
      <c r="F4136">
        <v>43</v>
      </c>
      <c r="G4136">
        <v>540</v>
      </c>
    </row>
    <row r="4137" spans="1:7" x14ac:dyDescent="0.25">
      <c r="A4137" t="s">
        <v>1452</v>
      </c>
      <c r="B4137">
        <v>17</v>
      </c>
      <c r="C4137">
        <v>16.88</v>
      </c>
      <c r="D4137">
        <v>12</v>
      </c>
      <c r="E4137">
        <v>6</v>
      </c>
      <c r="F4137">
        <v>42</v>
      </c>
      <c r="G4137">
        <v>287</v>
      </c>
    </row>
    <row r="4138" spans="1:7" x14ac:dyDescent="0.25">
      <c r="A4138" t="s">
        <v>5560</v>
      </c>
      <c r="B4138">
        <v>37</v>
      </c>
      <c r="C4138">
        <v>29.38</v>
      </c>
      <c r="D4138">
        <v>29</v>
      </c>
      <c r="E4138">
        <v>7</v>
      </c>
      <c r="F4138">
        <v>89</v>
      </c>
      <c r="G4138">
        <v>1087</v>
      </c>
    </row>
    <row r="4139" spans="1:7" x14ac:dyDescent="0.25">
      <c r="A4139" t="s">
        <v>1424</v>
      </c>
      <c r="B4139">
        <v>81</v>
      </c>
      <c r="C4139">
        <v>24.11</v>
      </c>
      <c r="D4139">
        <v>21</v>
      </c>
      <c r="E4139">
        <v>6</v>
      </c>
      <c r="F4139">
        <v>78</v>
      </c>
      <c r="G4139">
        <v>1953</v>
      </c>
    </row>
    <row r="4140" spans="1:7" x14ac:dyDescent="0.25">
      <c r="A4140" t="s">
        <v>1340</v>
      </c>
      <c r="B4140">
        <v>25</v>
      </c>
      <c r="C4140">
        <v>16.96</v>
      </c>
      <c r="D4140">
        <v>12</v>
      </c>
      <c r="E4140">
        <v>7</v>
      </c>
      <c r="F4140">
        <v>60</v>
      </c>
      <c r="G4140">
        <v>424</v>
      </c>
    </row>
    <row r="4141" spans="1:7" x14ac:dyDescent="0.25">
      <c r="A4141" t="s">
        <v>5561</v>
      </c>
      <c r="B4141">
        <v>3</v>
      </c>
      <c r="C4141">
        <v>31</v>
      </c>
      <c r="D4141">
        <v>26</v>
      </c>
      <c r="E4141">
        <v>23</v>
      </c>
      <c r="F4141">
        <v>44</v>
      </c>
      <c r="G4141">
        <v>93</v>
      </c>
    </row>
    <row r="4142" spans="1:7" x14ac:dyDescent="0.25">
      <c r="A4142" t="s">
        <v>1416</v>
      </c>
      <c r="B4142">
        <v>18</v>
      </c>
      <c r="C4142">
        <v>11.94</v>
      </c>
      <c r="D4142">
        <v>11</v>
      </c>
      <c r="E4142">
        <v>8</v>
      </c>
      <c r="F4142">
        <v>17</v>
      </c>
      <c r="G4142">
        <v>215</v>
      </c>
    </row>
    <row r="4144" spans="1:7" x14ac:dyDescent="0.25">
      <c r="A4144" t="s">
        <v>6072</v>
      </c>
    </row>
    <row r="4145" spans="1:7" x14ac:dyDescent="0.25">
      <c r="A4145" t="s">
        <v>928</v>
      </c>
      <c r="B4145" t="s">
        <v>4394</v>
      </c>
      <c r="C4145" t="s">
        <v>4428</v>
      </c>
      <c r="D4145" t="s">
        <v>4429</v>
      </c>
      <c r="E4145" t="s">
        <v>4430</v>
      </c>
      <c r="F4145" t="s">
        <v>4431</v>
      </c>
      <c r="G4145" t="s">
        <v>4432</v>
      </c>
    </row>
    <row r="4146" spans="1:7" x14ac:dyDescent="0.25">
      <c r="A4146" t="s">
        <v>4433</v>
      </c>
      <c r="B4146">
        <v>5</v>
      </c>
      <c r="C4146">
        <v>33.6</v>
      </c>
      <c r="D4146">
        <v>33</v>
      </c>
      <c r="E4146">
        <v>10</v>
      </c>
      <c r="F4146">
        <v>60</v>
      </c>
      <c r="G4146">
        <v>168</v>
      </c>
    </row>
    <row r="4147" spans="1:7" x14ac:dyDescent="0.25">
      <c r="A4147" t="s">
        <v>4434</v>
      </c>
      <c r="B4147">
        <v>115</v>
      </c>
      <c r="C4147">
        <v>19.920000000000002</v>
      </c>
      <c r="D4147">
        <v>16</v>
      </c>
      <c r="E4147">
        <v>6</v>
      </c>
      <c r="F4147">
        <v>89</v>
      </c>
      <c r="G4147">
        <v>2291</v>
      </c>
    </row>
    <row r="4148" spans="1:7" x14ac:dyDescent="0.25">
      <c r="A4148" t="s">
        <v>4435</v>
      </c>
      <c r="B4148">
        <v>88</v>
      </c>
      <c r="C4148">
        <v>24.02</v>
      </c>
      <c r="D4148">
        <v>21</v>
      </c>
      <c r="E4148">
        <v>8</v>
      </c>
      <c r="F4148">
        <v>78</v>
      </c>
      <c r="G4148">
        <v>2114</v>
      </c>
    </row>
    <row r="4149" spans="1:7" x14ac:dyDescent="0.25">
      <c r="A4149" t="s">
        <v>4437</v>
      </c>
      <c r="B4149">
        <v>2</v>
      </c>
      <c r="C4149">
        <v>13</v>
      </c>
      <c r="D4149">
        <v>8</v>
      </c>
      <c r="E4149">
        <v>8</v>
      </c>
      <c r="F4149">
        <v>18</v>
      </c>
      <c r="G4149">
        <v>26</v>
      </c>
    </row>
    <row r="4151" spans="1:7" x14ac:dyDescent="0.25">
      <c r="A4151" t="s">
        <v>6073</v>
      </c>
    </row>
    <row r="4152" spans="1:7" x14ac:dyDescent="0.25">
      <c r="A4152" t="s">
        <v>913</v>
      </c>
      <c r="B4152" t="s">
        <v>4394</v>
      </c>
      <c r="C4152" t="s">
        <v>4428</v>
      </c>
      <c r="D4152" t="s">
        <v>4429</v>
      </c>
      <c r="E4152" t="s">
        <v>4430</v>
      </c>
      <c r="F4152" t="s">
        <v>4431</v>
      </c>
      <c r="G4152" t="s">
        <v>4432</v>
      </c>
    </row>
    <row r="4153" spans="1:7" x14ac:dyDescent="0.25">
      <c r="A4153" t="s">
        <v>1561</v>
      </c>
      <c r="B4153">
        <v>3</v>
      </c>
      <c r="C4153">
        <v>44.33</v>
      </c>
      <c r="D4153">
        <v>40</v>
      </c>
      <c r="E4153">
        <v>33</v>
      </c>
      <c r="F4153">
        <v>60</v>
      </c>
      <c r="G4153">
        <v>133</v>
      </c>
    </row>
    <row r="4154" spans="1:7" x14ac:dyDescent="0.25">
      <c r="A4154" t="s">
        <v>1460</v>
      </c>
      <c r="B4154">
        <v>65</v>
      </c>
      <c r="C4154">
        <v>21.31</v>
      </c>
      <c r="D4154">
        <v>18</v>
      </c>
      <c r="E4154">
        <v>6</v>
      </c>
      <c r="F4154">
        <v>89</v>
      </c>
      <c r="G4154">
        <v>1385</v>
      </c>
    </row>
    <row r="4155" spans="1:7" x14ac:dyDescent="0.25">
      <c r="A4155" t="s">
        <v>1342</v>
      </c>
      <c r="B4155">
        <v>65</v>
      </c>
      <c r="C4155">
        <v>25.43</v>
      </c>
      <c r="D4155">
        <v>22</v>
      </c>
      <c r="E4155">
        <v>8</v>
      </c>
      <c r="F4155">
        <v>53</v>
      </c>
      <c r="G4155">
        <v>1653</v>
      </c>
    </row>
    <row r="4156" spans="1:7" x14ac:dyDescent="0.25">
      <c r="A4156" t="s">
        <v>1375</v>
      </c>
      <c r="B4156">
        <v>76</v>
      </c>
      <c r="C4156">
        <v>18.55</v>
      </c>
      <c r="D4156">
        <v>13</v>
      </c>
      <c r="E4156">
        <v>6</v>
      </c>
      <c r="F4156">
        <v>78</v>
      </c>
      <c r="G4156">
        <v>1410</v>
      </c>
    </row>
    <row r="4157" spans="1:7" x14ac:dyDescent="0.25">
      <c r="A4157" t="s">
        <v>1682</v>
      </c>
      <c r="B4157">
        <v>1</v>
      </c>
      <c r="C4157">
        <v>18</v>
      </c>
      <c r="D4157">
        <v>18</v>
      </c>
      <c r="E4157">
        <v>18</v>
      </c>
      <c r="F4157">
        <v>18</v>
      </c>
      <c r="G4157">
        <v>18</v>
      </c>
    </row>
    <row r="4159" spans="1:7" x14ac:dyDescent="0.25">
      <c r="A4159" t="s">
        <v>6074</v>
      </c>
    </row>
    <row r="4160" spans="1:7" x14ac:dyDescent="0.25">
      <c r="A4160" t="s">
        <v>903</v>
      </c>
      <c r="B4160" t="s">
        <v>4394</v>
      </c>
      <c r="C4160" t="s">
        <v>4428</v>
      </c>
      <c r="D4160" t="s">
        <v>4429</v>
      </c>
      <c r="E4160" t="s">
        <v>4430</v>
      </c>
      <c r="F4160" t="s">
        <v>4431</v>
      </c>
      <c r="G4160" t="s">
        <v>4432</v>
      </c>
    </row>
    <row r="4161" spans="1:7" x14ac:dyDescent="0.25">
      <c r="A4161" t="s">
        <v>70</v>
      </c>
      <c r="B4161">
        <v>24</v>
      </c>
      <c r="C4161">
        <v>17.079999999999998</v>
      </c>
      <c r="D4161">
        <v>15</v>
      </c>
      <c r="E4161">
        <v>7</v>
      </c>
      <c r="F4161">
        <v>38</v>
      </c>
      <c r="G4161">
        <v>410</v>
      </c>
    </row>
    <row r="4162" spans="1:7" x14ac:dyDescent="0.25">
      <c r="A4162" t="s">
        <v>71</v>
      </c>
      <c r="B4162">
        <v>186</v>
      </c>
      <c r="C4162">
        <v>22.52</v>
      </c>
      <c r="D4162">
        <v>18</v>
      </c>
      <c r="E4162">
        <v>6</v>
      </c>
      <c r="F4162">
        <v>89</v>
      </c>
      <c r="G4162">
        <v>4189</v>
      </c>
    </row>
    <row r="4163" spans="1:7" x14ac:dyDescent="0.25">
      <c r="A4163" t="s">
        <v>1296</v>
      </c>
      <c r="B4163">
        <v>210</v>
      </c>
      <c r="C4163">
        <v>21.9</v>
      </c>
      <c r="D4163">
        <v>18</v>
      </c>
      <c r="E4163">
        <v>6</v>
      </c>
      <c r="F4163">
        <v>89</v>
      </c>
      <c r="G4163">
        <v>4599</v>
      </c>
    </row>
    <row r="4165" spans="1:7" x14ac:dyDescent="0.25">
      <c r="A4165" t="s">
        <v>6075</v>
      </c>
    </row>
    <row r="4166" spans="1:7" x14ac:dyDescent="0.25">
      <c r="A4166" t="s">
        <v>1297</v>
      </c>
      <c r="B4166" t="s">
        <v>4394</v>
      </c>
      <c r="C4166" t="s">
        <v>5379</v>
      </c>
      <c r="D4166" t="s">
        <v>5380</v>
      </c>
      <c r="E4166" t="s">
        <v>5381</v>
      </c>
      <c r="F4166" t="s">
        <v>5382</v>
      </c>
    </row>
    <row r="4167" spans="1:7" x14ac:dyDescent="0.25">
      <c r="A4167" t="s">
        <v>5549</v>
      </c>
      <c r="B4167">
        <v>198</v>
      </c>
      <c r="C4167" t="s">
        <v>4404</v>
      </c>
      <c r="D4167" t="s">
        <v>4740</v>
      </c>
      <c r="E4167" t="s">
        <v>4664</v>
      </c>
      <c r="F4167" t="s">
        <v>4664</v>
      </c>
    </row>
    <row r="4168" spans="1:7" x14ac:dyDescent="0.25">
      <c r="A4168" t="s">
        <v>1397</v>
      </c>
      <c r="B4168">
        <v>99</v>
      </c>
      <c r="C4168" t="s">
        <v>4744</v>
      </c>
      <c r="D4168" t="s">
        <v>5118</v>
      </c>
      <c r="E4168" t="s">
        <v>4426</v>
      </c>
      <c r="F4168" t="s">
        <v>4504</v>
      </c>
    </row>
    <row r="4169" spans="1:7" x14ac:dyDescent="0.25">
      <c r="A4169" t="s">
        <v>1296</v>
      </c>
      <c r="B4169">
        <v>297</v>
      </c>
      <c r="C4169" t="s">
        <v>4402</v>
      </c>
      <c r="D4169" t="s">
        <v>4519</v>
      </c>
      <c r="E4169" t="s">
        <v>4868</v>
      </c>
      <c r="F4169" t="s">
        <v>4629</v>
      </c>
    </row>
    <row r="4171" spans="1:7" x14ac:dyDescent="0.25">
      <c r="A4171" t="s">
        <v>6076</v>
      </c>
    </row>
    <row r="4172" spans="1:7" x14ac:dyDescent="0.25">
      <c r="A4172" t="s">
        <v>906</v>
      </c>
      <c r="B4172" t="s">
        <v>4394</v>
      </c>
      <c r="C4172" t="s">
        <v>5379</v>
      </c>
      <c r="D4172" t="s">
        <v>5380</v>
      </c>
      <c r="E4172" t="s">
        <v>5381</v>
      </c>
      <c r="F4172" t="s">
        <v>5382</v>
      </c>
    </row>
    <row r="4173" spans="1:7" x14ac:dyDescent="0.25">
      <c r="A4173" t="s">
        <v>1338</v>
      </c>
      <c r="B4173">
        <v>46</v>
      </c>
      <c r="C4173" t="s">
        <v>4581</v>
      </c>
      <c r="D4173" t="s">
        <v>4606</v>
      </c>
      <c r="E4173" t="s">
        <v>4683</v>
      </c>
      <c r="F4173" t="s">
        <v>4682</v>
      </c>
    </row>
    <row r="4174" spans="1:7" x14ac:dyDescent="0.25">
      <c r="A4174" t="s">
        <v>1370</v>
      </c>
      <c r="B4174">
        <v>33</v>
      </c>
      <c r="C4174" t="s">
        <v>4406</v>
      </c>
      <c r="D4174" t="s">
        <v>4726</v>
      </c>
      <c r="E4174" t="s">
        <v>4726</v>
      </c>
      <c r="F4174" t="s">
        <v>4452</v>
      </c>
    </row>
    <row r="4175" spans="1:7" x14ac:dyDescent="0.25">
      <c r="A4175" t="s">
        <v>1439</v>
      </c>
      <c r="B4175">
        <v>21</v>
      </c>
      <c r="C4175" t="s">
        <v>4406</v>
      </c>
      <c r="D4175" t="s">
        <v>4556</v>
      </c>
      <c r="E4175" t="s">
        <v>4556</v>
      </c>
      <c r="F4175" t="s">
        <v>4865</v>
      </c>
    </row>
    <row r="4176" spans="1:7" x14ac:dyDescent="0.25">
      <c r="A4176" t="s">
        <v>1476</v>
      </c>
      <c r="B4176">
        <v>71</v>
      </c>
      <c r="C4176" t="s">
        <v>4406</v>
      </c>
      <c r="D4176" t="s">
        <v>5215</v>
      </c>
      <c r="E4176" t="s">
        <v>5155</v>
      </c>
      <c r="F4176" t="s">
        <v>5154</v>
      </c>
    </row>
    <row r="4177" spans="1:6" x14ac:dyDescent="0.25">
      <c r="A4177" t="s">
        <v>5476</v>
      </c>
      <c r="B4177">
        <v>6</v>
      </c>
      <c r="C4177" t="s">
        <v>4406</v>
      </c>
      <c r="D4177" t="s">
        <v>4468</v>
      </c>
      <c r="E4177" t="s">
        <v>4465</v>
      </c>
      <c r="F4177" t="s">
        <v>4596</v>
      </c>
    </row>
    <row r="4178" spans="1:6" x14ac:dyDescent="0.25">
      <c r="A4178" t="s">
        <v>1399</v>
      </c>
      <c r="B4178">
        <v>44</v>
      </c>
      <c r="C4178" t="s">
        <v>4406</v>
      </c>
      <c r="D4178" t="s">
        <v>4405</v>
      </c>
      <c r="E4178" t="s">
        <v>4468</v>
      </c>
      <c r="F4178" t="s">
        <v>4493</v>
      </c>
    </row>
    <row r="4179" spans="1:6" x14ac:dyDescent="0.25">
      <c r="A4179" t="s">
        <v>1415</v>
      </c>
      <c r="B4179">
        <v>76</v>
      </c>
      <c r="C4179" t="s">
        <v>4864</v>
      </c>
      <c r="D4179" t="s">
        <v>4504</v>
      </c>
      <c r="E4179" t="s">
        <v>4719</v>
      </c>
      <c r="F4179" t="s">
        <v>4820</v>
      </c>
    </row>
    <row r="4180" spans="1:6" x14ac:dyDescent="0.25">
      <c r="A4180" t="s">
        <v>1296</v>
      </c>
      <c r="B4180">
        <v>297</v>
      </c>
      <c r="C4180" t="s">
        <v>4402</v>
      </c>
      <c r="D4180" t="s">
        <v>4519</v>
      </c>
      <c r="E4180" t="s">
        <v>4868</v>
      </c>
      <c r="F4180" t="s">
        <v>4629</v>
      </c>
    </row>
    <row r="4182" spans="1:6" x14ac:dyDescent="0.25">
      <c r="A4182" t="s">
        <v>6077</v>
      </c>
    </row>
    <row r="4183" spans="1:6" x14ac:dyDescent="0.25">
      <c r="A4183" t="s">
        <v>907</v>
      </c>
      <c r="B4183" t="s">
        <v>4394</v>
      </c>
      <c r="C4183" t="s">
        <v>5379</v>
      </c>
      <c r="D4183" t="s">
        <v>5380</v>
      </c>
      <c r="E4183" t="s">
        <v>5381</v>
      </c>
      <c r="F4183" t="s">
        <v>5382</v>
      </c>
    </row>
    <row r="4184" spans="1:6" x14ac:dyDescent="0.25">
      <c r="A4184" t="s">
        <v>109</v>
      </c>
      <c r="B4184">
        <v>257</v>
      </c>
      <c r="C4184" t="s">
        <v>4422</v>
      </c>
      <c r="D4184" t="s">
        <v>4612</v>
      </c>
      <c r="E4184" t="s">
        <v>4941</v>
      </c>
      <c r="F4184" t="s">
        <v>4745</v>
      </c>
    </row>
    <row r="4185" spans="1:6" x14ac:dyDescent="0.25">
      <c r="A4185" t="s">
        <v>192</v>
      </c>
      <c r="B4185">
        <v>40</v>
      </c>
      <c r="C4185" t="s">
        <v>4406</v>
      </c>
      <c r="D4185" t="s">
        <v>4644</v>
      </c>
      <c r="E4185" t="s">
        <v>4481</v>
      </c>
      <c r="F4185" t="s">
        <v>4760</v>
      </c>
    </row>
    <row r="4186" spans="1:6" x14ac:dyDescent="0.25">
      <c r="A4186" t="s">
        <v>1296</v>
      </c>
      <c r="B4186">
        <v>297</v>
      </c>
      <c r="C4186" t="s">
        <v>4402</v>
      </c>
      <c r="D4186" t="s">
        <v>4519</v>
      </c>
      <c r="E4186" t="s">
        <v>4868</v>
      </c>
      <c r="F4186" t="s">
        <v>4629</v>
      </c>
    </row>
    <row r="4188" spans="1:6" x14ac:dyDescent="0.25">
      <c r="A4188" t="s">
        <v>6078</v>
      </c>
    </row>
    <row r="4189" spans="1:6" x14ac:dyDescent="0.25">
      <c r="A4189" t="s">
        <v>910</v>
      </c>
      <c r="B4189" t="s">
        <v>4394</v>
      </c>
      <c r="C4189" t="s">
        <v>5379</v>
      </c>
      <c r="D4189" t="s">
        <v>5380</v>
      </c>
      <c r="E4189" t="s">
        <v>5381</v>
      </c>
      <c r="F4189" t="s">
        <v>5382</v>
      </c>
    </row>
    <row r="4190" spans="1:6" x14ac:dyDescent="0.25">
      <c r="A4190" t="s">
        <v>1371</v>
      </c>
      <c r="B4190">
        <v>42</v>
      </c>
      <c r="C4190" t="s">
        <v>4424</v>
      </c>
      <c r="D4190" t="s">
        <v>4785</v>
      </c>
      <c r="E4190" t="s">
        <v>4497</v>
      </c>
      <c r="F4190" t="s">
        <v>4941</v>
      </c>
    </row>
    <row r="4191" spans="1:6" x14ac:dyDescent="0.25">
      <c r="A4191" t="s">
        <v>1452</v>
      </c>
      <c r="B4191">
        <v>18</v>
      </c>
      <c r="C4191" t="s">
        <v>4406</v>
      </c>
      <c r="D4191" t="s">
        <v>4482</v>
      </c>
      <c r="E4191" t="s">
        <v>4468</v>
      </c>
      <c r="F4191" t="s">
        <v>4731</v>
      </c>
    </row>
    <row r="4192" spans="1:6" x14ac:dyDescent="0.25">
      <c r="A4192" t="s">
        <v>5560</v>
      </c>
      <c r="B4192">
        <v>59</v>
      </c>
      <c r="C4192" t="s">
        <v>4406</v>
      </c>
      <c r="D4192" t="s">
        <v>5053</v>
      </c>
      <c r="E4192" t="s">
        <v>4532</v>
      </c>
      <c r="F4192" t="s">
        <v>5053</v>
      </c>
    </row>
    <row r="4193" spans="1:10" x14ac:dyDescent="0.25">
      <c r="A4193" t="s">
        <v>1424</v>
      </c>
      <c r="B4193">
        <v>120</v>
      </c>
      <c r="C4193" t="s">
        <v>4419</v>
      </c>
      <c r="D4193" t="s">
        <v>4451</v>
      </c>
      <c r="E4193" t="s">
        <v>4481</v>
      </c>
      <c r="F4193" t="s">
        <v>5129</v>
      </c>
    </row>
    <row r="4194" spans="1:10" x14ac:dyDescent="0.25">
      <c r="A4194" t="s">
        <v>1340</v>
      </c>
      <c r="B4194">
        <v>31</v>
      </c>
      <c r="C4194" t="s">
        <v>4406</v>
      </c>
      <c r="D4194" t="s">
        <v>4563</v>
      </c>
      <c r="E4194" t="s">
        <v>4608</v>
      </c>
      <c r="F4194" t="s">
        <v>4858</v>
      </c>
    </row>
    <row r="4195" spans="1:10" x14ac:dyDescent="0.25">
      <c r="A4195" t="s">
        <v>5561</v>
      </c>
      <c r="B4195">
        <v>8</v>
      </c>
      <c r="C4195" t="s">
        <v>4406</v>
      </c>
      <c r="D4195" t="s">
        <v>4481</v>
      </c>
      <c r="E4195" t="s">
        <v>4481</v>
      </c>
      <c r="F4195" t="s">
        <v>4462</v>
      </c>
    </row>
    <row r="4196" spans="1:10" x14ac:dyDescent="0.25">
      <c r="A4196" t="s">
        <v>1416</v>
      </c>
      <c r="B4196">
        <v>19</v>
      </c>
      <c r="C4196" t="s">
        <v>4406</v>
      </c>
      <c r="D4196" t="s">
        <v>4466</v>
      </c>
      <c r="E4196" t="s">
        <v>4504</v>
      </c>
      <c r="F4196" t="s">
        <v>4504</v>
      </c>
    </row>
    <row r="4197" spans="1:10" x14ac:dyDescent="0.25">
      <c r="A4197" t="s">
        <v>1296</v>
      </c>
      <c r="B4197">
        <v>297</v>
      </c>
      <c r="C4197" t="s">
        <v>4402</v>
      </c>
      <c r="D4197" t="s">
        <v>4519</v>
      </c>
      <c r="E4197" t="s">
        <v>4868</v>
      </c>
      <c r="F4197" t="s">
        <v>4629</v>
      </c>
    </row>
    <row r="4199" spans="1:10" x14ac:dyDescent="0.25">
      <c r="A4199" t="s">
        <v>6079</v>
      </c>
    </row>
    <row r="4200" spans="1:10" x14ac:dyDescent="0.25">
      <c r="A4200" t="s">
        <v>903</v>
      </c>
      <c r="B4200" t="s">
        <v>4394</v>
      </c>
      <c r="C4200" t="s">
        <v>5379</v>
      </c>
      <c r="D4200" t="s">
        <v>5380</v>
      </c>
      <c r="E4200" t="s">
        <v>5381</v>
      </c>
      <c r="F4200" t="s">
        <v>5382</v>
      </c>
    </row>
    <row r="4201" spans="1:10" x14ac:dyDescent="0.25">
      <c r="A4201" t="s">
        <v>70</v>
      </c>
      <c r="B4201">
        <v>85</v>
      </c>
      <c r="C4201" t="s">
        <v>4424</v>
      </c>
      <c r="D4201" t="s">
        <v>4475</v>
      </c>
      <c r="E4201" t="s">
        <v>4947</v>
      </c>
      <c r="F4201" t="s">
        <v>4704</v>
      </c>
    </row>
    <row r="4202" spans="1:10" x14ac:dyDescent="0.25">
      <c r="A4202" t="s">
        <v>71</v>
      </c>
      <c r="B4202">
        <v>212</v>
      </c>
      <c r="C4202" t="s">
        <v>4404</v>
      </c>
      <c r="D4202" t="s">
        <v>4482</v>
      </c>
      <c r="E4202" t="s">
        <v>4534</v>
      </c>
      <c r="F4202" t="s">
        <v>5320</v>
      </c>
    </row>
    <row r="4203" spans="1:10" x14ac:dyDescent="0.25">
      <c r="A4203" t="s">
        <v>1296</v>
      </c>
      <c r="B4203">
        <v>297</v>
      </c>
      <c r="C4203" t="s">
        <v>4402</v>
      </c>
      <c r="D4203" t="s">
        <v>4519</v>
      </c>
      <c r="E4203" t="s">
        <v>4868</v>
      </c>
      <c r="F4203" t="s">
        <v>4629</v>
      </c>
    </row>
    <row r="4205" spans="1:10" x14ac:dyDescent="0.25">
      <c r="A4205" t="s">
        <v>6080</v>
      </c>
    </row>
    <row r="4206" spans="1:10" x14ac:dyDescent="0.25">
      <c r="A4206" t="s">
        <v>1297</v>
      </c>
      <c r="B4206" t="s">
        <v>4394</v>
      </c>
      <c r="C4206" t="s">
        <v>5383</v>
      </c>
      <c r="D4206" t="s">
        <v>4732</v>
      </c>
      <c r="E4206" t="s">
        <v>5384</v>
      </c>
      <c r="F4206" t="s">
        <v>5385</v>
      </c>
      <c r="G4206" t="s">
        <v>5386</v>
      </c>
      <c r="H4206" t="s">
        <v>4736</v>
      </c>
      <c r="I4206" t="s">
        <v>4737</v>
      </c>
      <c r="J4206" t="s">
        <v>4812</v>
      </c>
    </row>
    <row r="4207" spans="1:10" x14ac:dyDescent="0.25">
      <c r="A4207" t="s">
        <v>5549</v>
      </c>
      <c r="B4207">
        <v>3</v>
      </c>
      <c r="C4207">
        <v>0</v>
      </c>
      <c r="D4207">
        <v>0</v>
      </c>
      <c r="E4207">
        <v>2</v>
      </c>
      <c r="F4207">
        <v>0</v>
      </c>
      <c r="G4207">
        <v>0</v>
      </c>
      <c r="H4207">
        <v>0</v>
      </c>
      <c r="I4207">
        <v>0</v>
      </c>
      <c r="J4207">
        <v>1</v>
      </c>
    </row>
    <row r="4208" spans="1:10" x14ac:dyDescent="0.25">
      <c r="A4208" t="s">
        <v>1296</v>
      </c>
      <c r="B4208">
        <v>3</v>
      </c>
      <c r="C4208">
        <v>0</v>
      </c>
      <c r="D4208">
        <v>0</v>
      </c>
      <c r="E4208">
        <v>2</v>
      </c>
      <c r="F4208">
        <v>0</v>
      </c>
      <c r="G4208">
        <v>0</v>
      </c>
      <c r="H4208">
        <v>0</v>
      </c>
      <c r="I4208">
        <v>0</v>
      </c>
      <c r="J4208">
        <v>1</v>
      </c>
    </row>
    <row r="4210" spans="1:10" x14ac:dyDescent="0.25">
      <c r="A4210" t="s">
        <v>6081</v>
      </c>
    </row>
    <row r="4211" spans="1:10" x14ac:dyDescent="0.25">
      <c r="A4211" t="s">
        <v>906</v>
      </c>
      <c r="B4211" t="s">
        <v>4394</v>
      </c>
      <c r="C4211" t="s">
        <v>5383</v>
      </c>
      <c r="D4211" t="s">
        <v>4732</v>
      </c>
      <c r="E4211" t="s">
        <v>5384</v>
      </c>
      <c r="F4211" t="s">
        <v>5385</v>
      </c>
      <c r="G4211" t="s">
        <v>5386</v>
      </c>
      <c r="H4211" t="s">
        <v>4736</v>
      </c>
      <c r="I4211" t="s">
        <v>4737</v>
      </c>
      <c r="J4211" t="s">
        <v>4812</v>
      </c>
    </row>
    <row r="4212" spans="1:10" x14ac:dyDescent="0.25">
      <c r="A4212" t="s">
        <v>1476</v>
      </c>
      <c r="B4212">
        <v>3</v>
      </c>
      <c r="C4212">
        <v>0</v>
      </c>
      <c r="D4212">
        <v>0</v>
      </c>
      <c r="E4212">
        <v>2</v>
      </c>
      <c r="F4212">
        <v>0</v>
      </c>
      <c r="G4212">
        <v>0</v>
      </c>
      <c r="H4212">
        <v>0</v>
      </c>
      <c r="I4212">
        <v>0</v>
      </c>
      <c r="J4212">
        <v>1</v>
      </c>
    </row>
    <row r="4213" spans="1:10" x14ac:dyDescent="0.25">
      <c r="A4213" t="s">
        <v>1296</v>
      </c>
      <c r="B4213">
        <v>3</v>
      </c>
      <c r="C4213">
        <v>0</v>
      </c>
      <c r="D4213">
        <v>0</v>
      </c>
      <c r="E4213">
        <v>2</v>
      </c>
      <c r="F4213">
        <v>0</v>
      </c>
      <c r="G4213">
        <v>0</v>
      </c>
      <c r="H4213">
        <v>0</v>
      </c>
      <c r="I4213">
        <v>0</v>
      </c>
      <c r="J4213">
        <v>1</v>
      </c>
    </row>
    <row r="4215" spans="1:10" x14ac:dyDescent="0.25">
      <c r="A4215" t="s">
        <v>6082</v>
      </c>
    </row>
    <row r="4216" spans="1:10" x14ac:dyDescent="0.25">
      <c r="A4216" t="s">
        <v>907</v>
      </c>
      <c r="B4216" t="s">
        <v>4394</v>
      </c>
      <c r="C4216" t="s">
        <v>5383</v>
      </c>
      <c r="D4216" t="s">
        <v>4732</v>
      </c>
      <c r="E4216" t="s">
        <v>5384</v>
      </c>
      <c r="F4216" t="s">
        <v>5385</v>
      </c>
      <c r="G4216" t="s">
        <v>5386</v>
      </c>
      <c r="H4216" t="s">
        <v>4736</v>
      </c>
      <c r="I4216" t="s">
        <v>4737</v>
      </c>
      <c r="J4216" t="s">
        <v>4812</v>
      </c>
    </row>
    <row r="4217" spans="1:10" x14ac:dyDescent="0.25">
      <c r="A4217" t="s">
        <v>109</v>
      </c>
      <c r="B4217">
        <v>2</v>
      </c>
      <c r="C4217">
        <v>0</v>
      </c>
      <c r="D4217">
        <v>0</v>
      </c>
      <c r="E4217">
        <v>1</v>
      </c>
      <c r="F4217">
        <v>0</v>
      </c>
      <c r="G4217">
        <v>0</v>
      </c>
      <c r="H4217">
        <v>0</v>
      </c>
      <c r="I4217">
        <v>0</v>
      </c>
      <c r="J4217">
        <v>1</v>
      </c>
    </row>
    <row r="4218" spans="1:10" x14ac:dyDescent="0.25">
      <c r="A4218" t="s">
        <v>192</v>
      </c>
      <c r="B4218">
        <v>1</v>
      </c>
      <c r="C4218">
        <v>0</v>
      </c>
      <c r="D4218">
        <v>0</v>
      </c>
      <c r="E4218">
        <v>1</v>
      </c>
      <c r="F4218">
        <v>0</v>
      </c>
      <c r="G4218">
        <v>0</v>
      </c>
      <c r="H4218">
        <v>0</v>
      </c>
      <c r="I4218">
        <v>0</v>
      </c>
      <c r="J4218">
        <v>0</v>
      </c>
    </row>
    <row r="4219" spans="1:10" x14ac:dyDescent="0.25">
      <c r="A4219" t="s">
        <v>1296</v>
      </c>
      <c r="B4219">
        <v>3</v>
      </c>
      <c r="C4219">
        <v>0</v>
      </c>
      <c r="D4219">
        <v>0</v>
      </c>
      <c r="E4219">
        <v>2</v>
      </c>
      <c r="F4219">
        <v>0</v>
      </c>
      <c r="G4219">
        <v>0</v>
      </c>
      <c r="H4219">
        <v>0</v>
      </c>
      <c r="I4219">
        <v>0</v>
      </c>
      <c r="J4219">
        <v>1</v>
      </c>
    </row>
    <row r="4221" spans="1:10" x14ac:dyDescent="0.25">
      <c r="A4221" t="s">
        <v>6083</v>
      </c>
    </row>
    <row r="4222" spans="1:10" x14ac:dyDescent="0.25">
      <c r="A4222" t="s">
        <v>903</v>
      </c>
      <c r="B4222" t="s">
        <v>4394</v>
      </c>
      <c r="C4222" t="s">
        <v>5383</v>
      </c>
      <c r="D4222" t="s">
        <v>4732</v>
      </c>
      <c r="E4222" t="s">
        <v>5384</v>
      </c>
      <c r="F4222" t="s">
        <v>5385</v>
      </c>
      <c r="G4222" t="s">
        <v>5386</v>
      </c>
      <c r="H4222" t="s">
        <v>4736</v>
      </c>
      <c r="I4222" t="s">
        <v>4737</v>
      </c>
      <c r="J4222" t="s">
        <v>4812</v>
      </c>
    </row>
    <row r="4223" spans="1:10" x14ac:dyDescent="0.25">
      <c r="A4223" t="s">
        <v>70</v>
      </c>
      <c r="B4223">
        <v>2</v>
      </c>
      <c r="C4223">
        <v>0</v>
      </c>
      <c r="D4223">
        <v>0</v>
      </c>
      <c r="E4223">
        <v>2</v>
      </c>
      <c r="F4223">
        <v>0</v>
      </c>
      <c r="G4223">
        <v>0</v>
      </c>
      <c r="H4223">
        <v>0</v>
      </c>
      <c r="I4223">
        <v>0</v>
      </c>
      <c r="J4223">
        <v>0</v>
      </c>
    </row>
    <row r="4224" spans="1:10" x14ac:dyDescent="0.25">
      <c r="A4224" t="s">
        <v>71</v>
      </c>
      <c r="B4224">
        <v>1</v>
      </c>
      <c r="C4224">
        <v>0</v>
      </c>
      <c r="D4224">
        <v>0</v>
      </c>
      <c r="E4224">
        <v>0</v>
      </c>
      <c r="F4224">
        <v>0</v>
      </c>
      <c r="G4224">
        <v>0</v>
      </c>
      <c r="H4224">
        <v>0</v>
      </c>
      <c r="I4224">
        <v>0</v>
      </c>
      <c r="J4224">
        <v>1</v>
      </c>
    </row>
    <row r="4225" spans="1:10" x14ac:dyDescent="0.25">
      <c r="A4225" t="s">
        <v>1296</v>
      </c>
      <c r="B4225">
        <v>3</v>
      </c>
      <c r="C4225">
        <v>0</v>
      </c>
      <c r="D4225">
        <v>0</v>
      </c>
      <c r="E4225">
        <v>2</v>
      </c>
      <c r="F4225">
        <v>0</v>
      </c>
      <c r="G4225">
        <v>0</v>
      </c>
      <c r="H4225">
        <v>0</v>
      </c>
      <c r="I4225">
        <v>0</v>
      </c>
      <c r="J4225">
        <v>1</v>
      </c>
    </row>
    <row r="4227" spans="1:10" x14ac:dyDescent="0.25">
      <c r="A4227" t="s">
        <v>6084</v>
      </c>
    </row>
    <row r="4228" spans="1:10" x14ac:dyDescent="0.25">
      <c r="A4228" t="s">
        <v>1297</v>
      </c>
      <c r="B4228" t="s">
        <v>4394</v>
      </c>
      <c r="C4228" t="s">
        <v>1377</v>
      </c>
      <c r="D4228" t="s">
        <v>1347</v>
      </c>
      <c r="E4228" t="s">
        <v>1987</v>
      </c>
      <c r="F4228" t="s">
        <v>1508</v>
      </c>
    </row>
    <row r="4229" spans="1:10" x14ac:dyDescent="0.25">
      <c r="A4229" t="s">
        <v>5549</v>
      </c>
      <c r="B4229">
        <v>198</v>
      </c>
      <c r="C4229" t="s">
        <v>4725</v>
      </c>
      <c r="D4229" t="s">
        <v>4726</v>
      </c>
      <c r="E4229" t="s">
        <v>4680</v>
      </c>
      <c r="F4229" t="s">
        <v>4645</v>
      </c>
    </row>
    <row r="4230" spans="1:10" x14ac:dyDescent="0.25">
      <c r="A4230" t="s">
        <v>1397</v>
      </c>
      <c r="B4230">
        <v>99</v>
      </c>
      <c r="C4230" t="s">
        <v>4884</v>
      </c>
      <c r="D4230" t="s">
        <v>4598</v>
      </c>
      <c r="E4230" t="s">
        <v>4402</v>
      </c>
      <c r="F4230" t="s">
        <v>4660</v>
      </c>
    </row>
    <row r="4231" spans="1:10" x14ac:dyDescent="0.25">
      <c r="A4231" t="s">
        <v>1296</v>
      </c>
      <c r="B4231">
        <v>297</v>
      </c>
      <c r="C4231" t="s">
        <v>4828</v>
      </c>
      <c r="D4231" t="s">
        <v>5179</v>
      </c>
      <c r="E4231" t="s">
        <v>4659</v>
      </c>
      <c r="F4231" t="s">
        <v>4626</v>
      </c>
    </row>
    <row r="4233" spans="1:10" x14ac:dyDescent="0.25">
      <c r="A4233" t="s">
        <v>6085</v>
      </c>
    </row>
    <row r="4234" spans="1:10" x14ac:dyDescent="0.25">
      <c r="A4234" t="s">
        <v>929</v>
      </c>
      <c r="B4234" t="s">
        <v>4394</v>
      </c>
      <c r="C4234" t="s">
        <v>1377</v>
      </c>
      <c r="D4234" t="s">
        <v>1347</v>
      </c>
      <c r="E4234" t="s">
        <v>1987</v>
      </c>
      <c r="F4234" t="s">
        <v>1508</v>
      </c>
    </row>
    <row r="4235" spans="1:10" x14ac:dyDescent="0.25">
      <c r="A4235" t="s">
        <v>1664</v>
      </c>
      <c r="B4235">
        <v>2</v>
      </c>
      <c r="C4235" t="s">
        <v>4468</v>
      </c>
      <c r="D4235" t="s">
        <v>4406</v>
      </c>
      <c r="E4235" t="s">
        <v>4406</v>
      </c>
      <c r="F4235" t="s">
        <v>4468</v>
      </c>
    </row>
    <row r="4236" spans="1:10" x14ac:dyDescent="0.25">
      <c r="A4236" t="s">
        <v>1315</v>
      </c>
      <c r="B4236">
        <v>197</v>
      </c>
      <c r="C4236" t="s">
        <v>5387</v>
      </c>
      <c r="D4236" t="s">
        <v>4593</v>
      </c>
      <c r="E4236" t="s">
        <v>4402</v>
      </c>
      <c r="F4236" t="s">
        <v>5076</v>
      </c>
    </row>
    <row r="4237" spans="1:10" x14ac:dyDescent="0.25">
      <c r="A4237" t="s">
        <v>1353</v>
      </c>
      <c r="B4237">
        <v>98</v>
      </c>
      <c r="C4237" t="s">
        <v>5122</v>
      </c>
      <c r="D4237" t="s">
        <v>4450</v>
      </c>
      <c r="E4237" t="s">
        <v>4744</v>
      </c>
      <c r="F4237" t="s">
        <v>4402</v>
      </c>
    </row>
    <row r="4238" spans="1:10" x14ac:dyDescent="0.25">
      <c r="A4238" t="s">
        <v>1296</v>
      </c>
      <c r="B4238">
        <v>297</v>
      </c>
      <c r="C4238" t="s">
        <v>4828</v>
      </c>
      <c r="D4238" t="s">
        <v>5179</v>
      </c>
      <c r="E4238" t="s">
        <v>4659</v>
      </c>
      <c r="F4238" t="s">
        <v>4626</v>
      </c>
    </row>
    <row r="4240" spans="1:10" x14ac:dyDescent="0.25">
      <c r="A4240" t="s">
        <v>6086</v>
      </c>
    </row>
    <row r="4241" spans="1:6" x14ac:dyDescent="0.25">
      <c r="A4241" t="s">
        <v>924</v>
      </c>
      <c r="B4241" t="s">
        <v>4394</v>
      </c>
      <c r="C4241" t="s">
        <v>1377</v>
      </c>
      <c r="D4241" t="s">
        <v>1347</v>
      </c>
      <c r="E4241" t="s">
        <v>1987</v>
      </c>
      <c r="F4241" t="s">
        <v>1508</v>
      </c>
    </row>
    <row r="4242" spans="1:6" x14ac:dyDescent="0.25">
      <c r="A4242" t="s">
        <v>1345</v>
      </c>
      <c r="B4242">
        <v>69</v>
      </c>
      <c r="C4242" t="s">
        <v>4912</v>
      </c>
      <c r="D4242" t="s">
        <v>4465</v>
      </c>
      <c r="E4242" t="s">
        <v>4750</v>
      </c>
      <c r="F4242" t="s">
        <v>4406</v>
      </c>
    </row>
    <row r="4243" spans="1:6" x14ac:dyDescent="0.25">
      <c r="A4243" t="s">
        <v>1441</v>
      </c>
      <c r="B4243">
        <v>123</v>
      </c>
      <c r="C4243" t="s">
        <v>4469</v>
      </c>
      <c r="D4243" t="s">
        <v>4545</v>
      </c>
      <c r="E4243" t="s">
        <v>4417</v>
      </c>
      <c r="F4243" t="s">
        <v>4417</v>
      </c>
    </row>
    <row r="4244" spans="1:6" x14ac:dyDescent="0.25">
      <c r="A4244" t="s">
        <v>1461</v>
      </c>
      <c r="B4244">
        <v>95</v>
      </c>
      <c r="C4244" t="s">
        <v>5100</v>
      </c>
      <c r="D4244" t="s">
        <v>4498</v>
      </c>
      <c r="E4244" t="s">
        <v>4673</v>
      </c>
      <c r="F4244" t="s">
        <v>4825</v>
      </c>
    </row>
    <row r="4245" spans="1:6" x14ac:dyDescent="0.25">
      <c r="A4245" t="s">
        <v>5554</v>
      </c>
      <c r="B4245">
        <v>10</v>
      </c>
      <c r="C4245" t="s">
        <v>4406</v>
      </c>
      <c r="D4245" t="s">
        <v>4489</v>
      </c>
      <c r="E4245" t="s">
        <v>4406</v>
      </c>
      <c r="F4245" t="s">
        <v>4782</v>
      </c>
    </row>
    <row r="4246" spans="1:6" x14ac:dyDescent="0.25">
      <c r="A4246" t="s">
        <v>1296</v>
      </c>
      <c r="B4246">
        <v>297</v>
      </c>
      <c r="C4246" t="s">
        <v>4828</v>
      </c>
      <c r="D4246" t="s">
        <v>5179</v>
      </c>
      <c r="E4246" t="s">
        <v>4659</v>
      </c>
      <c r="F4246" t="s">
        <v>4626</v>
      </c>
    </row>
    <row r="4248" spans="1:6" x14ac:dyDescent="0.25">
      <c r="A4248" t="s">
        <v>6087</v>
      </c>
    </row>
    <row r="4249" spans="1:6" x14ac:dyDescent="0.25">
      <c r="A4249" t="s">
        <v>1154</v>
      </c>
      <c r="B4249" t="s">
        <v>4394</v>
      </c>
      <c r="C4249" t="s">
        <v>1377</v>
      </c>
      <c r="D4249" t="s">
        <v>1347</v>
      </c>
      <c r="E4249" t="s">
        <v>1987</v>
      </c>
      <c r="F4249" t="s">
        <v>1508</v>
      </c>
    </row>
    <row r="4250" spans="1:6" x14ac:dyDescent="0.25">
      <c r="A4250" t="s">
        <v>5355</v>
      </c>
      <c r="B4250">
        <v>3</v>
      </c>
      <c r="C4250" t="s">
        <v>4465</v>
      </c>
      <c r="D4250" t="s">
        <v>4465</v>
      </c>
      <c r="E4250" t="s">
        <v>4406</v>
      </c>
      <c r="F4250" t="s">
        <v>4465</v>
      </c>
    </row>
    <row r="4251" spans="1:6" x14ac:dyDescent="0.25">
      <c r="A4251" t="s">
        <v>5356</v>
      </c>
      <c r="B4251">
        <v>198</v>
      </c>
      <c r="C4251" t="s">
        <v>4547</v>
      </c>
      <c r="D4251" t="s">
        <v>4567</v>
      </c>
      <c r="E4251" t="s">
        <v>4680</v>
      </c>
      <c r="F4251" t="s">
        <v>4757</v>
      </c>
    </row>
    <row r="4252" spans="1:6" x14ac:dyDescent="0.25">
      <c r="A4252" t="s">
        <v>5357</v>
      </c>
      <c r="B4252">
        <v>96</v>
      </c>
      <c r="C4252" t="s">
        <v>5188</v>
      </c>
      <c r="D4252" t="s">
        <v>4610</v>
      </c>
      <c r="E4252" t="s">
        <v>4402</v>
      </c>
      <c r="F4252" t="s">
        <v>4402</v>
      </c>
    </row>
    <row r="4253" spans="1:6" x14ac:dyDescent="0.25">
      <c r="A4253" t="s">
        <v>1296</v>
      </c>
      <c r="B4253">
        <v>297</v>
      </c>
      <c r="C4253" t="s">
        <v>4828</v>
      </c>
      <c r="D4253" t="s">
        <v>5179</v>
      </c>
      <c r="E4253" t="s">
        <v>4659</v>
      </c>
      <c r="F4253" t="s">
        <v>4626</v>
      </c>
    </row>
    <row r="4255" spans="1:6" x14ac:dyDescent="0.25">
      <c r="A4255" t="s">
        <v>6088</v>
      </c>
    </row>
    <row r="4256" spans="1:6" x14ac:dyDescent="0.25">
      <c r="A4256" t="s">
        <v>903</v>
      </c>
      <c r="B4256" t="s">
        <v>4394</v>
      </c>
      <c r="C4256" t="s">
        <v>1377</v>
      </c>
      <c r="D4256" t="s">
        <v>1347</v>
      </c>
      <c r="E4256" t="s">
        <v>1987</v>
      </c>
      <c r="F4256" t="s">
        <v>1508</v>
      </c>
    </row>
    <row r="4257" spans="1:6" x14ac:dyDescent="0.25">
      <c r="A4257" t="s">
        <v>70</v>
      </c>
      <c r="B4257">
        <v>85</v>
      </c>
      <c r="C4257" t="s">
        <v>4817</v>
      </c>
      <c r="D4257" t="s">
        <v>4704</v>
      </c>
      <c r="E4257" t="s">
        <v>4424</v>
      </c>
      <c r="F4257" t="s">
        <v>4424</v>
      </c>
    </row>
    <row r="4258" spans="1:6" x14ac:dyDescent="0.25">
      <c r="A4258" t="s">
        <v>71</v>
      </c>
      <c r="B4258">
        <v>212</v>
      </c>
      <c r="C4258" t="s">
        <v>5388</v>
      </c>
      <c r="D4258" t="s">
        <v>4593</v>
      </c>
      <c r="E4258" t="s">
        <v>4902</v>
      </c>
      <c r="F4258" t="s">
        <v>4651</v>
      </c>
    </row>
    <row r="4259" spans="1:6" x14ac:dyDescent="0.25">
      <c r="A4259" t="s">
        <v>1296</v>
      </c>
      <c r="B4259">
        <v>297</v>
      </c>
      <c r="C4259" t="s">
        <v>4828</v>
      </c>
      <c r="D4259" t="s">
        <v>5179</v>
      </c>
      <c r="E4259" t="s">
        <v>4659</v>
      </c>
      <c r="F4259" t="s">
        <v>4626</v>
      </c>
    </row>
    <row r="4261" spans="1:6" x14ac:dyDescent="0.25">
      <c r="A4261" t="s">
        <v>6089</v>
      </c>
    </row>
    <row r="4262" spans="1:6" x14ac:dyDescent="0.25">
      <c r="A4262" t="s">
        <v>1297</v>
      </c>
      <c r="B4262" t="s">
        <v>4394</v>
      </c>
      <c r="C4262" t="s">
        <v>1376</v>
      </c>
      <c r="D4262" t="s">
        <v>1799</v>
      </c>
      <c r="E4262" t="s">
        <v>1346</v>
      </c>
      <c r="F4262" t="s">
        <v>1621</v>
      </c>
    </row>
    <row r="4263" spans="1:6" x14ac:dyDescent="0.25">
      <c r="A4263" t="s">
        <v>5549</v>
      </c>
      <c r="B4263">
        <v>198</v>
      </c>
      <c r="C4263" t="s">
        <v>5087</v>
      </c>
      <c r="D4263" t="s">
        <v>4744</v>
      </c>
      <c r="E4263" t="s">
        <v>4598</v>
      </c>
      <c r="F4263" t="s">
        <v>4402</v>
      </c>
    </row>
    <row r="4264" spans="1:6" x14ac:dyDescent="0.25">
      <c r="A4264" t="s">
        <v>1397</v>
      </c>
      <c r="B4264">
        <v>99</v>
      </c>
      <c r="C4264" t="s">
        <v>4577</v>
      </c>
      <c r="D4264" t="s">
        <v>4744</v>
      </c>
      <c r="E4264" t="s">
        <v>4501</v>
      </c>
      <c r="F4264" t="s">
        <v>4402</v>
      </c>
    </row>
    <row r="4265" spans="1:6" x14ac:dyDescent="0.25">
      <c r="A4265" t="s">
        <v>1296</v>
      </c>
      <c r="B4265">
        <v>297</v>
      </c>
      <c r="C4265" t="s">
        <v>5078</v>
      </c>
      <c r="D4265" t="s">
        <v>4744</v>
      </c>
      <c r="E4265" t="s">
        <v>5179</v>
      </c>
      <c r="F4265" t="s">
        <v>4402</v>
      </c>
    </row>
    <row r="4267" spans="1:6" x14ac:dyDescent="0.25">
      <c r="A4267" t="s">
        <v>6090</v>
      </c>
    </row>
    <row r="4268" spans="1:6" x14ac:dyDescent="0.25">
      <c r="A4268" t="s">
        <v>929</v>
      </c>
      <c r="B4268" t="s">
        <v>4394</v>
      </c>
      <c r="C4268" t="s">
        <v>1376</v>
      </c>
      <c r="D4268" t="s">
        <v>1799</v>
      </c>
      <c r="E4268" t="s">
        <v>1346</v>
      </c>
      <c r="F4268" t="s">
        <v>1621</v>
      </c>
    </row>
    <row r="4269" spans="1:6" x14ac:dyDescent="0.25">
      <c r="A4269" t="s">
        <v>1664</v>
      </c>
      <c r="B4269">
        <v>2</v>
      </c>
      <c r="C4269" t="s">
        <v>4468</v>
      </c>
      <c r="D4269" t="s">
        <v>4406</v>
      </c>
      <c r="E4269" t="s">
        <v>4468</v>
      </c>
      <c r="F4269" t="s">
        <v>4406</v>
      </c>
    </row>
    <row r="4270" spans="1:6" x14ac:dyDescent="0.25">
      <c r="A4270" t="s">
        <v>1315</v>
      </c>
      <c r="B4270">
        <v>197</v>
      </c>
      <c r="C4270" t="s">
        <v>5387</v>
      </c>
      <c r="D4270" t="s">
        <v>4680</v>
      </c>
      <c r="E4270" t="s">
        <v>5108</v>
      </c>
      <c r="F4270" t="s">
        <v>4680</v>
      </c>
    </row>
    <row r="4271" spans="1:6" x14ac:dyDescent="0.25">
      <c r="A4271" t="s">
        <v>1353</v>
      </c>
      <c r="B4271">
        <v>98</v>
      </c>
      <c r="C4271" t="s">
        <v>5389</v>
      </c>
      <c r="D4271" t="s">
        <v>4695</v>
      </c>
      <c r="E4271" t="s">
        <v>4440</v>
      </c>
      <c r="F4271" t="s">
        <v>4406</v>
      </c>
    </row>
    <row r="4272" spans="1:6" x14ac:dyDescent="0.25">
      <c r="A4272" t="s">
        <v>1296</v>
      </c>
      <c r="B4272">
        <v>297</v>
      </c>
      <c r="C4272" t="s">
        <v>5078</v>
      </c>
      <c r="D4272" t="s">
        <v>4744</v>
      </c>
      <c r="E4272" t="s">
        <v>5179</v>
      </c>
      <c r="F4272" t="s">
        <v>4402</v>
      </c>
    </row>
    <row r="4274" spans="1:6" x14ac:dyDescent="0.25">
      <c r="A4274" t="s">
        <v>6091</v>
      </c>
    </row>
    <row r="4275" spans="1:6" x14ac:dyDescent="0.25">
      <c r="A4275" t="s">
        <v>920</v>
      </c>
      <c r="B4275" t="s">
        <v>4394</v>
      </c>
      <c r="C4275" t="s">
        <v>1376</v>
      </c>
      <c r="D4275" t="s">
        <v>1799</v>
      </c>
      <c r="E4275" t="s">
        <v>1346</v>
      </c>
      <c r="F4275" t="s">
        <v>1621</v>
      </c>
    </row>
    <row r="4276" spans="1:6" x14ac:dyDescent="0.25">
      <c r="A4276" t="s">
        <v>1343</v>
      </c>
      <c r="B4276">
        <v>170</v>
      </c>
      <c r="C4276" t="s">
        <v>4817</v>
      </c>
      <c r="D4276" t="s">
        <v>4424</v>
      </c>
      <c r="E4276" t="s">
        <v>4514</v>
      </c>
      <c r="F4276" t="s">
        <v>4422</v>
      </c>
    </row>
    <row r="4277" spans="1:6" x14ac:dyDescent="0.25">
      <c r="A4277" t="s">
        <v>1345</v>
      </c>
      <c r="B4277">
        <v>75</v>
      </c>
      <c r="C4277" t="s">
        <v>5079</v>
      </c>
      <c r="D4277" t="s">
        <v>4659</v>
      </c>
      <c r="E4277" t="s">
        <v>4415</v>
      </c>
      <c r="F4277" t="s">
        <v>4406</v>
      </c>
    </row>
    <row r="4278" spans="1:6" x14ac:dyDescent="0.25">
      <c r="A4278" t="s">
        <v>1466</v>
      </c>
      <c r="B4278">
        <v>50</v>
      </c>
      <c r="C4278" t="s">
        <v>5390</v>
      </c>
      <c r="D4278" t="s">
        <v>4406</v>
      </c>
      <c r="E4278" t="s">
        <v>4657</v>
      </c>
      <c r="F4278" t="s">
        <v>4744</v>
      </c>
    </row>
    <row r="4279" spans="1:6" x14ac:dyDescent="0.25">
      <c r="A4279" t="s">
        <v>5554</v>
      </c>
      <c r="B4279">
        <v>2</v>
      </c>
      <c r="C4279" t="s">
        <v>4406</v>
      </c>
      <c r="D4279" t="s">
        <v>4468</v>
      </c>
      <c r="E4279" t="s">
        <v>4468</v>
      </c>
      <c r="F4279" t="s">
        <v>4406</v>
      </c>
    </row>
    <row r="4280" spans="1:6" x14ac:dyDescent="0.25">
      <c r="A4280" t="s">
        <v>1296</v>
      </c>
      <c r="B4280">
        <v>297</v>
      </c>
      <c r="C4280" t="s">
        <v>5078</v>
      </c>
      <c r="D4280" t="s">
        <v>4744</v>
      </c>
      <c r="E4280" t="s">
        <v>5179</v>
      </c>
      <c r="F4280" t="s">
        <v>4402</v>
      </c>
    </row>
    <row r="4282" spans="1:6" x14ac:dyDescent="0.25">
      <c r="A4282" t="s">
        <v>6092</v>
      </c>
    </row>
    <row r="4283" spans="1:6" x14ac:dyDescent="0.25">
      <c r="A4283" t="s">
        <v>1154</v>
      </c>
      <c r="B4283" t="s">
        <v>4394</v>
      </c>
      <c r="C4283" t="s">
        <v>1376</v>
      </c>
      <c r="D4283" t="s">
        <v>1799</v>
      </c>
      <c r="E4283" t="s">
        <v>1346</v>
      </c>
      <c r="F4283" t="s">
        <v>1621</v>
      </c>
    </row>
    <row r="4284" spans="1:6" x14ac:dyDescent="0.25">
      <c r="A4284" t="s">
        <v>5355</v>
      </c>
      <c r="B4284">
        <v>3</v>
      </c>
      <c r="C4284" t="s">
        <v>4465</v>
      </c>
      <c r="D4284" t="s">
        <v>4406</v>
      </c>
      <c r="E4284" t="s">
        <v>4469</v>
      </c>
      <c r="F4284" t="s">
        <v>4406</v>
      </c>
    </row>
    <row r="4285" spans="1:6" x14ac:dyDescent="0.25">
      <c r="A4285" t="s">
        <v>5356</v>
      </c>
      <c r="B4285">
        <v>198</v>
      </c>
      <c r="C4285" t="s">
        <v>4725</v>
      </c>
      <c r="D4285" t="s">
        <v>4645</v>
      </c>
      <c r="E4285" t="s">
        <v>4482</v>
      </c>
      <c r="F4285" t="s">
        <v>4402</v>
      </c>
    </row>
    <row r="4286" spans="1:6" x14ac:dyDescent="0.25">
      <c r="A4286" t="s">
        <v>5357</v>
      </c>
      <c r="B4286">
        <v>96</v>
      </c>
      <c r="C4286" t="s">
        <v>4793</v>
      </c>
      <c r="D4286" t="s">
        <v>4402</v>
      </c>
      <c r="E4286" t="s">
        <v>4870</v>
      </c>
      <c r="F4286" t="s">
        <v>4402</v>
      </c>
    </row>
    <row r="4287" spans="1:6" x14ac:dyDescent="0.25">
      <c r="A4287" t="s">
        <v>1296</v>
      </c>
      <c r="B4287">
        <v>297</v>
      </c>
      <c r="C4287" t="s">
        <v>5078</v>
      </c>
      <c r="D4287" t="s">
        <v>4744</v>
      </c>
      <c r="E4287" t="s">
        <v>5179</v>
      </c>
      <c r="F4287" t="s">
        <v>4402</v>
      </c>
    </row>
    <row r="4289" spans="1:8" x14ac:dyDescent="0.25">
      <c r="A4289" t="s">
        <v>6093</v>
      </c>
    </row>
    <row r="4290" spans="1:8" x14ac:dyDescent="0.25">
      <c r="A4290" t="s">
        <v>903</v>
      </c>
      <c r="B4290" t="s">
        <v>4394</v>
      </c>
      <c r="C4290" t="s">
        <v>1376</v>
      </c>
      <c r="D4290" t="s">
        <v>1799</v>
      </c>
      <c r="E4290" t="s">
        <v>1346</v>
      </c>
      <c r="F4290" t="s">
        <v>1621</v>
      </c>
    </row>
    <row r="4291" spans="1:8" x14ac:dyDescent="0.25">
      <c r="A4291" t="s">
        <v>70</v>
      </c>
      <c r="B4291">
        <v>85</v>
      </c>
      <c r="C4291" t="s">
        <v>4831</v>
      </c>
      <c r="D4291" t="s">
        <v>4406</v>
      </c>
      <c r="E4291" t="s">
        <v>4475</v>
      </c>
      <c r="F4291" t="s">
        <v>4422</v>
      </c>
    </row>
    <row r="4292" spans="1:8" x14ac:dyDescent="0.25">
      <c r="A4292" t="s">
        <v>71</v>
      </c>
      <c r="B4292">
        <v>212</v>
      </c>
      <c r="C4292" t="s">
        <v>5391</v>
      </c>
      <c r="D4292" t="s">
        <v>4649</v>
      </c>
      <c r="E4292" t="s">
        <v>5108</v>
      </c>
      <c r="F4292" t="s">
        <v>4902</v>
      </c>
    </row>
    <row r="4293" spans="1:8" x14ac:dyDescent="0.25">
      <c r="A4293" t="s">
        <v>1296</v>
      </c>
      <c r="B4293">
        <v>297</v>
      </c>
      <c r="C4293" t="s">
        <v>5078</v>
      </c>
      <c r="D4293" t="s">
        <v>4744</v>
      </c>
      <c r="E4293" t="s">
        <v>5179</v>
      </c>
      <c r="F4293" t="s">
        <v>4402</v>
      </c>
    </row>
    <row r="4295" spans="1:8" x14ac:dyDescent="0.25">
      <c r="A4295" t="s">
        <v>6094</v>
      </c>
    </row>
    <row r="4296" spans="1:8" x14ac:dyDescent="0.25">
      <c r="A4296" t="s">
        <v>1297</v>
      </c>
      <c r="B4296" t="s">
        <v>4394</v>
      </c>
      <c r="C4296" t="s">
        <v>5359</v>
      </c>
      <c r="D4296" t="s">
        <v>5392</v>
      </c>
      <c r="E4296" t="s">
        <v>5360</v>
      </c>
      <c r="F4296" t="s">
        <v>4737</v>
      </c>
      <c r="G4296" t="s">
        <v>5361</v>
      </c>
      <c r="H4296" t="s">
        <v>5362</v>
      </c>
    </row>
    <row r="4297" spans="1:8" x14ac:dyDescent="0.25">
      <c r="A4297" t="s">
        <v>5549</v>
      </c>
      <c r="B4297">
        <v>198</v>
      </c>
      <c r="C4297" t="s">
        <v>5393</v>
      </c>
      <c r="D4297" t="s">
        <v>4404</v>
      </c>
      <c r="E4297" t="s">
        <v>4626</v>
      </c>
      <c r="F4297" t="s">
        <v>4404</v>
      </c>
      <c r="G4297" t="s">
        <v>4403</v>
      </c>
      <c r="H4297" t="s">
        <v>4807</v>
      </c>
    </row>
    <row r="4298" spans="1:8" x14ac:dyDescent="0.25">
      <c r="A4298" t="s">
        <v>1397</v>
      </c>
      <c r="B4298">
        <v>99</v>
      </c>
      <c r="C4298" t="s">
        <v>4853</v>
      </c>
      <c r="D4298" t="s">
        <v>4406</v>
      </c>
      <c r="E4298" t="s">
        <v>4744</v>
      </c>
      <c r="F4298" t="s">
        <v>4406</v>
      </c>
      <c r="G4298" t="s">
        <v>4501</v>
      </c>
      <c r="H4298" t="s">
        <v>5118</v>
      </c>
    </row>
    <row r="4299" spans="1:8" x14ac:dyDescent="0.25">
      <c r="A4299" t="s">
        <v>1296</v>
      </c>
      <c r="B4299">
        <v>297</v>
      </c>
      <c r="C4299" t="s">
        <v>4655</v>
      </c>
      <c r="D4299" t="s">
        <v>4808</v>
      </c>
      <c r="E4299" t="s">
        <v>4931</v>
      </c>
      <c r="F4299" t="s">
        <v>4808</v>
      </c>
      <c r="G4299" t="s">
        <v>4625</v>
      </c>
      <c r="H4299" t="s">
        <v>4465</v>
      </c>
    </row>
    <row r="4301" spans="1:8" x14ac:dyDescent="0.25">
      <c r="A4301" t="s">
        <v>6095</v>
      </c>
    </row>
    <row r="4302" spans="1:8" x14ac:dyDescent="0.25">
      <c r="A4302" t="s">
        <v>905</v>
      </c>
      <c r="B4302" t="s">
        <v>4394</v>
      </c>
      <c r="C4302" t="s">
        <v>5359</v>
      </c>
      <c r="D4302" t="s">
        <v>5392</v>
      </c>
      <c r="E4302" t="s">
        <v>5360</v>
      </c>
      <c r="F4302" t="s">
        <v>4737</v>
      </c>
      <c r="G4302" t="s">
        <v>5361</v>
      </c>
      <c r="H4302" t="s">
        <v>5362</v>
      </c>
    </row>
    <row r="4303" spans="1:8" x14ac:dyDescent="0.25">
      <c r="A4303" t="s">
        <v>4844</v>
      </c>
      <c r="B4303">
        <v>36</v>
      </c>
      <c r="C4303" t="s">
        <v>4727</v>
      </c>
      <c r="D4303" t="s">
        <v>4406</v>
      </c>
      <c r="E4303" t="s">
        <v>4649</v>
      </c>
      <c r="F4303" t="s">
        <v>4649</v>
      </c>
      <c r="G4303" t="s">
        <v>4462</v>
      </c>
      <c r="H4303" t="s">
        <v>4859</v>
      </c>
    </row>
    <row r="4304" spans="1:8" x14ac:dyDescent="0.25">
      <c r="A4304" t="s">
        <v>4845</v>
      </c>
      <c r="B4304">
        <v>230</v>
      </c>
      <c r="C4304" t="s">
        <v>5168</v>
      </c>
      <c r="D4304" t="s">
        <v>4818</v>
      </c>
      <c r="E4304" t="s">
        <v>4864</v>
      </c>
      <c r="F4304" t="s">
        <v>4406</v>
      </c>
      <c r="G4304" t="s">
        <v>4859</v>
      </c>
      <c r="H4304" t="s">
        <v>4710</v>
      </c>
    </row>
    <row r="4305" spans="1:8" x14ac:dyDescent="0.25">
      <c r="A4305" t="s">
        <v>4846</v>
      </c>
      <c r="B4305">
        <v>31</v>
      </c>
      <c r="C4305" t="s">
        <v>4561</v>
      </c>
      <c r="D4305" t="s">
        <v>4406</v>
      </c>
      <c r="E4305" t="s">
        <v>4713</v>
      </c>
      <c r="F4305" t="s">
        <v>4406</v>
      </c>
      <c r="G4305" t="s">
        <v>4578</v>
      </c>
      <c r="H4305" t="s">
        <v>5071</v>
      </c>
    </row>
    <row r="4306" spans="1:8" x14ac:dyDescent="0.25">
      <c r="A4306" t="s">
        <v>1296</v>
      </c>
      <c r="B4306">
        <v>297</v>
      </c>
      <c r="C4306" t="s">
        <v>4655</v>
      </c>
      <c r="D4306" t="s">
        <v>4808</v>
      </c>
      <c r="E4306" t="s">
        <v>4931</v>
      </c>
      <c r="F4306" t="s">
        <v>4808</v>
      </c>
      <c r="G4306" t="s">
        <v>4625</v>
      </c>
      <c r="H4306" t="s">
        <v>4465</v>
      </c>
    </row>
    <row r="4308" spans="1:8" x14ac:dyDescent="0.25">
      <c r="A4308" t="s">
        <v>6096</v>
      </c>
    </row>
    <row r="4309" spans="1:8" x14ac:dyDescent="0.25">
      <c r="A4309" t="s">
        <v>906</v>
      </c>
      <c r="B4309" t="s">
        <v>4394</v>
      </c>
      <c r="C4309" t="s">
        <v>5359</v>
      </c>
      <c r="D4309" t="s">
        <v>5392</v>
      </c>
      <c r="E4309" t="s">
        <v>5360</v>
      </c>
      <c r="F4309" t="s">
        <v>4737</v>
      </c>
      <c r="G4309" t="s">
        <v>5361</v>
      </c>
      <c r="H4309" t="s">
        <v>5362</v>
      </c>
    </row>
    <row r="4310" spans="1:8" x14ac:dyDescent="0.25">
      <c r="A4310" t="s">
        <v>1338</v>
      </c>
      <c r="B4310">
        <v>46</v>
      </c>
      <c r="C4310" t="s">
        <v>4712</v>
      </c>
      <c r="D4310" t="s">
        <v>4406</v>
      </c>
      <c r="E4310" t="s">
        <v>4406</v>
      </c>
      <c r="F4310" t="s">
        <v>4581</v>
      </c>
      <c r="G4310" t="s">
        <v>4863</v>
      </c>
      <c r="H4310" t="s">
        <v>4786</v>
      </c>
    </row>
    <row r="4311" spans="1:8" x14ac:dyDescent="0.25">
      <c r="A4311" t="s">
        <v>1370</v>
      </c>
      <c r="B4311">
        <v>33</v>
      </c>
      <c r="C4311" t="s">
        <v>4532</v>
      </c>
      <c r="D4311" t="s">
        <v>4406</v>
      </c>
      <c r="E4311" t="s">
        <v>4741</v>
      </c>
      <c r="F4311" t="s">
        <v>4406</v>
      </c>
      <c r="G4311" t="s">
        <v>4451</v>
      </c>
      <c r="H4311" t="s">
        <v>4726</v>
      </c>
    </row>
    <row r="4312" spans="1:8" x14ac:dyDescent="0.25">
      <c r="A4312" t="s">
        <v>1439</v>
      </c>
      <c r="B4312">
        <v>21</v>
      </c>
      <c r="C4312" t="s">
        <v>4865</v>
      </c>
      <c r="D4312" t="s">
        <v>4406</v>
      </c>
      <c r="E4312" t="s">
        <v>4406</v>
      </c>
      <c r="F4312" t="s">
        <v>4406</v>
      </c>
      <c r="G4312" t="s">
        <v>4749</v>
      </c>
      <c r="H4312" t="s">
        <v>4447</v>
      </c>
    </row>
    <row r="4313" spans="1:8" x14ac:dyDescent="0.25">
      <c r="A4313" t="s">
        <v>1476</v>
      </c>
      <c r="B4313">
        <v>71</v>
      </c>
      <c r="C4313" t="s">
        <v>4597</v>
      </c>
      <c r="D4313" t="s">
        <v>4406</v>
      </c>
      <c r="E4313" t="s">
        <v>4750</v>
      </c>
      <c r="F4313" t="s">
        <v>4406</v>
      </c>
      <c r="G4313" t="s">
        <v>4754</v>
      </c>
      <c r="H4313" t="s">
        <v>4541</v>
      </c>
    </row>
    <row r="4314" spans="1:8" x14ac:dyDescent="0.25">
      <c r="A4314" t="s">
        <v>5476</v>
      </c>
      <c r="B4314">
        <v>6</v>
      </c>
      <c r="C4314" t="s">
        <v>4468</v>
      </c>
      <c r="D4314" t="s">
        <v>4406</v>
      </c>
      <c r="E4314" t="s">
        <v>4406</v>
      </c>
      <c r="F4314" t="s">
        <v>4406</v>
      </c>
      <c r="G4314" t="s">
        <v>4465</v>
      </c>
      <c r="H4314" t="s">
        <v>4596</v>
      </c>
    </row>
    <row r="4315" spans="1:8" x14ac:dyDescent="0.25">
      <c r="A4315" t="s">
        <v>1399</v>
      </c>
      <c r="B4315">
        <v>44</v>
      </c>
      <c r="C4315" t="s">
        <v>4752</v>
      </c>
      <c r="D4315" t="s">
        <v>4406</v>
      </c>
      <c r="E4315" t="s">
        <v>4691</v>
      </c>
      <c r="F4315" t="s">
        <v>4406</v>
      </c>
      <c r="G4315" t="s">
        <v>4462</v>
      </c>
      <c r="H4315" t="s">
        <v>5261</v>
      </c>
    </row>
    <row r="4316" spans="1:8" x14ac:dyDescent="0.25">
      <c r="A4316" t="s">
        <v>1415</v>
      </c>
      <c r="B4316">
        <v>76</v>
      </c>
      <c r="C4316" t="s">
        <v>4601</v>
      </c>
      <c r="D4316" t="s">
        <v>4659</v>
      </c>
      <c r="E4316" t="s">
        <v>4692</v>
      </c>
      <c r="F4316" t="s">
        <v>4406</v>
      </c>
      <c r="G4316" t="s">
        <v>4742</v>
      </c>
      <c r="H4316" t="s">
        <v>5180</v>
      </c>
    </row>
    <row r="4317" spans="1:8" x14ac:dyDescent="0.25">
      <c r="A4317" t="s">
        <v>1296</v>
      </c>
      <c r="B4317">
        <v>297</v>
      </c>
      <c r="C4317" t="s">
        <v>4655</v>
      </c>
      <c r="D4317" t="s">
        <v>4808</v>
      </c>
      <c r="E4317" t="s">
        <v>4931</v>
      </c>
      <c r="F4317" t="s">
        <v>4808</v>
      </c>
      <c r="G4317" t="s">
        <v>4625</v>
      </c>
      <c r="H4317" t="s">
        <v>4465</v>
      </c>
    </row>
    <row r="4319" spans="1:8" x14ac:dyDescent="0.25">
      <c r="A4319" t="s">
        <v>6097</v>
      </c>
    </row>
    <row r="4320" spans="1:8" x14ac:dyDescent="0.25">
      <c r="A4320" t="s">
        <v>907</v>
      </c>
      <c r="B4320" t="s">
        <v>4394</v>
      </c>
      <c r="C4320" t="s">
        <v>5359</v>
      </c>
      <c r="D4320" t="s">
        <v>5392</v>
      </c>
      <c r="E4320" t="s">
        <v>5360</v>
      </c>
      <c r="F4320" t="s">
        <v>4737</v>
      </c>
      <c r="G4320" t="s">
        <v>5361</v>
      </c>
      <c r="H4320" t="s">
        <v>5362</v>
      </c>
    </row>
    <row r="4321" spans="1:8" x14ac:dyDescent="0.25">
      <c r="A4321" t="s">
        <v>109</v>
      </c>
      <c r="B4321">
        <v>257</v>
      </c>
      <c r="C4321" t="s">
        <v>4555</v>
      </c>
      <c r="D4321" t="s">
        <v>4818</v>
      </c>
      <c r="E4321" t="s">
        <v>4753</v>
      </c>
      <c r="F4321" t="s">
        <v>4818</v>
      </c>
      <c r="G4321" t="s">
        <v>4657</v>
      </c>
      <c r="H4321" t="s">
        <v>4768</v>
      </c>
    </row>
    <row r="4322" spans="1:8" x14ac:dyDescent="0.25">
      <c r="A4322" t="s">
        <v>192</v>
      </c>
      <c r="B4322">
        <v>40</v>
      </c>
      <c r="C4322" t="s">
        <v>4595</v>
      </c>
      <c r="D4322" t="s">
        <v>4406</v>
      </c>
      <c r="E4322" t="s">
        <v>4758</v>
      </c>
      <c r="F4322" t="s">
        <v>4406</v>
      </c>
      <c r="G4322" t="s">
        <v>4759</v>
      </c>
      <c r="H4322" t="s">
        <v>4462</v>
      </c>
    </row>
    <row r="4323" spans="1:8" x14ac:dyDescent="0.25">
      <c r="A4323" t="s">
        <v>1296</v>
      </c>
      <c r="B4323">
        <v>297</v>
      </c>
      <c r="C4323" t="s">
        <v>4655</v>
      </c>
      <c r="D4323" t="s">
        <v>4808</v>
      </c>
      <c r="E4323" t="s">
        <v>4931</v>
      </c>
      <c r="F4323" t="s">
        <v>4808</v>
      </c>
      <c r="G4323" t="s">
        <v>4625</v>
      </c>
      <c r="H4323" t="s">
        <v>4465</v>
      </c>
    </row>
    <row r="4325" spans="1:8" x14ac:dyDescent="0.25">
      <c r="A4325" t="s">
        <v>6098</v>
      </c>
    </row>
    <row r="4326" spans="1:8" x14ac:dyDescent="0.25">
      <c r="A4326" t="s">
        <v>1295</v>
      </c>
      <c r="B4326" t="s">
        <v>4394</v>
      </c>
      <c r="C4326" t="s">
        <v>5359</v>
      </c>
      <c r="D4326" t="s">
        <v>5392</v>
      </c>
      <c r="E4326" t="s">
        <v>5360</v>
      </c>
      <c r="F4326" t="s">
        <v>4737</v>
      </c>
      <c r="G4326" t="s">
        <v>5361</v>
      </c>
      <c r="H4326" t="s">
        <v>5362</v>
      </c>
    </row>
    <row r="4327" spans="1:8" x14ac:dyDescent="0.25">
      <c r="A4327" t="s">
        <v>4395</v>
      </c>
      <c r="B4327">
        <v>32</v>
      </c>
      <c r="C4327" t="s">
        <v>4521</v>
      </c>
      <c r="D4327" t="s">
        <v>4406</v>
      </c>
      <c r="E4327" t="s">
        <v>4406</v>
      </c>
      <c r="F4327" t="s">
        <v>4406</v>
      </c>
      <c r="G4327" t="s">
        <v>4520</v>
      </c>
      <c r="H4327" t="s">
        <v>4479</v>
      </c>
    </row>
    <row r="4328" spans="1:8" x14ac:dyDescent="0.25">
      <c r="A4328" t="s">
        <v>4396</v>
      </c>
      <c r="B4328">
        <v>169</v>
      </c>
      <c r="C4328" t="s">
        <v>4961</v>
      </c>
      <c r="D4328" t="s">
        <v>4406</v>
      </c>
      <c r="E4328" t="s">
        <v>4905</v>
      </c>
      <c r="F4328" t="s">
        <v>4413</v>
      </c>
      <c r="G4328" t="s">
        <v>4716</v>
      </c>
      <c r="H4328" t="s">
        <v>5152</v>
      </c>
    </row>
    <row r="4329" spans="1:8" x14ac:dyDescent="0.25">
      <c r="A4329" t="s">
        <v>4397</v>
      </c>
      <c r="B4329">
        <v>2</v>
      </c>
      <c r="C4329" t="s">
        <v>4406</v>
      </c>
      <c r="D4329" t="s">
        <v>4406</v>
      </c>
      <c r="E4329" t="s">
        <v>4468</v>
      </c>
      <c r="F4329" t="s">
        <v>4406</v>
      </c>
      <c r="G4329" t="s">
        <v>4406</v>
      </c>
      <c r="H4329" t="s">
        <v>4468</v>
      </c>
    </row>
    <row r="4330" spans="1:8" x14ac:dyDescent="0.25">
      <c r="A4330" t="s">
        <v>4398</v>
      </c>
      <c r="B4330">
        <v>92</v>
      </c>
      <c r="C4330" t="s">
        <v>4786</v>
      </c>
      <c r="D4330" t="s">
        <v>4825</v>
      </c>
      <c r="E4330" t="s">
        <v>4667</v>
      </c>
      <c r="F4330" t="s">
        <v>4406</v>
      </c>
      <c r="G4330" t="s">
        <v>4462</v>
      </c>
      <c r="H4330" t="s">
        <v>4926</v>
      </c>
    </row>
    <row r="4331" spans="1:8" x14ac:dyDescent="0.25">
      <c r="A4331" t="s">
        <v>4399</v>
      </c>
      <c r="B4331">
        <v>2</v>
      </c>
      <c r="C4331" t="s">
        <v>4454</v>
      </c>
      <c r="D4331" t="s">
        <v>4406</v>
      </c>
      <c r="E4331" t="s">
        <v>4406</v>
      </c>
      <c r="F4331" t="s">
        <v>4406</v>
      </c>
      <c r="G4331" t="s">
        <v>4406</v>
      </c>
      <c r="H4331" t="s">
        <v>4406</v>
      </c>
    </row>
    <row r="4332" spans="1:8" x14ac:dyDescent="0.25">
      <c r="A4332" t="s">
        <v>1296</v>
      </c>
      <c r="B4332">
        <v>297</v>
      </c>
      <c r="C4332" t="s">
        <v>4655</v>
      </c>
      <c r="D4332" t="s">
        <v>4808</v>
      </c>
      <c r="E4332" t="s">
        <v>4931</v>
      </c>
      <c r="F4332" t="s">
        <v>4808</v>
      </c>
      <c r="G4332" t="s">
        <v>4625</v>
      </c>
      <c r="H4332" t="s">
        <v>4465</v>
      </c>
    </row>
    <row r="4334" spans="1:8" x14ac:dyDescent="0.25">
      <c r="A4334" t="s">
        <v>6099</v>
      </c>
    </row>
    <row r="4335" spans="1:8" x14ac:dyDescent="0.25">
      <c r="A4335" t="s">
        <v>910</v>
      </c>
      <c r="B4335" t="s">
        <v>4394</v>
      </c>
      <c r="C4335" t="s">
        <v>5359</v>
      </c>
      <c r="D4335" t="s">
        <v>5392</v>
      </c>
      <c r="E4335" t="s">
        <v>5360</v>
      </c>
      <c r="F4335" t="s">
        <v>4737</v>
      </c>
      <c r="G4335" t="s">
        <v>5361</v>
      </c>
      <c r="H4335" t="s">
        <v>5362</v>
      </c>
    </row>
    <row r="4336" spans="1:8" x14ac:dyDescent="0.25">
      <c r="A4336" t="s">
        <v>1371</v>
      </c>
      <c r="B4336">
        <v>42</v>
      </c>
      <c r="C4336" t="s">
        <v>4585</v>
      </c>
      <c r="D4336" t="s">
        <v>4406</v>
      </c>
      <c r="E4336" t="s">
        <v>4424</v>
      </c>
      <c r="F4336" t="s">
        <v>4406</v>
      </c>
      <c r="G4336" t="s">
        <v>4785</v>
      </c>
      <c r="H4336" t="s">
        <v>4411</v>
      </c>
    </row>
    <row r="4337" spans="1:8" x14ac:dyDescent="0.25">
      <c r="A4337" t="s">
        <v>1452</v>
      </c>
      <c r="B4337">
        <v>18</v>
      </c>
      <c r="C4337" t="s">
        <v>4465</v>
      </c>
      <c r="D4337" t="s">
        <v>4406</v>
      </c>
      <c r="E4337" t="s">
        <v>4571</v>
      </c>
      <c r="F4337" t="s">
        <v>4406</v>
      </c>
      <c r="G4337" t="s">
        <v>4406</v>
      </c>
      <c r="H4337" t="s">
        <v>5214</v>
      </c>
    </row>
    <row r="4338" spans="1:8" x14ac:dyDescent="0.25">
      <c r="A4338" t="s">
        <v>5560</v>
      </c>
      <c r="B4338">
        <v>59</v>
      </c>
      <c r="C4338" t="s">
        <v>4484</v>
      </c>
      <c r="D4338" t="s">
        <v>4406</v>
      </c>
      <c r="E4338" t="s">
        <v>4419</v>
      </c>
      <c r="F4338" t="s">
        <v>4406</v>
      </c>
      <c r="G4338" t="s">
        <v>5248</v>
      </c>
      <c r="H4338" t="s">
        <v>4516</v>
      </c>
    </row>
    <row r="4339" spans="1:8" x14ac:dyDescent="0.25">
      <c r="A4339" t="s">
        <v>1424</v>
      </c>
      <c r="B4339">
        <v>120</v>
      </c>
      <c r="C4339" t="s">
        <v>5395</v>
      </c>
      <c r="D4339" t="s">
        <v>4406</v>
      </c>
      <c r="E4339" t="s">
        <v>4645</v>
      </c>
      <c r="F4339" t="s">
        <v>4417</v>
      </c>
      <c r="G4339" t="s">
        <v>4759</v>
      </c>
      <c r="H4339" t="s">
        <v>5039</v>
      </c>
    </row>
    <row r="4340" spans="1:8" x14ac:dyDescent="0.25">
      <c r="A4340" t="s">
        <v>1340</v>
      </c>
      <c r="B4340">
        <v>31</v>
      </c>
      <c r="C4340" t="s">
        <v>4862</v>
      </c>
      <c r="D4340" t="s">
        <v>4406</v>
      </c>
      <c r="E4340" t="s">
        <v>4713</v>
      </c>
      <c r="F4340" t="s">
        <v>4406</v>
      </c>
      <c r="G4340" t="s">
        <v>4713</v>
      </c>
      <c r="H4340" t="s">
        <v>4562</v>
      </c>
    </row>
    <row r="4341" spans="1:8" x14ac:dyDescent="0.25">
      <c r="A4341" t="s">
        <v>5561</v>
      </c>
      <c r="B4341">
        <v>8</v>
      </c>
      <c r="C4341" t="s">
        <v>4602</v>
      </c>
      <c r="D4341" t="s">
        <v>4406</v>
      </c>
      <c r="E4341" t="s">
        <v>4479</v>
      </c>
      <c r="F4341" t="s">
        <v>4406</v>
      </c>
      <c r="G4341" t="s">
        <v>4406</v>
      </c>
      <c r="H4341" t="s">
        <v>4462</v>
      </c>
    </row>
    <row r="4342" spans="1:8" x14ac:dyDescent="0.25">
      <c r="A4342" t="s">
        <v>1416</v>
      </c>
      <c r="B4342">
        <v>19</v>
      </c>
      <c r="C4342" t="s">
        <v>4867</v>
      </c>
      <c r="D4342" t="s">
        <v>4640</v>
      </c>
      <c r="E4342" t="s">
        <v>4406</v>
      </c>
      <c r="F4342" t="s">
        <v>4406</v>
      </c>
      <c r="G4342" t="s">
        <v>4406</v>
      </c>
      <c r="H4342" t="s">
        <v>4973</v>
      </c>
    </row>
    <row r="4343" spans="1:8" x14ac:dyDescent="0.25">
      <c r="A4343" t="s">
        <v>1296</v>
      </c>
      <c r="B4343">
        <v>297</v>
      </c>
      <c r="C4343" t="s">
        <v>4655</v>
      </c>
      <c r="D4343" t="s">
        <v>4808</v>
      </c>
      <c r="E4343" t="s">
        <v>4931</v>
      </c>
      <c r="F4343" t="s">
        <v>4808</v>
      </c>
      <c r="G4343" t="s">
        <v>4625</v>
      </c>
      <c r="H4343" t="s">
        <v>4465</v>
      </c>
    </row>
    <row r="4345" spans="1:8" x14ac:dyDescent="0.25">
      <c r="A4345" t="s">
        <v>6100</v>
      </c>
    </row>
    <row r="4346" spans="1:8" x14ac:dyDescent="0.25">
      <c r="A4346" t="s">
        <v>5481</v>
      </c>
      <c r="B4346" t="s">
        <v>4394</v>
      </c>
      <c r="C4346" t="s">
        <v>5359</v>
      </c>
      <c r="D4346" t="s">
        <v>5392</v>
      </c>
      <c r="E4346" t="s">
        <v>5360</v>
      </c>
      <c r="F4346" t="s">
        <v>4737</v>
      </c>
      <c r="G4346" t="s">
        <v>5361</v>
      </c>
      <c r="H4346" t="s">
        <v>5362</v>
      </c>
    </row>
    <row r="4347" spans="1:8" x14ac:dyDescent="0.25">
      <c r="A4347" t="s">
        <v>4438</v>
      </c>
      <c r="B4347">
        <v>129</v>
      </c>
      <c r="C4347" t="s">
        <v>5395</v>
      </c>
      <c r="D4347" t="s">
        <v>4417</v>
      </c>
      <c r="E4347" t="s">
        <v>4695</v>
      </c>
      <c r="F4347" t="s">
        <v>4406</v>
      </c>
      <c r="G4347" t="s">
        <v>4414</v>
      </c>
      <c r="H4347" t="s">
        <v>4493</v>
      </c>
    </row>
    <row r="4348" spans="1:8" x14ac:dyDescent="0.25">
      <c r="A4348" t="s">
        <v>4439</v>
      </c>
      <c r="B4348">
        <v>93</v>
      </c>
      <c r="C4348" t="s">
        <v>4531</v>
      </c>
      <c r="D4348" t="s">
        <v>4406</v>
      </c>
      <c r="E4348" t="s">
        <v>4713</v>
      </c>
      <c r="F4348" t="s">
        <v>4406</v>
      </c>
      <c r="G4348" t="s">
        <v>4563</v>
      </c>
      <c r="H4348" t="s">
        <v>5110</v>
      </c>
    </row>
    <row r="4349" spans="1:8" x14ac:dyDescent="0.25">
      <c r="A4349" t="s">
        <v>1400</v>
      </c>
      <c r="B4349">
        <v>5</v>
      </c>
      <c r="C4349" t="s">
        <v>4457</v>
      </c>
      <c r="D4349" t="s">
        <v>4406</v>
      </c>
      <c r="E4349" t="s">
        <v>4406</v>
      </c>
      <c r="F4349" t="s">
        <v>4406</v>
      </c>
      <c r="G4349" t="s">
        <v>4458</v>
      </c>
      <c r="H4349" t="s">
        <v>4406</v>
      </c>
    </row>
    <row r="4350" spans="1:8" x14ac:dyDescent="0.25">
      <c r="A4350" t="s">
        <v>5566</v>
      </c>
      <c r="B4350">
        <v>36</v>
      </c>
      <c r="C4350" t="s">
        <v>4465</v>
      </c>
      <c r="D4350" t="s">
        <v>4406</v>
      </c>
      <c r="E4350" t="s">
        <v>4649</v>
      </c>
      <c r="F4350" t="s">
        <v>4406</v>
      </c>
      <c r="G4350" t="s">
        <v>4649</v>
      </c>
      <c r="H4350" t="s">
        <v>5214</v>
      </c>
    </row>
    <row r="4351" spans="1:8" x14ac:dyDescent="0.25">
      <c r="A4351" t="s">
        <v>1372</v>
      </c>
      <c r="B4351">
        <v>34</v>
      </c>
      <c r="C4351" t="s">
        <v>4655</v>
      </c>
      <c r="D4351" t="s">
        <v>4406</v>
      </c>
      <c r="E4351" t="s">
        <v>4406</v>
      </c>
      <c r="F4351" t="s">
        <v>4697</v>
      </c>
      <c r="G4351" t="s">
        <v>4483</v>
      </c>
      <c r="H4351" t="s">
        <v>4514</v>
      </c>
    </row>
    <row r="4352" spans="1:8" x14ac:dyDescent="0.25">
      <c r="A4352" t="s">
        <v>1296</v>
      </c>
      <c r="B4352">
        <v>297</v>
      </c>
      <c r="C4352" t="s">
        <v>4655</v>
      </c>
      <c r="D4352" t="s">
        <v>4808</v>
      </c>
      <c r="E4352" t="s">
        <v>4931</v>
      </c>
      <c r="F4352" t="s">
        <v>4808</v>
      </c>
      <c r="G4352" t="s">
        <v>4625</v>
      </c>
      <c r="H4352" t="s">
        <v>4465</v>
      </c>
    </row>
    <row r="4354" spans="1:8" x14ac:dyDescent="0.25">
      <c r="A4354" t="s">
        <v>6101</v>
      </c>
    </row>
    <row r="4355" spans="1:8" x14ac:dyDescent="0.25">
      <c r="A4355" t="s">
        <v>5477</v>
      </c>
      <c r="B4355" t="s">
        <v>4394</v>
      </c>
      <c r="C4355" t="s">
        <v>5359</v>
      </c>
      <c r="D4355" t="s">
        <v>5392</v>
      </c>
      <c r="E4355" t="s">
        <v>5360</v>
      </c>
      <c r="F4355" t="s">
        <v>4737</v>
      </c>
      <c r="G4355" t="s">
        <v>5361</v>
      </c>
      <c r="H4355" t="s">
        <v>5362</v>
      </c>
    </row>
    <row r="4356" spans="1:8" x14ac:dyDescent="0.25">
      <c r="A4356" t="s">
        <v>4438</v>
      </c>
      <c r="B4356">
        <v>95</v>
      </c>
      <c r="C4356" t="s">
        <v>4886</v>
      </c>
      <c r="D4356" t="s">
        <v>4825</v>
      </c>
      <c r="E4356" t="s">
        <v>4673</v>
      </c>
      <c r="F4356" t="s">
        <v>4406</v>
      </c>
      <c r="G4356" t="s">
        <v>4958</v>
      </c>
      <c r="H4356" t="s">
        <v>4458</v>
      </c>
    </row>
    <row r="4357" spans="1:8" x14ac:dyDescent="0.25">
      <c r="A4357" t="s">
        <v>4439</v>
      </c>
      <c r="B4357">
        <v>128</v>
      </c>
      <c r="C4357" t="s">
        <v>4468</v>
      </c>
      <c r="D4357" t="s">
        <v>4406</v>
      </c>
      <c r="E4357" t="s">
        <v>4753</v>
      </c>
      <c r="F4357" t="s">
        <v>4406</v>
      </c>
      <c r="G4357" t="s">
        <v>4933</v>
      </c>
      <c r="H4357" t="s">
        <v>4726</v>
      </c>
    </row>
    <row r="4358" spans="1:8" x14ac:dyDescent="0.25">
      <c r="A4358" t="s">
        <v>1400</v>
      </c>
      <c r="B4358">
        <v>7</v>
      </c>
      <c r="C4358" t="s">
        <v>4447</v>
      </c>
      <c r="D4358" t="s">
        <v>4406</v>
      </c>
      <c r="E4358" t="s">
        <v>4406</v>
      </c>
      <c r="F4358" t="s">
        <v>4406</v>
      </c>
      <c r="G4358" t="s">
        <v>4447</v>
      </c>
      <c r="H4358" t="s">
        <v>4522</v>
      </c>
    </row>
    <row r="4359" spans="1:8" x14ac:dyDescent="0.25">
      <c r="A4359" t="s">
        <v>5566</v>
      </c>
      <c r="B4359">
        <v>36</v>
      </c>
      <c r="C4359" t="s">
        <v>4465</v>
      </c>
      <c r="D4359" t="s">
        <v>4406</v>
      </c>
      <c r="E4359" t="s">
        <v>4649</v>
      </c>
      <c r="F4359" t="s">
        <v>4406</v>
      </c>
      <c r="G4359" t="s">
        <v>4649</v>
      </c>
      <c r="H4359" t="s">
        <v>5214</v>
      </c>
    </row>
    <row r="4360" spans="1:8" x14ac:dyDescent="0.25">
      <c r="A4360" t="s">
        <v>1426</v>
      </c>
      <c r="B4360">
        <v>1</v>
      </c>
      <c r="C4360" t="s">
        <v>4406</v>
      </c>
      <c r="D4360" t="s">
        <v>4406</v>
      </c>
      <c r="E4360" t="s">
        <v>4406</v>
      </c>
      <c r="F4360" t="s">
        <v>4406</v>
      </c>
      <c r="G4360" t="s">
        <v>4454</v>
      </c>
      <c r="H4360" t="s">
        <v>4406</v>
      </c>
    </row>
    <row r="4361" spans="1:8" x14ac:dyDescent="0.25">
      <c r="A4361" t="s">
        <v>1372</v>
      </c>
      <c r="B4361">
        <v>30</v>
      </c>
      <c r="C4361" t="s">
        <v>5106</v>
      </c>
      <c r="D4361" t="s">
        <v>4406</v>
      </c>
      <c r="E4361" t="s">
        <v>4416</v>
      </c>
      <c r="F4361" t="s">
        <v>4651</v>
      </c>
      <c r="G4361" t="s">
        <v>4465</v>
      </c>
      <c r="H4361" t="s">
        <v>4646</v>
      </c>
    </row>
    <row r="4362" spans="1:8" x14ac:dyDescent="0.25">
      <c r="A4362" t="s">
        <v>1296</v>
      </c>
      <c r="B4362">
        <v>297</v>
      </c>
      <c r="C4362" t="s">
        <v>4655</v>
      </c>
      <c r="D4362" t="s">
        <v>4808</v>
      </c>
      <c r="E4362" t="s">
        <v>4931</v>
      </c>
      <c r="F4362" t="s">
        <v>4808</v>
      </c>
      <c r="G4362" t="s">
        <v>4625</v>
      </c>
      <c r="H4362" t="s">
        <v>4465</v>
      </c>
    </row>
    <row r="4364" spans="1:8" x14ac:dyDescent="0.25">
      <c r="A4364" t="s">
        <v>6102</v>
      </c>
    </row>
    <row r="4365" spans="1:8" x14ac:dyDescent="0.25">
      <c r="A4365" t="s">
        <v>911</v>
      </c>
      <c r="B4365" t="s">
        <v>4394</v>
      </c>
      <c r="C4365" t="s">
        <v>5359</v>
      </c>
      <c r="D4365" t="s">
        <v>5392</v>
      </c>
      <c r="E4365" t="s">
        <v>5360</v>
      </c>
      <c r="F4365" t="s">
        <v>4737</v>
      </c>
      <c r="G4365" t="s">
        <v>5361</v>
      </c>
      <c r="H4365" t="s">
        <v>5362</v>
      </c>
    </row>
    <row r="4366" spans="1:8" x14ac:dyDescent="0.25">
      <c r="A4366" t="s">
        <v>4438</v>
      </c>
      <c r="B4366">
        <v>122</v>
      </c>
      <c r="C4366" t="s">
        <v>4595</v>
      </c>
      <c r="D4366" t="s">
        <v>4417</v>
      </c>
      <c r="E4366" t="s">
        <v>4645</v>
      </c>
      <c r="F4366" t="s">
        <v>4406</v>
      </c>
      <c r="G4366" t="s">
        <v>4772</v>
      </c>
      <c r="H4366" t="s">
        <v>4629</v>
      </c>
    </row>
    <row r="4367" spans="1:8" x14ac:dyDescent="0.25">
      <c r="A4367" t="s">
        <v>4439</v>
      </c>
      <c r="B4367">
        <v>79</v>
      </c>
      <c r="C4367" t="s">
        <v>5109</v>
      </c>
      <c r="D4367" t="s">
        <v>4406</v>
      </c>
      <c r="E4367" t="s">
        <v>4720</v>
      </c>
      <c r="F4367" t="s">
        <v>4406</v>
      </c>
      <c r="G4367" t="s">
        <v>4942</v>
      </c>
      <c r="H4367" t="s">
        <v>4482</v>
      </c>
    </row>
    <row r="4368" spans="1:8" x14ac:dyDescent="0.25">
      <c r="A4368" t="s">
        <v>1400</v>
      </c>
      <c r="B4368">
        <v>19</v>
      </c>
      <c r="C4368" t="s">
        <v>4466</v>
      </c>
      <c r="D4368" t="s">
        <v>4406</v>
      </c>
      <c r="E4368" t="s">
        <v>4640</v>
      </c>
      <c r="F4368" t="s">
        <v>4406</v>
      </c>
      <c r="G4368" t="s">
        <v>4504</v>
      </c>
      <c r="H4368" t="s">
        <v>4524</v>
      </c>
    </row>
    <row r="4369" spans="1:8" x14ac:dyDescent="0.25">
      <c r="A4369" t="s">
        <v>1340</v>
      </c>
      <c r="B4369">
        <v>31</v>
      </c>
      <c r="C4369" t="s">
        <v>4862</v>
      </c>
      <c r="D4369" t="s">
        <v>4406</v>
      </c>
      <c r="E4369" t="s">
        <v>4713</v>
      </c>
      <c r="F4369" t="s">
        <v>4406</v>
      </c>
      <c r="G4369" t="s">
        <v>4713</v>
      </c>
      <c r="H4369" t="s">
        <v>4562</v>
      </c>
    </row>
    <row r="4370" spans="1:8" x14ac:dyDescent="0.25">
      <c r="A4370" t="s">
        <v>1426</v>
      </c>
      <c r="B4370">
        <v>8</v>
      </c>
      <c r="C4370" t="s">
        <v>4468</v>
      </c>
      <c r="D4370" t="s">
        <v>4406</v>
      </c>
      <c r="E4370" t="s">
        <v>4406</v>
      </c>
      <c r="F4370" t="s">
        <v>4406</v>
      </c>
      <c r="G4370" t="s">
        <v>4462</v>
      </c>
      <c r="H4370" t="s">
        <v>4462</v>
      </c>
    </row>
    <row r="4371" spans="1:8" x14ac:dyDescent="0.25">
      <c r="A4371" t="s">
        <v>1372</v>
      </c>
      <c r="B4371">
        <v>38</v>
      </c>
      <c r="C4371" t="s">
        <v>4947</v>
      </c>
      <c r="D4371" t="s">
        <v>4406</v>
      </c>
      <c r="E4371" t="s">
        <v>4406</v>
      </c>
      <c r="F4371" t="s">
        <v>4864</v>
      </c>
      <c r="G4371" t="s">
        <v>4527</v>
      </c>
      <c r="H4371" t="s">
        <v>4488</v>
      </c>
    </row>
    <row r="4372" spans="1:8" x14ac:dyDescent="0.25">
      <c r="A4372" t="s">
        <v>1296</v>
      </c>
      <c r="B4372">
        <v>297</v>
      </c>
      <c r="C4372" t="s">
        <v>4655</v>
      </c>
      <c r="D4372" t="s">
        <v>4808</v>
      </c>
      <c r="E4372" t="s">
        <v>4931</v>
      </c>
      <c r="F4372" t="s">
        <v>4808</v>
      </c>
      <c r="G4372" t="s">
        <v>4625</v>
      </c>
      <c r="H4372" t="s">
        <v>4465</v>
      </c>
    </row>
    <row r="4374" spans="1:8" x14ac:dyDescent="0.25">
      <c r="A4374" t="s">
        <v>6103</v>
      </c>
    </row>
    <row r="4375" spans="1:8" x14ac:dyDescent="0.25">
      <c r="A4375" t="s">
        <v>912</v>
      </c>
      <c r="B4375" t="s">
        <v>4394</v>
      </c>
      <c r="C4375" t="s">
        <v>5359</v>
      </c>
      <c r="D4375" t="s">
        <v>5392</v>
      </c>
      <c r="E4375" t="s">
        <v>5360</v>
      </c>
      <c r="F4375" t="s">
        <v>4737</v>
      </c>
      <c r="G4375" t="s">
        <v>5361</v>
      </c>
      <c r="H4375" t="s">
        <v>5362</v>
      </c>
    </row>
    <row r="4376" spans="1:8" x14ac:dyDescent="0.25">
      <c r="A4376" t="s">
        <v>4438</v>
      </c>
      <c r="B4376">
        <v>80</v>
      </c>
      <c r="C4376" t="s">
        <v>4853</v>
      </c>
      <c r="D4376" t="s">
        <v>4659</v>
      </c>
      <c r="E4376" t="s">
        <v>4645</v>
      </c>
      <c r="F4376" t="s">
        <v>4406</v>
      </c>
      <c r="G4376" t="s">
        <v>4631</v>
      </c>
      <c r="H4376" t="s">
        <v>4458</v>
      </c>
    </row>
    <row r="4377" spans="1:8" x14ac:dyDescent="0.25">
      <c r="A4377" t="s">
        <v>4439</v>
      </c>
      <c r="B4377">
        <v>106</v>
      </c>
      <c r="C4377" t="s">
        <v>5394</v>
      </c>
      <c r="D4377" t="s">
        <v>4406</v>
      </c>
      <c r="E4377" t="s">
        <v>4952</v>
      </c>
      <c r="F4377" t="s">
        <v>4406</v>
      </c>
      <c r="G4377" t="s">
        <v>4584</v>
      </c>
      <c r="H4377" t="s">
        <v>4580</v>
      </c>
    </row>
    <row r="4378" spans="1:8" x14ac:dyDescent="0.25">
      <c r="A4378" t="s">
        <v>1400</v>
      </c>
      <c r="B4378">
        <v>30</v>
      </c>
      <c r="C4378" t="s">
        <v>4512</v>
      </c>
      <c r="D4378" t="s">
        <v>4406</v>
      </c>
      <c r="E4378" t="s">
        <v>4416</v>
      </c>
      <c r="F4378" t="s">
        <v>4406</v>
      </c>
      <c r="G4378" t="s">
        <v>5039</v>
      </c>
      <c r="H4378" t="s">
        <v>4415</v>
      </c>
    </row>
    <row r="4379" spans="1:8" x14ac:dyDescent="0.25">
      <c r="A4379" t="s">
        <v>1340</v>
      </c>
      <c r="B4379">
        <v>31</v>
      </c>
      <c r="C4379" t="s">
        <v>4862</v>
      </c>
      <c r="D4379" t="s">
        <v>4406</v>
      </c>
      <c r="E4379" t="s">
        <v>4713</v>
      </c>
      <c r="F4379" t="s">
        <v>4406</v>
      </c>
      <c r="G4379" t="s">
        <v>4713</v>
      </c>
      <c r="H4379" t="s">
        <v>4562</v>
      </c>
    </row>
    <row r="4380" spans="1:8" x14ac:dyDescent="0.25">
      <c r="A4380" t="s">
        <v>1426</v>
      </c>
      <c r="B4380">
        <v>15</v>
      </c>
      <c r="C4380" t="s">
        <v>4458</v>
      </c>
      <c r="D4380" t="s">
        <v>4406</v>
      </c>
      <c r="E4380" t="s">
        <v>4406</v>
      </c>
      <c r="F4380" t="s">
        <v>4406</v>
      </c>
      <c r="G4380" t="s">
        <v>4415</v>
      </c>
      <c r="H4380" t="s">
        <v>4465</v>
      </c>
    </row>
    <row r="4381" spans="1:8" x14ac:dyDescent="0.25">
      <c r="A4381" t="s">
        <v>1372</v>
      </c>
      <c r="B4381">
        <v>35</v>
      </c>
      <c r="C4381" t="s">
        <v>5225</v>
      </c>
      <c r="D4381" t="s">
        <v>4406</v>
      </c>
      <c r="E4381" t="s">
        <v>4697</v>
      </c>
      <c r="F4381" t="s">
        <v>4697</v>
      </c>
      <c r="G4381" t="s">
        <v>4450</v>
      </c>
      <c r="H4381" t="s">
        <v>4522</v>
      </c>
    </row>
    <row r="4382" spans="1:8" x14ac:dyDescent="0.25">
      <c r="A4382" t="s">
        <v>1296</v>
      </c>
      <c r="B4382">
        <v>297</v>
      </c>
      <c r="C4382" t="s">
        <v>4655</v>
      </c>
      <c r="D4382" t="s">
        <v>4808</v>
      </c>
      <c r="E4382" t="s">
        <v>4931</v>
      </c>
      <c r="F4382" t="s">
        <v>4808</v>
      </c>
      <c r="G4382" t="s">
        <v>4625</v>
      </c>
      <c r="H4382" t="s">
        <v>4465</v>
      </c>
    </row>
    <row r="4384" spans="1:8" x14ac:dyDescent="0.25">
      <c r="A4384" t="s">
        <v>6104</v>
      </c>
    </row>
    <row r="4385" spans="1:8" x14ac:dyDescent="0.25">
      <c r="A4385" t="s">
        <v>920</v>
      </c>
      <c r="B4385" t="s">
        <v>4394</v>
      </c>
      <c r="C4385" t="s">
        <v>5359</v>
      </c>
      <c r="D4385" t="s">
        <v>5392</v>
      </c>
      <c r="E4385" t="s">
        <v>5360</v>
      </c>
      <c r="F4385" t="s">
        <v>4737</v>
      </c>
      <c r="G4385" t="s">
        <v>5361</v>
      </c>
      <c r="H4385" t="s">
        <v>5362</v>
      </c>
    </row>
    <row r="4386" spans="1:8" x14ac:dyDescent="0.25">
      <c r="A4386" t="s">
        <v>1343</v>
      </c>
      <c r="B4386">
        <v>170</v>
      </c>
      <c r="C4386" t="s">
        <v>4458</v>
      </c>
      <c r="D4386" t="s">
        <v>4406</v>
      </c>
      <c r="E4386" t="s">
        <v>4757</v>
      </c>
      <c r="F4386" t="s">
        <v>4413</v>
      </c>
      <c r="G4386" t="s">
        <v>4483</v>
      </c>
      <c r="H4386" t="s">
        <v>4515</v>
      </c>
    </row>
    <row r="4387" spans="1:8" x14ac:dyDescent="0.25">
      <c r="A4387" t="s">
        <v>1345</v>
      </c>
      <c r="B4387">
        <v>75</v>
      </c>
      <c r="C4387" t="s">
        <v>5107</v>
      </c>
      <c r="D4387" t="s">
        <v>4659</v>
      </c>
      <c r="E4387" t="s">
        <v>4659</v>
      </c>
      <c r="F4387" t="s">
        <v>4406</v>
      </c>
      <c r="G4387" t="s">
        <v>4640</v>
      </c>
      <c r="H4387" t="s">
        <v>4658</v>
      </c>
    </row>
    <row r="4388" spans="1:8" x14ac:dyDescent="0.25">
      <c r="A4388" t="s">
        <v>1466</v>
      </c>
      <c r="B4388">
        <v>50</v>
      </c>
      <c r="C4388" t="s">
        <v>4597</v>
      </c>
      <c r="D4388" t="s">
        <v>4406</v>
      </c>
      <c r="E4388" t="s">
        <v>4744</v>
      </c>
      <c r="F4388" t="s">
        <v>4406</v>
      </c>
      <c r="G4388" t="s">
        <v>5126</v>
      </c>
      <c r="H4388" t="s">
        <v>5126</v>
      </c>
    </row>
    <row r="4389" spans="1:8" x14ac:dyDescent="0.25">
      <c r="A4389" t="s">
        <v>5554</v>
      </c>
      <c r="B4389">
        <v>2</v>
      </c>
      <c r="C4389" t="s">
        <v>4468</v>
      </c>
      <c r="D4389" t="s">
        <v>4406</v>
      </c>
      <c r="E4389" t="s">
        <v>4406</v>
      </c>
      <c r="F4389" t="s">
        <v>4406</v>
      </c>
      <c r="G4389" t="s">
        <v>4406</v>
      </c>
      <c r="H4389" t="s">
        <v>4468</v>
      </c>
    </row>
    <row r="4390" spans="1:8" x14ac:dyDescent="0.25">
      <c r="A4390" t="s">
        <v>1296</v>
      </c>
      <c r="B4390">
        <v>297</v>
      </c>
      <c r="C4390" t="s">
        <v>4655</v>
      </c>
      <c r="D4390" t="s">
        <v>4808</v>
      </c>
      <c r="E4390" t="s">
        <v>4931</v>
      </c>
      <c r="F4390" t="s">
        <v>4808</v>
      </c>
      <c r="G4390" t="s">
        <v>4625</v>
      </c>
      <c r="H4390" t="s">
        <v>4465</v>
      </c>
    </row>
    <row r="4392" spans="1:8" x14ac:dyDescent="0.25">
      <c r="A4392" t="s">
        <v>6105</v>
      </c>
    </row>
    <row r="4393" spans="1:8" x14ac:dyDescent="0.25">
      <c r="A4393" t="s">
        <v>924</v>
      </c>
      <c r="B4393" t="s">
        <v>4394</v>
      </c>
      <c r="C4393" t="s">
        <v>5359</v>
      </c>
      <c r="D4393" t="s">
        <v>5392</v>
      </c>
      <c r="E4393" t="s">
        <v>5360</v>
      </c>
      <c r="F4393" t="s">
        <v>4737</v>
      </c>
      <c r="G4393" t="s">
        <v>5361</v>
      </c>
      <c r="H4393" t="s">
        <v>5362</v>
      </c>
    </row>
    <row r="4394" spans="1:8" x14ac:dyDescent="0.25">
      <c r="A4394" t="s">
        <v>1345</v>
      </c>
      <c r="B4394">
        <v>69</v>
      </c>
      <c r="C4394" t="s">
        <v>4665</v>
      </c>
      <c r="D4394" t="s">
        <v>4406</v>
      </c>
      <c r="E4394" t="s">
        <v>4667</v>
      </c>
      <c r="F4394" t="s">
        <v>4750</v>
      </c>
      <c r="G4394" t="s">
        <v>4944</v>
      </c>
      <c r="H4394" t="s">
        <v>4664</v>
      </c>
    </row>
    <row r="4395" spans="1:8" x14ac:dyDescent="0.25">
      <c r="A4395" t="s">
        <v>1441</v>
      </c>
      <c r="B4395">
        <v>123</v>
      </c>
      <c r="C4395" t="s">
        <v>4928</v>
      </c>
      <c r="D4395" t="s">
        <v>4417</v>
      </c>
      <c r="E4395" t="s">
        <v>4417</v>
      </c>
      <c r="F4395" t="s">
        <v>4406</v>
      </c>
      <c r="G4395" t="s">
        <v>4423</v>
      </c>
      <c r="H4395" t="s">
        <v>4536</v>
      </c>
    </row>
    <row r="4396" spans="1:8" x14ac:dyDescent="0.25">
      <c r="A4396" t="s">
        <v>1461</v>
      </c>
      <c r="B4396">
        <v>95</v>
      </c>
      <c r="C4396" t="s">
        <v>4466</v>
      </c>
      <c r="D4396" t="s">
        <v>4406</v>
      </c>
      <c r="E4396" t="s">
        <v>4713</v>
      </c>
      <c r="F4396" t="s">
        <v>4406</v>
      </c>
      <c r="G4396" t="s">
        <v>4472</v>
      </c>
      <c r="H4396" t="s">
        <v>5261</v>
      </c>
    </row>
    <row r="4397" spans="1:8" x14ac:dyDescent="0.25">
      <c r="A4397" t="s">
        <v>5554</v>
      </c>
      <c r="B4397">
        <v>10</v>
      </c>
      <c r="C4397" t="s">
        <v>4489</v>
      </c>
      <c r="D4397" t="s">
        <v>4406</v>
      </c>
      <c r="E4397" t="s">
        <v>4646</v>
      </c>
      <c r="F4397" t="s">
        <v>4406</v>
      </c>
      <c r="G4397" t="s">
        <v>4489</v>
      </c>
      <c r="H4397" t="s">
        <v>4489</v>
      </c>
    </row>
    <row r="4398" spans="1:8" x14ac:dyDescent="0.25">
      <c r="A4398" t="s">
        <v>1296</v>
      </c>
      <c r="B4398">
        <v>297</v>
      </c>
      <c r="C4398" t="s">
        <v>4655</v>
      </c>
      <c r="D4398" t="s">
        <v>4808</v>
      </c>
      <c r="E4398" t="s">
        <v>4931</v>
      </c>
      <c r="F4398" t="s">
        <v>4808</v>
      </c>
      <c r="G4398" t="s">
        <v>4625</v>
      </c>
      <c r="H4398" t="s">
        <v>4465</v>
      </c>
    </row>
    <row r="4400" spans="1:8" x14ac:dyDescent="0.25">
      <c r="A4400" t="s">
        <v>6106</v>
      </c>
    </row>
    <row r="4401" spans="1:9" x14ac:dyDescent="0.25">
      <c r="A4401" t="s">
        <v>903</v>
      </c>
      <c r="B4401" t="s">
        <v>4394</v>
      </c>
      <c r="C4401" t="s">
        <v>5359</v>
      </c>
      <c r="D4401" t="s">
        <v>5392</v>
      </c>
      <c r="E4401" t="s">
        <v>5360</v>
      </c>
      <c r="F4401" t="s">
        <v>4737</v>
      </c>
      <c r="G4401" t="s">
        <v>5361</v>
      </c>
      <c r="H4401" t="s">
        <v>5362</v>
      </c>
    </row>
    <row r="4402" spans="1:9" x14ac:dyDescent="0.25">
      <c r="A4402" t="s">
        <v>70</v>
      </c>
      <c r="B4402">
        <v>85</v>
      </c>
      <c r="C4402" t="s">
        <v>4457</v>
      </c>
      <c r="D4402" t="s">
        <v>4406</v>
      </c>
      <c r="E4402" t="s">
        <v>4422</v>
      </c>
      <c r="F4402" t="s">
        <v>4406</v>
      </c>
      <c r="G4402" t="s">
        <v>4420</v>
      </c>
      <c r="H4402" t="s">
        <v>4593</v>
      </c>
    </row>
    <row r="4403" spans="1:9" x14ac:dyDescent="0.25">
      <c r="A4403" t="s">
        <v>71</v>
      </c>
      <c r="B4403">
        <v>212</v>
      </c>
      <c r="C4403" t="s">
        <v>4661</v>
      </c>
      <c r="D4403" t="s">
        <v>4404</v>
      </c>
      <c r="E4403" t="s">
        <v>4651</v>
      </c>
      <c r="F4403" t="s">
        <v>4404</v>
      </c>
      <c r="G4403" t="s">
        <v>4759</v>
      </c>
      <c r="H4403" t="s">
        <v>4771</v>
      </c>
    </row>
    <row r="4404" spans="1:9" x14ac:dyDescent="0.25">
      <c r="A4404" t="s">
        <v>1296</v>
      </c>
      <c r="B4404">
        <v>297</v>
      </c>
      <c r="C4404" t="s">
        <v>4655</v>
      </c>
      <c r="D4404" t="s">
        <v>4808</v>
      </c>
      <c r="E4404" t="s">
        <v>4931</v>
      </c>
      <c r="F4404" t="s">
        <v>4808</v>
      </c>
      <c r="G4404" t="s">
        <v>4625</v>
      </c>
      <c r="H4404" t="s">
        <v>4465</v>
      </c>
    </row>
    <row r="4406" spans="1:9" x14ac:dyDescent="0.25">
      <c r="A4406" t="s">
        <v>6107</v>
      </c>
    </row>
    <row r="4407" spans="1:9" x14ac:dyDescent="0.25">
      <c r="A4407" t="s">
        <v>1297</v>
      </c>
      <c r="B4407" t="s">
        <v>4394</v>
      </c>
      <c r="C4407" t="s">
        <v>4732</v>
      </c>
      <c r="D4407" t="s">
        <v>5359</v>
      </c>
      <c r="E4407" t="s">
        <v>5392</v>
      </c>
      <c r="F4407" t="s">
        <v>5360</v>
      </c>
      <c r="G4407" t="s">
        <v>4737</v>
      </c>
      <c r="H4407" t="s">
        <v>5361</v>
      </c>
      <c r="I4407" t="s">
        <v>5362</v>
      </c>
    </row>
    <row r="4408" spans="1:9" x14ac:dyDescent="0.25">
      <c r="A4408" t="s">
        <v>5549</v>
      </c>
      <c r="B4408">
        <v>198</v>
      </c>
      <c r="C4408" t="s">
        <v>4406</v>
      </c>
      <c r="D4408" t="s">
        <v>4628</v>
      </c>
      <c r="E4408" t="s">
        <v>5396</v>
      </c>
      <c r="F4408" t="s">
        <v>4680</v>
      </c>
      <c r="G4408" t="s">
        <v>4404</v>
      </c>
      <c r="H4408" t="s">
        <v>4757</v>
      </c>
      <c r="I4408" t="s">
        <v>4744</v>
      </c>
    </row>
    <row r="4409" spans="1:9" x14ac:dyDescent="0.25">
      <c r="A4409" t="s">
        <v>1397</v>
      </c>
      <c r="B4409">
        <v>99</v>
      </c>
      <c r="C4409" t="s">
        <v>4402</v>
      </c>
      <c r="D4409" t="s">
        <v>4539</v>
      </c>
      <c r="E4409" t="s">
        <v>4964</v>
      </c>
      <c r="F4409" t="s">
        <v>4406</v>
      </c>
      <c r="G4409" t="s">
        <v>4406</v>
      </c>
      <c r="H4409" t="s">
        <v>4402</v>
      </c>
      <c r="I4409" t="s">
        <v>4626</v>
      </c>
    </row>
    <row r="4410" spans="1:9" x14ac:dyDescent="0.25">
      <c r="A4410" t="s">
        <v>1296</v>
      </c>
      <c r="B4410">
        <v>297</v>
      </c>
      <c r="C4410" t="s">
        <v>4808</v>
      </c>
      <c r="D4410" t="s">
        <v>4706</v>
      </c>
      <c r="E4410" t="s">
        <v>5187</v>
      </c>
      <c r="F4410" t="s">
        <v>4402</v>
      </c>
      <c r="G4410" t="s">
        <v>4808</v>
      </c>
      <c r="H4410" t="s">
        <v>4931</v>
      </c>
      <c r="I4410" t="s">
        <v>4424</v>
      </c>
    </row>
    <row r="4412" spans="1:9" x14ac:dyDescent="0.25">
      <c r="A4412" t="s">
        <v>6108</v>
      </c>
    </row>
    <row r="4413" spans="1:9" x14ac:dyDescent="0.25">
      <c r="A4413" t="s">
        <v>905</v>
      </c>
      <c r="B4413" t="s">
        <v>4394</v>
      </c>
      <c r="C4413" t="s">
        <v>4732</v>
      </c>
      <c r="D4413" t="s">
        <v>5359</v>
      </c>
      <c r="E4413" t="s">
        <v>5392</v>
      </c>
      <c r="F4413" t="s">
        <v>5360</v>
      </c>
      <c r="G4413" t="s">
        <v>4737</v>
      </c>
      <c r="H4413" t="s">
        <v>5361</v>
      </c>
      <c r="I4413" t="s">
        <v>5362</v>
      </c>
    </row>
    <row r="4414" spans="1:9" x14ac:dyDescent="0.25">
      <c r="A4414" t="s">
        <v>4844</v>
      </c>
      <c r="B4414">
        <v>36</v>
      </c>
      <c r="C4414" t="s">
        <v>4649</v>
      </c>
      <c r="D4414" t="s">
        <v>4649</v>
      </c>
      <c r="E4414" t="s">
        <v>4997</v>
      </c>
      <c r="F4414" t="s">
        <v>4649</v>
      </c>
      <c r="G4414" t="s">
        <v>4649</v>
      </c>
      <c r="H4414" t="s">
        <v>4571</v>
      </c>
      <c r="I4414" t="s">
        <v>4649</v>
      </c>
    </row>
    <row r="4415" spans="1:9" x14ac:dyDescent="0.25">
      <c r="A4415" t="s">
        <v>4845</v>
      </c>
      <c r="B4415">
        <v>230</v>
      </c>
      <c r="C4415" t="s">
        <v>4406</v>
      </c>
      <c r="D4415" t="s">
        <v>4863</v>
      </c>
      <c r="E4415" t="s">
        <v>4834</v>
      </c>
      <c r="F4415" t="s">
        <v>4902</v>
      </c>
      <c r="G4415" t="s">
        <v>4406</v>
      </c>
      <c r="H4415" t="s">
        <v>4419</v>
      </c>
      <c r="I4415" t="s">
        <v>4581</v>
      </c>
    </row>
    <row r="4416" spans="1:9" x14ac:dyDescent="0.25">
      <c r="A4416" t="s">
        <v>4846</v>
      </c>
      <c r="B4416">
        <v>31</v>
      </c>
      <c r="C4416" t="s">
        <v>4406</v>
      </c>
      <c r="D4416" t="s">
        <v>4670</v>
      </c>
      <c r="E4416" t="s">
        <v>4995</v>
      </c>
      <c r="F4416" t="s">
        <v>4406</v>
      </c>
      <c r="G4416" t="s">
        <v>4406</v>
      </c>
      <c r="H4416" t="s">
        <v>4670</v>
      </c>
      <c r="I4416" t="s">
        <v>4713</v>
      </c>
    </row>
    <row r="4417" spans="1:9" x14ac:dyDescent="0.25">
      <c r="A4417" t="s">
        <v>1296</v>
      </c>
      <c r="B4417">
        <v>297</v>
      </c>
      <c r="C4417" t="s">
        <v>4808</v>
      </c>
      <c r="D4417" t="s">
        <v>4706</v>
      </c>
      <c r="E4417" t="s">
        <v>5187</v>
      </c>
      <c r="F4417" t="s">
        <v>4402</v>
      </c>
      <c r="G4417" t="s">
        <v>4808</v>
      </c>
      <c r="H4417" t="s">
        <v>4931</v>
      </c>
      <c r="I4417" t="s">
        <v>4424</v>
      </c>
    </row>
    <row r="4419" spans="1:9" x14ac:dyDescent="0.25">
      <c r="A4419" t="s">
        <v>6109</v>
      </c>
    </row>
    <row r="4420" spans="1:9" x14ac:dyDescent="0.25">
      <c r="A4420" t="s">
        <v>906</v>
      </c>
      <c r="B4420" t="s">
        <v>4394</v>
      </c>
      <c r="C4420" t="s">
        <v>4732</v>
      </c>
      <c r="D4420" t="s">
        <v>5359</v>
      </c>
      <c r="E4420" t="s">
        <v>5392</v>
      </c>
      <c r="F4420" t="s">
        <v>5360</v>
      </c>
      <c r="G4420" t="s">
        <v>4737</v>
      </c>
      <c r="H4420" t="s">
        <v>5361</v>
      </c>
      <c r="I4420" t="s">
        <v>5362</v>
      </c>
    </row>
    <row r="4421" spans="1:9" x14ac:dyDescent="0.25">
      <c r="A4421" t="s">
        <v>1338</v>
      </c>
      <c r="B4421">
        <v>46</v>
      </c>
      <c r="C4421" t="s">
        <v>4581</v>
      </c>
      <c r="D4421" t="s">
        <v>4663</v>
      </c>
      <c r="E4421" t="s">
        <v>4579</v>
      </c>
      <c r="F4421" t="s">
        <v>4667</v>
      </c>
      <c r="G4421" t="s">
        <v>4581</v>
      </c>
      <c r="H4421" t="s">
        <v>4670</v>
      </c>
      <c r="I4421" t="s">
        <v>4581</v>
      </c>
    </row>
    <row r="4422" spans="1:9" x14ac:dyDescent="0.25">
      <c r="A4422" t="s">
        <v>1370</v>
      </c>
      <c r="B4422">
        <v>33</v>
      </c>
      <c r="C4422" t="s">
        <v>4406</v>
      </c>
      <c r="D4422" t="s">
        <v>4852</v>
      </c>
      <c r="E4422" t="s">
        <v>5024</v>
      </c>
      <c r="F4422" t="s">
        <v>4406</v>
      </c>
      <c r="G4422" t="s">
        <v>4406</v>
      </c>
      <c r="H4422" t="s">
        <v>4741</v>
      </c>
      <c r="I4422" t="s">
        <v>4406</v>
      </c>
    </row>
    <row r="4423" spans="1:9" x14ac:dyDescent="0.25">
      <c r="A4423" t="s">
        <v>1439</v>
      </c>
      <c r="B4423">
        <v>21</v>
      </c>
      <c r="C4423" t="s">
        <v>4406</v>
      </c>
      <c r="D4423" t="s">
        <v>4556</v>
      </c>
      <c r="E4423" t="s">
        <v>4469</v>
      </c>
      <c r="F4423" t="s">
        <v>4406</v>
      </c>
      <c r="G4423" t="s">
        <v>4406</v>
      </c>
      <c r="H4423" t="s">
        <v>4406</v>
      </c>
      <c r="I4423" t="s">
        <v>4675</v>
      </c>
    </row>
    <row r="4424" spans="1:9" x14ac:dyDescent="0.25">
      <c r="A4424" t="s">
        <v>1476</v>
      </c>
      <c r="B4424">
        <v>71</v>
      </c>
      <c r="C4424" t="s">
        <v>4406</v>
      </c>
      <c r="D4424" t="s">
        <v>4599</v>
      </c>
      <c r="E4424" t="s">
        <v>5186</v>
      </c>
      <c r="F4424" t="s">
        <v>4750</v>
      </c>
      <c r="G4424" t="s">
        <v>4406</v>
      </c>
      <c r="H4424" t="s">
        <v>4751</v>
      </c>
      <c r="I4424" t="s">
        <v>4750</v>
      </c>
    </row>
    <row r="4425" spans="1:9" x14ac:dyDescent="0.25">
      <c r="A4425" t="s">
        <v>5476</v>
      </c>
      <c r="B4425">
        <v>6</v>
      </c>
      <c r="C4425" t="s">
        <v>4406</v>
      </c>
      <c r="D4425" t="s">
        <v>4596</v>
      </c>
      <c r="E4425" t="s">
        <v>4469</v>
      </c>
      <c r="F4425" t="s">
        <v>4406</v>
      </c>
      <c r="G4425" t="s">
        <v>4406</v>
      </c>
      <c r="H4425" t="s">
        <v>4406</v>
      </c>
      <c r="I4425" t="s">
        <v>4596</v>
      </c>
    </row>
    <row r="4426" spans="1:9" x14ac:dyDescent="0.25">
      <c r="A4426" t="s">
        <v>1399</v>
      </c>
      <c r="B4426">
        <v>44</v>
      </c>
      <c r="C4426" t="s">
        <v>4406</v>
      </c>
      <c r="D4426" t="s">
        <v>4852</v>
      </c>
      <c r="E4426" t="s">
        <v>5400</v>
      </c>
      <c r="F4426" t="s">
        <v>4406</v>
      </c>
      <c r="G4426" t="s">
        <v>4406</v>
      </c>
      <c r="H4426" t="s">
        <v>4406</v>
      </c>
      <c r="I4426" t="s">
        <v>4691</v>
      </c>
    </row>
    <row r="4427" spans="1:9" x14ac:dyDescent="0.25">
      <c r="A4427" t="s">
        <v>1415</v>
      </c>
      <c r="B4427">
        <v>76</v>
      </c>
      <c r="C4427" t="s">
        <v>4406</v>
      </c>
      <c r="D4427" t="s">
        <v>4715</v>
      </c>
      <c r="E4427" t="s">
        <v>5090</v>
      </c>
      <c r="F4427" t="s">
        <v>4406</v>
      </c>
      <c r="G4427" t="s">
        <v>4406</v>
      </c>
      <c r="H4427" t="s">
        <v>4406</v>
      </c>
      <c r="I4427" t="s">
        <v>4406</v>
      </c>
    </row>
    <row r="4428" spans="1:9" x14ac:dyDescent="0.25">
      <c r="A4428" t="s">
        <v>1296</v>
      </c>
      <c r="B4428">
        <v>297</v>
      </c>
      <c r="C4428" t="s">
        <v>4808</v>
      </c>
      <c r="D4428" t="s">
        <v>4706</v>
      </c>
      <c r="E4428" t="s">
        <v>5187</v>
      </c>
      <c r="F4428" t="s">
        <v>4402</v>
      </c>
      <c r="G4428" t="s">
        <v>4808</v>
      </c>
      <c r="H4428" t="s">
        <v>4931</v>
      </c>
      <c r="I4428" t="s">
        <v>4424</v>
      </c>
    </row>
    <row r="4430" spans="1:9" x14ac:dyDescent="0.25">
      <c r="A4430" t="s">
        <v>6110</v>
      </c>
    </row>
    <row r="4431" spans="1:9" x14ac:dyDescent="0.25">
      <c r="A4431" t="s">
        <v>907</v>
      </c>
      <c r="B4431" t="s">
        <v>4394</v>
      </c>
      <c r="C4431" t="s">
        <v>4732</v>
      </c>
      <c r="D4431" t="s">
        <v>5359</v>
      </c>
      <c r="E4431" t="s">
        <v>5392</v>
      </c>
      <c r="F4431" t="s">
        <v>5360</v>
      </c>
      <c r="G4431" t="s">
        <v>4737</v>
      </c>
      <c r="H4431" t="s">
        <v>5361</v>
      </c>
      <c r="I4431" t="s">
        <v>5362</v>
      </c>
    </row>
    <row r="4432" spans="1:9" x14ac:dyDescent="0.25">
      <c r="A4432" t="s">
        <v>109</v>
      </c>
      <c r="B4432">
        <v>257</v>
      </c>
      <c r="C4432" t="s">
        <v>4818</v>
      </c>
      <c r="D4432" t="s">
        <v>4693</v>
      </c>
      <c r="E4432" t="s">
        <v>4974</v>
      </c>
      <c r="F4432" t="s">
        <v>4422</v>
      </c>
      <c r="G4432" t="s">
        <v>4818</v>
      </c>
      <c r="H4432" t="s">
        <v>4931</v>
      </c>
      <c r="I4432" t="s">
        <v>4753</v>
      </c>
    </row>
    <row r="4433" spans="1:9" x14ac:dyDescent="0.25">
      <c r="A4433" t="s">
        <v>192</v>
      </c>
      <c r="B4433">
        <v>40</v>
      </c>
      <c r="C4433" t="s">
        <v>4406</v>
      </c>
      <c r="D4433" t="s">
        <v>4472</v>
      </c>
      <c r="E4433" t="s">
        <v>4793</v>
      </c>
      <c r="F4433" t="s">
        <v>4406</v>
      </c>
      <c r="G4433" t="s">
        <v>4406</v>
      </c>
      <c r="H4433" t="s">
        <v>4645</v>
      </c>
      <c r="I4433" t="s">
        <v>4645</v>
      </c>
    </row>
    <row r="4434" spans="1:9" x14ac:dyDescent="0.25">
      <c r="A4434" t="s">
        <v>1296</v>
      </c>
      <c r="B4434">
        <v>297</v>
      </c>
      <c r="C4434" t="s">
        <v>4808</v>
      </c>
      <c r="D4434" t="s">
        <v>4706</v>
      </c>
      <c r="E4434" t="s">
        <v>5187</v>
      </c>
      <c r="F4434" t="s">
        <v>4402</v>
      </c>
      <c r="G4434" t="s">
        <v>4808</v>
      </c>
      <c r="H4434" t="s">
        <v>4931</v>
      </c>
      <c r="I4434" t="s">
        <v>4424</v>
      </c>
    </row>
    <row r="4436" spans="1:9" x14ac:dyDescent="0.25">
      <c r="A4436" t="s">
        <v>6111</v>
      </c>
    </row>
    <row r="4437" spans="1:9" x14ac:dyDescent="0.25">
      <c r="A4437" t="s">
        <v>1295</v>
      </c>
      <c r="B4437" t="s">
        <v>4394</v>
      </c>
      <c r="C4437" t="s">
        <v>4732</v>
      </c>
      <c r="D4437" t="s">
        <v>5359</v>
      </c>
      <c r="E4437" t="s">
        <v>5392</v>
      </c>
      <c r="F4437" t="s">
        <v>5360</v>
      </c>
      <c r="G4437" t="s">
        <v>4737</v>
      </c>
      <c r="H4437" t="s">
        <v>5361</v>
      </c>
      <c r="I4437" t="s">
        <v>5362</v>
      </c>
    </row>
    <row r="4438" spans="1:9" x14ac:dyDescent="0.25">
      <c r="A4438" t="s">
        <v>4395</v>
      </c>
      <c r="B4438">
        <v>32</v>
      </c>
      <c r="C4438" t="s">
        <v>4406</v>
      </c>
      <c r="D4438" t="s">
        <v>4695</v>
      </c>
      <c r="E4438" t="s">
        <v>5401</v>
      </c>
      <c r="F4438" t="s">
        <v>4406</v>
      </c>
      <c r="G4438" t="s">
        <v>4406</v>
      </c>
      <c r="H4438" t="s">
        <v>4406</v>
      </c>
      <c r="I4438" t="s">
        <v>4695</v>
      </c>
    </row>
    <row r="4439" spans="1:9" x14ac:dyDescent="0.25">
      <c r="A4439" t="s">
        <v>4396</v>
      </c>
      <c r="B4439">
        <v>169</v>
      </c>
      <c r="C4439" t="s">
        <v>4406</v>
      </c>
      <c r="D4439" t="s">
        <v>4647</v>
      </c>
      <c r="E4439" t="s">
        <v>5312</v>
      </c>
      <c r="F4439" t="s">
        <v>4905</v>
      </c>
      <c r="G4439" t="s">
        <v>4413</v>
      </c>
      <c r="H4439" t="s">
        <v>5076</v>
      </c>
      <c r="I4439" t="s">
        <v>4422</v>
      </c>
    </row>
    <row r="4440" spans="1:9" x14ac:dyDescent="0.25">
      <c r="A4440" t="s">
        <v>4397</v>
      </c>
      <c r="B4440">
        <v>2</v>
      </c>
      <c r="C4440" t="s">
        <v>4406</v>
      </c>
      <c r="D4440" t="s">
        <v>4406</v>
      </c>
      <c r="E4440" t="s">
        <v>4454</v>
      </c>
      <c r="F4440" t="s">
        <v>4406</v>
      </c>
      <c r="G4440" t="s">
        <v>4406</v>
      </c>
      <c r="H4440" t="s">
        <v>4406</v>
      </c>
      <c r="I4440" t="s">
        <v>4406</v>
      </c>
    </row>
    <row r="4441" spans="1:9" x14ac:dyDescent="0.25">
      <c r="A4441" t="s">
        <v>4398</v>
      </c>
      <c r="B4441">
        <v>92</v>
      </c>
      <c r="C4441" t="s">
        <v>4825</v>
      </c>
      <c r="D4441" t="s">
        <v>4663</v>
      </c>
      <c r="E4441" t="s">
        <v>5396</v>
      </c>
      <c r="F4441" t="s">
        <v>4406</v>
      </c>
      <c r="G4441" t="s">
        <v>4406</v>
      </c>
      <c r="H4441" t="s">
        <v>4581</v>
      </c>
      <c r="I4441" t="s">
        <v>4667</v>
      </c>
    </row>
    <row r="4442" spans="1:9" x14ac:dyDescent="0.25">
      <c r="A4442" t="s">
        <v>4399</v>
      </c>
      <c r="B4442">
        <v>2</v>
      </c>
      <c r="C4442" t="s">
        <v>4406</v>
      </c>
      <c r="D4442" t="s">
        <v>4468</v>
      </c>
      <c r="E4442" t="s">
        <v>4468</v>
      </c>
      <c r="F4442" t="s">
        <v>4406</v>
      </c>
      <c r="G4442" t="s">
        <v>4406</v>
      </c>
      <c r="H4442" t="s">
        <v>4406</v>
      </c>
      <c r="I4442" t="s">
        <v>4406</v>
      </c>
    </row>
    <row r="4443" spans="1:9" x14ac:dyDescent="0.25">
      <c r="A4443" t="s">
        <v>1296</v>
      </c>
      <c r="B4443">
        <v>297</v>
      </c>
      <c r="C4443" t="s">
        <v>4808</v>
      </c>
      <c r="D4443" t="s">
        <v>4706</v>
      </c>
      <c r="E4443" t="s">
        <v>5187</v>
      </c>
      <c r="F4443" t="s">
        <v>4402</v>
      </c>
      <c r="G4443" t="s">
        <v>4808</v>
      </c>
      <c r="H4443" t="s">
        <v>4931</v>
      </c>
      <c r="I4443" t="s">
        <v>4424</v>
      </c>
    </row>
    <row r="4445" spans="1:9" x14ac:dyDescent="0.25">
      <c r="A4445" t="s">
        <v>6112</v>
      </c>
    </row>
    <row r="4446" spans="1:9" x14ac:dyDescent="0.25">
      <c r="A4446" t="s">
        <v>910</v>
      </c>
      <c r="B4446" t="s">
        <v>4394</v>
      </c>
      <c r="C4446" t="s">
        <v>4732</v>
      </c>
      <c r="D4446" t="s">
        <v>5359</v>
      </c>
      <c r="E4446" t="s">
        <v>5392</v>
      </c>
      <c r="F4446" t="s">
        <v>5360</v>
      </c>
      <c r="G4446" t="s">
        <v>4737</v>
      </c>
      <c r="H4446" t="s">
        <v>5361</v>
      </c>
      <c r="I4446" t="s">
        <v>5362</v>
      </c>
    </row>
    <row r="4447" spans="1:9" x14ac:dyDescent="0.25">
      <c r="A4447" t="s">
        <v>1371</v>
      </c>
      <c r="B4447">
        <v>42</v>
      </c>
      <c r="C4447" t="s">
        <v>4406</v>
      </c>
      <c r="D4447" t="s">
        <v>4703</v>
      </c>
      <c r="E4447" t="s">
        <v>4784</v>
      </c>
      <c r="F4447" t="s">
        <v>4424</v>
      </c>
      <c r="G4447" t="s">
        <v>4406</v>
      </c>
      <c r="H4447" t="s">
        <v>4749</v>
      </c>
      <c r="I4447" t="s">
        <v>4406</v>
      </c>
    </row>
    <row r="4448" spans="1:9" x14ac:dyDescent="0.25">
      <c r="A4448" t="s">
        <v>1452</v>
      </c>
      <c r="B4448">
        <v>18</v>
      </c>
      <c r="C4448" t="s">
        <v>4406</v>
      </c>
      <c r="D4448" t="s">
        <v>4676</v>
      </c>
      <c r="E4448" t="s">
        <v>5005</v>
      </c>
      <c r="F4448" t="s">
        <v>4406</v>
      </c>
      <c r="G4448" t="s">
        <v>4406</v>
      </c>
      <c r="H4448" t="s">
        <v>4406</v>
      </c>
      <c r="I4448" t="s">
        <v>4406</v>
      </c>
    </row>
    <row r="4449" spans="1:9" x14ac:dyDescent="0.25">
      <c r="A4449" t="s">
        <v>5560</v>
      </c>
      <c r="B4449">
        <v>59</v>
      </c>
      <c r="C4449" t="s">
        <v>4419</v>
      </c>
      <c r="D4449" t="s">
        <v>4925</v>
      </c>
      <c r="E4449" t="s">
        <v>4991</v>
      </c>
      <c r="F4449" t="s">
        <v>4419</v>
      </c>
      <c r="G4449" t="s">
        <v>4406</v>
      </c>
      <c r="H4449" t="s">
        <v>4627</v>
      </c>
      <c r="I4449" t="s">
        <v>4419</v>
      </c>
    </row>
    <row r="4450" spans="1:9" x14ac:dyDescent="0.25">
      <c r="A4450" t="s">
        <v>1424</v>
      </c>
      <c r="B4450">
        <v>120</v>
      </c>
      <c r="C4450" t="s">
        <v>4406</v>
      </c>
      <c r="D4450" t="s">
        <v>4824</v>
      </c>
      <c r="E4450" t="s">
        <v>5309</v>
      </c>
      <c r="F4450" t="s">
        <v>4406</v>
      </c>
      <c r="G4450" t="s">
        <v>4417</v>
      </c>
      <c r="H4450" t="s">
        <v>4419</v>
      </c>
      <c r="I4450" t="s">
        <v>4645</v>
      </c>
    </row>
    <row r="4451" spans="1:9" x14ac:dyDescent="0.25">
      <c r="A4451" t="s">
        <v>1340</v>
      </c>
      <c r="B4451">
        <v>31</v>
      </c>
      <c r="C4451" t="s">
        <v>4406</v>
      </c>
      <c r="D4451" t="s">
        <v>4713</v>
      </c>
      <c r="E4451" t="s">
        <v>5001</v>
      </c>
      <c r="F4451" t="s">
        <v>4713</v>
      </c>
      <c r="G4451" t="s">
        <v>4406</v>
      </c>
      <c r="H4451" t="s">
        <v>4713</v>
      </c>
      <c r="I4451" t="s">
        <v>4713</v>
      </c>
    </row>
    <row r="4452" spans="1:9" x14ac:dyDescent="0.25">
      <c r="A4452" t="s">
        <v>5561</v>
      </c>
      <c r="B4452">
        <v>8</v>
      </c>
      <c r="C4452" t="s">
        <v>4406</v>
      </c>
      <c r="D4452" t="s">
        <v>4479</v>
      </c>
      <c r="E4452" t="s">
        <v>4602</v>
      </c>
      <c r="F4452" t="s">
        <v>4406</v>
      </c>
      <c r="G4452" t="s">
        <v>4406</v>
      </c>
      <c r="H4452" t="s">
        <v>4406</v>
      </c>
      <c r="I4452" t="s">
        <v>4462</v>
      </c>
    </row>
    <row r="4453" spans="1:9" x14ac:dyDescent="0.25">
      <c r="A4453" t="s">
        <v>1416</v>
      </c>
      <c r="B4453">
        <v>19</v>
      </c>
      <c r="C4453" t="s">
        <v>4406</v>
      </c>
      <c r="D4453" t="s">
        <v>4640</v>
      </c>
      <c r="E4453" t="s">
        <v>4970</v>
      </c>
      <c r="F4453" t="s">
        <v>4406</v>
      </c>
      <c r="G4453" t="s">
        <v>4406</v>
      </c>
      <c r="H4453" t="s">
        <v>4406</v>
      </c>
      <c r="I4453" t="s">
        <v>4406</v>
      </c>
    </row>
    <row r="4454" spans="1:9" x14ac:dyDescent="0.25">
      <c r="A4454" t="s">
        <v>1296</v>
      </c>
      <c r="B4454">
        <v>297</v>
      </c>
      <c r="C4454" t="s">
        <v>4808</v>
      </c>
      <c r="D4454" t="s">
        <v>4706</v>
      </c>
      <c r="E4454" t="s">
        <v>5187</v>
      </c>
      <c r="F4454" t="s">
        <v>4402</v>
      </c>
      <c r="G4454" t="s">
        <v>4808</v>
      </c>
      <c r="H4454" t="s">
        <v>4931</v>
      </c>
      <c r="I4454" t="s">
        <v>4424</v>
      </c>
    </row>
    <row r="4456" spans="1:9" x14ac:dyDescent="0.25">
      <c r="A4456" t="s">
        <v>6113</v>
      </c>
    </row>
    <row r="4457" spans="1:9" x14ac:dyDescent="0.25">
      <c r="A4457" t="s">
        <v>5481</v>
      </c>
      <c r="B4457" t="s">
        <v>4394</v>
      </c>
      <c r="C4457" t="s">
        <v>4732</v>
      </c>
      <c r="D4457" t="s">
        <v>5359</v>
      </c>
      <c r="E4457" t="s">
        <v>5392</v>
      </c>
      <c r="F4457" t="s">
        <v>5360</v>
      </c>
      <c r="G4457" t="s">
        <v>4737</v>
      </c>
      <c r="H4457" t="s">
        <v>5361</v>
      </c>
      <c r="I4457" t="s">
        <v>5362</v>
      </c>
    </row>
    <row r="4458" spans="1:9" x14ac:dyDescent="0.25">
      <c r="A4458" t="s">
        <v>4438</v>
      </c>
      <c r="B4458">
        <v>129</v>
      </c>
      <c r="C4458" t="s">
        <v>4406</v>
      </c>
      <c r="D4458" t="s">
        <v>4653</v>
      </c>
      <c r="E4458" t="s">
        <v>5507</v>
      </c>
      <c r="F4458" t="s">
        <v>4417</v>
      </c>
      <c r="G4458" t="s">
        <v>4406</v>
      </c>
      <c r="H4458" t="s">
        <v>4753</v>
      </c>
      <c r="I4458" t="s">
        <v>4753</v>
      </c>
    </row>
    <row r="4459" spans="1:9" x14ac:dyDescent="0.25">
      <c r="A4459" t="s">
        <v>4439</v>
      </c>
      <c r="B4459">
        <v>93</v>
      </c>
      <c r="C4459" t="s">
        <v>4825</v>
      </c>
      <c r="D4459" t="s">
        <v>4650</v>
      </c>
      <c r="E4459" t="s">
        <v>4838</v>
      </c>
      <c r="F4459" t="s">
        <v>4406</v>
      </c>
      <c r="G4459" t="s">
        <v>4406</v>
      </c>
      <c r="H4459" t="s">
        <v>4581</v>
      </c>
      <c r="I4459" t="s">
        <v>4825</v>
      </c>
    </row>
    <row r="4460" spans="1:9" x14ac:dyDescent="0.25">
      <c r="A4460" t="s">
        <v>1400</v>
      </c>
      <c r="B4460">
        <v>5</v>
      </c>
      <c r="C4460" t="s">
        <v>4406</v>
      </c>
      <c r="D4460" t="s">
        <v>4406</v>
      </c>
      <c r="E4460" t="s">
        <v>4457</v>
      </c>
      <c r="F4460" t="s">
        <v>4472</v>
      </c>
      <c r="G4460" t="s">
        <v>4406</v>
      </c>
      <c r="H4460" t="s">
        <v>4472</v>
      </c>
      <c r="I4460" t="s">
        <v>4406</v>
      </c>
    </row>
    <row r="4461" spans="1:9" x14ac:dyDescent="0.25">
      <c r="A4461" t="s">
        <v>5566</v>
      </c>
      <c r="B4461">
        <v>36</v>
      </c>
      <c r="C4461" t="s">
        <v>4406</v>
      </c>
      <c r="D4461" t="s">
        <v>4571</v>
      </c>
      <c r="E4461" t="s">
        <v>4783</v>
      </c>
      <c r="F4461" t="s">
        <v>4649</v>
      </c>
      <c r="G4461" t="s">
        <v>4406</v>
      </c>
      <c r="H4461" t="s">
        <v>4649</v>
      </c>
      <c r="I4461" t="s">
        <v>4571</v>
      </c>
    </row>
    <row r="4462" spans="1:9" x14ac:dyDescent="0.25">
      <c r="A4462" t="s">
        <v>1372</v>
      </c>
      <c r="B4462">
        <v>34</v>
      </c>
      <c r="C4462" t="s">
        <v>4406</v>
      </c>
      <c r="D4462" t="s">
        <v>4483</v>
      </c>
      <c r="E4462" t="s">
        <v>4615</v>
      </c>
      <c r="F4462" t="s">
        <v>4406</v>
      </c>
      <c r="G4462" t="s">
        <v>4697</v>
      </c>
      <c r="H4462" t="s">
        <v>4697</v>
      </c>
      <c r="I4462" t="s">
        <v>4697</v>
      </c>
    </row>
    <row r="4463" spans="1:9" x14ac:dyDescent="0.25">
      <c r="A4463" t="s">
        <v>1296</v>
      </c>
      <c r="B4463">
        <v>297</v>
      </c>
      <c r="C4463" t="s">
        <v>4808</v>
      </c>
      <c r="D4463" t="s">
        <v>4706</v>
      </c>
      <c r="E4463" t="s">
        <v>5187</v>
      </c>
      <c r="F4463" t="s">
        <v>4402</v>
      </c>
      <c r="G4463" t="s">
        <v>4808</v>
      </c>
      <c r="H4463" t="s">
        <v>4931</v>
      </c>
      <c r="I4463" t="s">
        <v>4424</v>
      </c>
    </row>
    <row r="4465" spans="1:9" x14ac:dyDescent="0.25">
      <c r="A4465" t="s">
        <v>6114</v>
      </c>
    </row>
    <row r="4466" spans="1:9" x14ac:dyDescent="0.25">
      <c r="A4466" t="s">
        <v>5477</v>
      </c>
      <c r="B4466" t="s">
        <v>4394</v>
      </c>
      <c r="C4466" t="s">
        <v>4732</v>
      </c>
      <c r="D4466" t="s">
        <v>5359</v>
      </c>
      <c r="E4466" t="s">
        <v>5392</v>
      </c>
      <c r="F4466" t="s">
        <v>5360</v>
      </c>
      <c r="G4466" t="s">
        <v>4737</v>
      </c>
      <c r="H4466" t="s">
        <v>5361</v>
      </c>
      <c r="I4466" t="s">
        <v>5362</v>
      </c>
    </row>
    <row r="4467" spans="1:9" x14ac:dyDescent="0.25">
      <c r="A4467" t="s">
        <v>4438</v>
      </c>
      <c r="B4467">
        <v>95</v>
      </c>
      <c r="C4467" t="s">
        <v>4406</v>
      </c>
      <c r="D4467" t="s">
        <v>4584</v>
      </c>
      <c r="E4467" t="s">
        <v>5132</v>
      </c>
      <c r="F4467" t="s">
        <v>4825</v>
      </c>
      <c r="G4467" t="s">
        <v>4406</v>
      </c>
      <c r="H4467" t="s">
        <v>4673</v>
      </c>
      <c r="I4467" t="s">
        <v>4751</v>
      </c>
    </row>
    <row r="4468" spans="1:9" x14ac:dyDescent="0.25">
      <c r="A4468" t="s">
        <v>4439</v>
      </c>
      <c r="B4468">
        <v>128</v>
      </c>
      <c r="C4468" t="s">
        <v>4417</v>
      </c>
      <c r="D4468" t="s">
        <v>4479</v>
      </c>
      <c r="E4468" t="s">
        <v>4978</v>
      </c>
      <c r="F4468" t="s">
        <v>4406</v>
      </c>
      <c r="G4468" t="s">
        <v>4406</v>
      </c>
      <c r="H4468" t="s">
        <v>4753</v>
      </c>
      <c r="I4468" t="s">
        <v>4417</v>
      </c>
    </row>
    <row r="4469" spans="1:9" x14ac:dyDescent="0.25">
      <c r="A4469" t="s">
        <v>1400</v>
      </c>
      <c r="B4469">
        <v>7</v>
      </c>
      <c r="C4469" t="s">
        <v>4406</v>
      </c>
      <c r="D4469" t="s">
        <v>4406</v>
      </c>
      <c r="E4469" t="s">
        <v>4946</v>
      </c>
      <c r="F4469" t="s">
        <v>4522</v>
      </c>
      <c r="G4469" t="s">
        <v>4406</v>
      </c>
      <c r="H4469" t="s">
        <v>4406</v>
      </c>
      <c r="I4469" t="s">
        <v>4406</v>
      </c>
    </row>
    <row r="4470" spans="1:9" x14ac:dyDescent="0.25">
      <c r="A4470" t="s">
        <v>5566</v>
      </c>
      <c r="B4470">
        <v>36</v>
      </c>
      <c r="C4470" t="s">
        <v>4406</v>
      </c>
      <c r="D4470" t="s">
        <v>4571</v>
      </c>
      <c r="E4470" t="s">
        <v>4783</v>
      </c>
      <c r="F4470" t="s">
        <v>4649</v>
      </c>
      <c r="G4470" t="s">
        <v>4406</v>
      </c>
      <c r="H4470" t="s">
        <v>4649</v>
      </c>
      <c r="I4470" t="s">
        <v>4571</v>
      </c>
    </row>
    <row r="4471" spans="1:9" x14ac:dyDescent="0.25">
      <c r="A4471" t="s">
        <v>1426</v>
      </c>
      <c r="B4471">
        <v>1</v>
      </c>
      <c r="C4471" t="s">
        <v>4406</v>
      </c>
      <c r="D4471" t="s">
        <v>4406</v>
      </c>
      <c r="E4471" t="s">
        <v>4406</v>
      </c>
      <c r="F4471" t="s">
        <v>4406</v>
      </c>
      <c r="G4471" t="s">
        <v>4406</v>
      </c>
      <c r="H4471" t="s">
        <v>4454</v>
      </c>
      <c r="I4471" t="s">
        <v>4406</v>
      </c>
    </row>
    <row r="4472" spans="1:9" x14ac:dyDescent="0.25">
      <c r="A4472" t="s">
        <v>1372</v>
      </c>
      <c r="B4472">
        <v>30</v>
      </c>
      <c r="C4472" t="s">
        <v>4406</v>
      </c>
      <c r="D4472" t="s">
        <v>4646</v>
      </c>
      <c r="E4472" t="s">
        <v>4783</v>
      </c>
      <c r="F4472" t="s">
        <v>4406</v>
      </c>
      <c r="G4472" t="s">
        <v>4651</v>
      </c>
      <c r="H4472" t="s">
        <v>4651</v>
      </c>
      <c r="I4472" t="s">
        <v>4406</v>
      </c>
    </row>
    <row r="4473" spans="1:9" x14ac:dyDescent="0.25">
      <c r="A4473" t="s">
        <v>1296</v>
      </c>
      <c r="B4473">
        <v>297</v>
      </c>
      <c r="C4473" t="s">
        <v>4808</v>
      </c>
      <c r="D4473" t="s">
        <v>4706</v>
      </c>
      <c r="E4473" t="s">
        <v>5187</v>
      </c>
      <c r="F4473" t="s">
        <v>4402</v>
      </c>
      <c r="G4473" t="s">
        <v>4808</v>
      </c>
      <c r="H4473" t="s">
        <v>4931</v>
      </c>
      <c r="I4473" t="s">
        <v>4424</v>
      </c>
    </row>
    <row r="4475" spans="1:9" x14ac:dyDescent="0.25">
      <c r="A4475" t="s">
        <v>6115</v>
      </c>
    </row>
    <row r="4476" spans="1:9" x14ac:dyDescent="0.25">
      <c r="A4476" t="s">
        <v>911</v>
      </c>
      <c r="B4476" t="s">
        <v>4394</v>
      </c>
      <c r="C4476" t="s">
        <v>4732</v>
      </c>
      <c r="D4476" t="s">
        <v>5359</v>
      </c>
      <c r="E4476" t="s">
        <v>5392</v>
      </c>
      <c r="F4476" t="s">
        <v>5360</v>
      </c>
      <c r="G4476" t="s">
        <v>4737</v>
      </c>
      <c r="H4476" t="s">
        <v>5361</v>
      </c>
      <c r="I4476" t="s">
        <v>5362</v>
      </c>
    </row>
    <row r="4477" spans="1:9" x14ac:dyDescent="0.25">
      <c r="A4477" t="s">
        <v>4438</v>
      </c>
      <c r="B4477">
        <v>122</v>
      </c>
      <c r="C4477" t="s">
        <v>4406</v>
      </c>
      <c r="D4477" t="s">
        <v>4573</v>
      </c>
      <c r="E4477" t="s">
        <v>5397</v>
      </c>
      <c r="F4477" t="s">
        <v>4417</v>
      </c>
      <c r="G4477" t="s">
        <v>4406</v>
      </c>
      <c r="H4477" t="s">
        <v>4651</v>
      </c>
      <c r="I4477" t="s">
        <v>4635</v>
      </c>
    </row>
    <row r="4478" spans="1:9" x14ac:dyDescent="0.25">
      <c r="A4478" t="s">
        <v>4439</v>
      </c>
      <c r="B4478">
        <v>79</v>
      </c>
      <c r="C4478" t="s">
        <v>4406</v>
      </c>
      <c r="D4478" t="s">
        <v>4940</v>
      </c>
      <c r="E4478" t="s">
        <v>5096</v>
      </c>
      <c r="F4478" t="s">
        <v>4406</v>
      </c>
      <c r="G4478" t="s">
        <v>4406</v>
      </c>
      <c r="H4478" t="s">
        <v>4406</v>
      </c>
      <c r="I4478" t="s">
        <v>4659</v>
      </c>
    </row>
    <row r="4479" spans="1:9" x14ac:dyDescent="0.25">
      <c r="A4479" t="s">
        <v>1400</v>
      </c>
      <c r="B4479">
        <v>19</v>
      </c>
      <c r="C4479" t="s">
        <v>4640</v>
      </c>
      <c r="D4479" t="s">
        <v>4406</v>
      </c>
      <c r="E4479" t="s">
        <v>4973</v>
      </c>
      <c r="F4479" t="s">
        <v>4640</v>
      </c>
      <c r="G4479" t="s">
        <v>4406</v>
      </c>
      <c r="H4479" t="s">
        <v>4600</v>
      </c>
      <c r="I4479" t="s">
        <v>4406</v>
      </c>
    </row>
    <row r="4480" spans="1:9" x14ac:dyDescent="0.25">
      <c r="A4480" t="s">
        <v>1340</v>
      </c>
      <c r="B4480">
        <v>31</v>
      </c>
      <c r="C4480" t="s">
        <v>4406</v>
      </c>
      <c r="D4480" t="s">
        <v>4713</v>
      </c>
      <c r="E4480" t="s">
        <v>5001</v>
      </c>
      <c r="F4480" t="s">
        <v>4713</v>
      </c>
      <c r="G4480" t="s">
        <v>4406</v>
      </c>
      <c r="H4480" t="s">
        <v>4713</v>
      </c>
      <c r="I4480" t="s">
        <v>4713</v>
      </c>
    </row>
    <row r="4481" spans="1:9" x14ac:dyDescent="0.25">
      <c r="A4481" t="s">
        <v>1426</v>
      </c>
      <c r="B4481">
        <v>8</v>
      </c>
      <c r="C4481" t="s">
        <v>4406</v>
      </c>
      <c r="D4481" t="s">
        <v>4462</v>
      </c>
      <c r="E4481" t="s">
        <v>4468</v>
      </c>
      <c r="F4481" t="s">
        <v>4406</v>
      </c>
      <c r="G4481" t="s">
        <v>4406</v>
      </c>
      <c r="H4481" t="s">
        <v>4406</v>
      </c>
      <c r="I4481" t="s">
        <v>4462</v>
      </c>
    </row>
    <row r="4482" spans="1:9" x14ac:dyDescent="0.25">
      <c r="A4482" t="s">
        <v>1372</v>
      </c>
      <c r="B4482">
        <v>38</v>
      </c>
      <c r="C4482" t="s">
        <v>4406</v>
      </c>
      <c r="D4482" t="s">
        <v>4527</v>
      </c>
      <c r="E4482" t="s">
        <v>4407</v>
      </c>
      <c r="F4482" t="s">
        <v>4406</v>
      </c>
      <c r="G4482" t="s">
        <v>4864</v>
      </c>
      <c r="H4482" t="s">
        <v>4864</v>
      </c>
      <c r="I4482" t="s">
        <v>4864</v>
      </c>
    </row>
    <row r="4483" spans="1:9" x14ac:dyDescent="0.25">
      <c r="A4483" t="s">
        <v>1296</v>
      </c>
      <c r="B4483">
        <v>297</v>
      </c>
      <c r="C4483" t="s">
        <v>4808</v>
      </c>
      <c r="D4483" t="s">
        <v>4706</v>
      </c>
      <c r="E4483" t="s">
        <v>5187</v>
      </c>
      <c r="F4483" t="s">
        <v>4402</v>
      </c>
      <c r="G4483" t="s">
        <v>4808</v>
      </c>
      <c r="H4483" t="s">
        <v>4931</v>
      </c>
      <c r="I4483" t="s">
        <v>4424</v>
      </c>
    </row>
    <row r="4485" spans="1:9" x14ac:dyDescent="0.25">
      <c r="A4485" t="s">
        <v>6116</v>
      </c>
    </row>
    <row r="4486" spans="1:9" x14ac:dyDescent="0.25">
      <c r="A4486" t="s">
        <v>912</v>
      </c>
      <c r="B4486" t="s">
        <v>4394</v>
      </c>
      <c r="C4486" t="s">
        <v>4732</v>
      </c>
      <c r="D4486" t="s">
        <v>5359</v>
      </c>
      <c r="E4486" t="s">
        <v>5392</v>
      </c>
      <c r="F4486" t="s">
        <v>5360</v>
      </c>
      <c r="G4486" t="s">
        <v>4737</v>
      </c>
      <c r="H4486" t="s">
        <v>5361</v>
      </c>
      <c r="I4486" t="s">
        <v>5362</v>
      </c>
    </row>
    <row r="4487" spans="1:9" x14ac:dyDescent="0.25">
      <c r="A4487" t="s">
        <v>4438</v>
      </c>
      <c r="B4487">
        <v>80</v>
      </c>
      <c r="C4487" t="s">
        <v>4406</v>
      </c>
      <c r="D4487" t="s">
        <v>4470</v>
      </c>
      <c r="E4487" t="s">
        <v>5274</v>
      </c>
      <c r="F4487" t="s">
        <v>4659</v>
      </c>
      <c r="G4487" t="s">
        <v>4406</v>
      </c>
      <c r="H4487" t="s">
        <v>4659</v>
      </c>
      <c r="I4487" t="s">
        <v>4406</v>
      </c>
    </row>
    <row r="4488" spans="1:9" x14ac:dyDescent="0.25">
      <c r="A4488" t="s">
        <v>4439</v>
      </c>
      <c r="B4488">
        <v>106</v>
      </c>
      <c r="C4488" t="s">
        <v>4406</v>
      </c>
      <c r="D4488" t="s">
        <v>4657</v>
      </c>
      <c r="E4488" t="s">
        <v>5041</v>
      </c>
      <c r="F4488" t="s">
        <v>4406</v>
      </c>
      <c r="G4488" t="s">
        <v>4406</v>
      </c>
      <c r="H4488" t="s">
        <v>4952</v>
      </c>
      <c r="I4488" t="s">
        <v>4649</v>
      </c>
    </row>
    <row r="4489" spans="1:9" x14ac:dyDescent="0.25">
      <c r="A4489" t="s">
        <v>1400</v>
      </c>
      <c r="B4489">
        <v>30</v>
      </c>
      <c r="C4489" t="s">
        <v>4651</v>
      </c>
      <c r="D4489" t="s">
        <v>4607</v>
      </c>
      <c r="E4489" t="s">
        <v>4834</v>
      </c>
      <c r="F4489" t="s">
        <v>4406</v>
      </c>
      <c r="G4489" t="s">
        <v>4406</v>
      </c>
      <c r="H4489" t="s">
        <v>4651</v>
      </c>
      <c r="I4489" t="s">
        <v>4406</v>
      </c>
    </row>
    <row r="4490" spans="1:9" x14ac:dyDescent="0.25">
      <c r="A4490" t="s">
        <v>1340</v>
      </c>
      <c r="B4490">
        <v>31</v>
      </c>
      <c r="C4490" t="s">
        <v>4406</v>
      </c>
      <c r="D4490" t="s">
        <v>4713</v>
      </c>
      <c r="E4490" t="s">
        <v>5001</v>
      </c>
      <c r="F4490" t="s">
        <v>4713</v>
      </c>
      <c r="G4490" t="s">
        <v>4406</v>
      </c>
      <c r="H4490" t="s">
        <v>4713</v>
      </c>
      <c r="I4490" t="s">
        <v>4713</v>
      </c>
    </row>
    <row r="4491" spans="1:9" x14ac:dyDescent="0.25">
      <c r="A4491" t="s">
        <v>1426</v>
      </c>
      <c r="B4491">
        <v>15</v>
      </c>
      <c r="C4491" t="s">
        <v>4406</v>
      </c>
      <c r="D4491" t="s">
        <v>4416</v>
      </c>
      <c r="E4491" t="s">
        <v>4469</v>
      </c>
      <c r="F4491" t="s">
        <v>4416</v>
      </c>
      <c r="G4491" t="s">
        <v>4406</v>
      </c>
      <c r="H4491" t="s">
        <v>4416</v>
      </c>
      <c r="I4491" t="s">
        <v>4607</v>
      </c>
    </row>
    <row r="4492" spans="1:9" x14ac:dyDescent="0.25">
      <c r="A4492" t="s">
        <v>1372</v>
      </c>
      <c r="B4492">
        <v>35</v>
      </c>
      <c r="C4492" t="s">
        <v>4406</v>
      </c>
      <c r="D4492" t="s">
        <v>4637</v>
      </c>
      <c r="E4492" t="s">
        <v>5311</v>
      </c>
      <c r="F4492" t="s">
        <v>4406</v>
      </c>
      <c r="G4492" t="s">
        <v>4697</v>
      </c>
      <c r="H4492" t="s">
        <v>4654</v>
      </c>
      <c r="I4492" t="s">
        <v>4697</v>
      </c>
    </row>
    <row r="4493" spans="1:9" x14ac:dyDescent="0.25">
      <c r="A4493" t="s">
        <v>1296</v>
      </c>
      <c r="B4493">
        <v>297</v>
      </c>
      <c r="C4493" t="s">
        <v>4808</v>
      </c>
      <c r="D4493" t="s">
        <v>4706</v>
      </c>
      <c r="E4493" t="s">
        <v>5187</v>
      </c>
      <c r="F4493" t="s">
        <v>4402</v>
      </c>
      <c r="G4493" t="s">
        <v>4808</v>
      </c>
      <c r="H4493" t="s">
        <v>4931</v>
      </c>
      <c r="I4493" t="s">
        <v>4424</v>
      </c>
    </row>
    <row r="4495" spans="1:9" x14ac:dyDescent="0.25">
      <c r="A4495" t="s">
        <v>6117</v>
      </c>
    </row>
    <row r="4496" spans="1:9" x14ac:dyDescent="0.25">
      <c r="A4496" t="s">
        <v>920</v>
      </c>
      <c r="B4496" t="s">
        <v>4394</v>
      </c>
      <c r="C4496" t="s">
        <v>4732</v>
      </c>
      <c r="D4496" t="s">
        <v>5359</v>
      </c>
      <c r="E4496" t="s">
        <v>5392</v>
      </c>
      <c r="F4496" t="s">
        <v>5360</v>
      </c>
      <c r="G4496" t="s">
        <v>4737</v>
      </c>
      <c r="H4496" t="s">
        <v>5361</v>
      </c>
      <c r="I4496" t="s">
        <v>5362</v>
      </c>
    </row>
    <row r="4497" spans="1:9" x14ac:dyDescent="0.25">
      <c r="A4497" t="s">
        <v>1343</v>
      </c>
      <c r="B4497">
        <v>170</v>
      </c>
      <c r="C4497" t="s">
        <v>4413</v>
      </c>
      <c r="D4497" t="s">
        <v>4646</v>
      </c>
      <c r="E4497" t="s">
        <v>5010</v>
      </c>
      <c r="F4497" t="s">
        <v>4406</v>
      </c>
      <c r="G4497" t="s">
        <v>4413</v>
      </c>
      <c r="H4497" t="s">
        <v>4757</v>
      </c>
      <c r="I4497" t="s">
        <v>4424</v>
      </c>
    </row>
    <row r="4498" spans="1:9" x14ac:dyDescent="0.25">
      <c r="A4498" t="s">
        <v>1345</v>
      </c>
      <c r="B4498">
        <v>75</v>
      </c>
      <c r="C4498" t="s">
        <v>4406</v>
      </c>
      <c r="D4498" t="s">
        <v>5127</v>
      </c>
      <c r="E4498" t="s">
        <v>4806</v>
      </c>
      <c r="F4498" t="s">
        <v>4931</v>
      </c>
      <c r="G4498" t="s">
        <v>4406</v>
      </c>
      <c r="H4498" t="s">
        <v>4659</v>
      </c>
      <c r="I4498" t="s">
        <v>4660</v>
      </c>
    </row>
    <row r="4499" spans="1:9" x14ac:dyDescent="0.25">
      <c r="A4499" t="s">
        <v>1466</v>
      </c>
      <c r="B4499">
        <v>50</v>
      </c>
      <c r="C4499" t="s">
        <v>4406</v>
      </c>
      <c r="D4499" t="s">
        <v>4646</v>
      </c>
      <c r="E4499" t="s">
        <v>4996</v>
      </c>
      <c r="F4499" t="s">
        <v>4744</v>
      </c>
      <c r="G4499" t="s">
        <v>4406</v>
      </c>
      <c r="H4499" t="s">
        <v>4744</v>
      </c>
      <c r="I4499" t="s">
        <v>4406</v>
      </c>
    </row>
    <row r="4500" spans="1:9" x14ac:dyDescent="0.25">
      <c r="A4500" t="s">
        <v>5554</v>
      </c>
      <c r="B4500">
        <v>2</v>
      </c>
      <c r="C4500" t="s">
        <v>4406</v>
      </c>
      <c r="D4500" t="s">
        <v>4406</v>
      </c>
      <c r="E4500" t="s">
        <v>4454</v>
      </c>
      <c r="F4500" t="s">
        <v>4406</v>
      </c>
      <c r="G4500" t="s">
        <v>4406</v>
      </c>
      <c r="H4500" t="s">
        <v>4406</v>
      </c>
      <c r="I4500" t="s">
        <v>4406</v>
      </c>
    </row>
    <row r="4501" spans="1:9" x14ac:dyDescent="0.25">
      <c r="A4501" t="s">
        <v>1296</v>
      </c>
      <c r="B4501">
        <v>297</v>
      </c>
      <c r="C4501" t="s">
        <v>4808</v>
      </c>
      <c r="D4501" t="s">
        <v>4706</v>
      </c>
      <c r="E4501" t="s">
        <v>5187</v>
      </c>
      <c r="F4501" t="s">
        <v>4402</v>
      </c>
      <c r="G4501" t="s">
        <v>4808</v>
      </c>
      <c r="H4501" t="s">
        <v>4931</v>
      </c>
      <c r="I4501" t="s">
        <v>4424</v>
      </c>
    </row>
    <row r="4503" spans="1:9" x14ac:dyDescent="0.25">
      <c r="A4503" t="s">
        <v>6118</v>
      </c>
    </row>
    <row r="4504" spans="1:9" x14ac:dyDescent="0.25">
      <c r="A4504" t="s">
        <v>924</v>
      </c>
      <c r="B4504" t="s">
        <v>4394</v>
      </c>
      <c r="C4504" t="s">
        <v>4732</v>
      </c>
      <c r="D4504" t="s">
        <v>5359</v>
      </c>
      <c r="E4504" t="s">
        <v>5392</v>
      </c>
      <c r="F4504" t="s">
        <v>5360</v>
      </c>
      <c r="G4504" t="s">
        <v>4737</v>
      </c>
      <c r="H4504" t="s">
        <v>5361</v>
      </c>
      <c r="I4504" t="s">
        <v>5362</v>
      </c>
    </row>
    <row r="4505" spans="1:9" x14ac:dyDescent="0.25">
      <c r="A4505" t="s">
        <v>1345</v>
      </c>
      <c r="B4505">
        <v>69</v>
      </c>
      <c r="C4505" t="s">
        <v>4406</v>
      </c>
      <c r="D4505" t="s">
        <v>4663</v>
      </c>
      <c r="E4505" t="s">
        <v>4986</v>
      </c>
      <c r="F4505" t="s">
        <v>4406</v>
      </c>
      <c r="G4505" t="s">
        <v>4750</v>
      </c>
      <c r="H4505" t="s">
        <v>4697</v>
      </c>
      <c r="I4505" t="s">
        <v>4667</v>
      </c>
    </row>
    <row r="4506" spans="1:9" x14ac:dyDescent="0.25">
      <c r="A4506" t="s">
        <v>1441</v>
      </c>
      <c r="B4506">
        <v>123</v>
      </c>
      <c r="C4506" t="s">
        <v>4406</v>
      </c>
      <c r="D4506" t="s">
        <v>5116</v>
      </c>
      <c r="E4506" t="s">
        <v>5398</v>
      </c>
      <c r="F4506" t="s">
        <v>4635</v>
      </c>
      <c r="G4506" t="s">
        <v>4406</v>
      </c>
      <c r="H4506" t="s">
        <v>4424</v>
      </c>
      <c r="I4506" t="s">
        <v>4651</v>
      </c>
    </row>
    <row r="4507" spans="1:9" x14ac:dyDescent="0.25">
      <c r="A4507" t="s">
        <v>1461</v>
      </c>
      <c r="B4507">
        <v>95</v>
      </c>
      <c r="C4507" t="s">
        <v>4825</v>
      </c>
      <c r="D4507" t="s">
        <v>4849</v>
      </c>
      <c r="E4507" t="s">
        <v>5399</v>
      </c>
      <c r="F4507" t="s">
        <v>4825</v>
      </c>
      <c r="G4507" t="s">
        <v>4406</v>
      </c>
      <c r="H4507" t="s">
        <v>4713</v>
      </c>
      <c r="I4507" t="s">
        <v>4406</v>
      </c>
    </row>
    <row r="4508" spans="1:9" x14ac:dyDescent="0.25">
      <c r="A4508" t="s">
        <v>5554</v>
      </c>
      <c r="B4508">
        <v>10</v>
      </c>
      <c r="C4508" t="s">
        <v>4406</v>
      </c>
      <c r="D4508" t="s">
        <v>4406</v>
      </c>
      <c r="E4508" t="s">
        <v>4454</v>
      </c>
      <c r="F4508" t="s">
        <v>4406</v>
      </c>
      <c r="G4508" t="s">
        <v>4406</v>
      </c>
      <c r="H4508" t="s">
        <v>4406</v>
      </c>
      <c r="I4508" t="s">
        <v>4406</v>
      </c>
    </row>
    <row r="4509" spans="1:9" x14ac:dyDescent="0.25">
      <c r="A4509" t="s">
        <v>1296</v>
      </c>
      <c r="B4509">
        <v>297</v>
      </c>
      <c r="C4509" t="s">
        <v>4808</v>
      </c>
      <c r="D4509" t="s">
        <v>4706</v>
      </c>
      <c r="E4509" t="s">
        <v>5187</v>
      </c>
      <c r="F4509" t="s">
        <v>4402</v>
      </c>
      <c r="G4509" t="s">
        <v>4808</v>
      </c>
      <c r="H4509" t="s">
        <v>4931</v>
      </c>
      <c r="I4509" t="s">
        <v>4424</v>
      </c>
    </row>
    <row r="4511" spans="1:9" x14ac:dyDescent="0.25">
      <c r="A4511" t="s">
        <v>6119</v>
      </c>
    </row>
    <row r="4512" spans="1:9" x14ac:dyDescent="0.25">
      <c r="A4512" t="s">
        <v>903</v>
      </c>
      <c r="B4512" t="s">
        <v>4394</v>
      </c>
      <c r="C4512" t="s">
        <v>4732</v>
      </c>
      <c r="D4512" t="s">
        <v>5359</v>
      </c>
      <c r="E4512" t="s">
        <v>5392</v>
      </c>
      <c r="F4512" t="s">
        <v>5360</v>
      </c>
      <c r="G4512" t="s">
        <v>4737</v>
      </c>
      <c r="H4512" t="s">
        <v>5361</v>
      </c>
      <c r="I4512" t="s">
        <v>5362</v>
      </c>
    </row>
    <row r="4513" spans="1:9" x14ac:dyDescent="0.25">
      <c r="A4513" t="s">
        <v>70</v>
      </c>
      <c r="B4513">
        <v>85</v>
      </c>
      <c r="C4513" t="s">
        <v>4406</v>
      </c>
      <c r="D4513" t="s">
        <v>4854</v>
      </c>
      <c r="E4513" t="s">
        <v>5002</v>
      </c>
      <c r="F4513" t="s">
        <v>4406</v>
      </c>
      <c r="G4513" t="s">
        <v>4406</v>
      </c>
      <c r="H4513" t="s">
        <v>4656</v>
      </c>
      <c r="I4513" t="s">
        <v>4424</v>
      </c>
    </row>
    <row r="4514" spans="1:9" x14ac:dyDescent="0.25">
      <c r="A4514" t="s">
        <v>71</v>
      </c>
      <c r="B4514">
        <v>212</v>
      </c>
      <c r="C4514" t="s">
        <v>4404</v>
      </c>
      <c r="D4514" t="s">
        <v>4772</v>
      </c>
      <c r="E4514" t="s">
        <v>4966</v>
      </c>
      <c r="F4514" t="s">
        <v>4750</v>
      </c>
      <c r="G4514" t="s">
        <v>4404</v>
      </c>
      <c r="H4514" t="s">
        <v>4952</v>
      </c>
      <c r="I4514" t="s">
        <v>4424</v>
      </c>
    </row>
    <row r="4515" spans="1:9" x14ac:dyDescent="0.25">
      <c r="A4515" t="s">
        <v>1296</v>
      </c>
      <c r="B4515">
        <v>297</v>
      </c>
      <c r="C4515" t="s">
        <v>4808</v>
      </c>
      <c r="D4515" t="s">
        <v>4706</v>
      </c>
      <c r="E4515" t="s">
        <v>5187</v>
      </c>
      <c r="F4515" t="s">
        <v>4402</v>
      </c>
      <c r="G4515" t="s">
        <v>4808</v>
      </c>
      <c r="H4515" t="s">
        <v>4931</v>
      </c>
      <c r="I4515" t="s">
        <v>4424</v>
      </c>
    </row>
    <row r="4517" spans="1:9" x14ac:dyDescent="0.25">
      <c r="A4517" t="s">
        <v>6120</v>
      </c>
    </row>
    <row r="4518" spans="1:9" x14ac:dyDescent="0.25">
      <c r="A4518" t="s">
        <v>1297</v>
      </c>
      <c r="B4518" t="s">
        <v>4394</v>
      </c>
      <c r="C4518" t="s">
        <v>4732</v>
      </c>
      <c r="D4518" t="s">
        <v>5359</v>
      </c>
      <c r="E4518" t="s">
        <v>5392</v>
      </c>
      <c r="F4518" t="s">
        <v>5360</v>
      </c>
      <c r="G4518" t="s">
        <v>4737</v>
      </c>
      <c r="H4518" t="s">
        <v>5361</v>
      </c>
      <c r="I4518" t="s">
        <v>5362</v>
      </c>
    </row>
    <row r="4519" spans="1:9" x14ac:dyDescent="0.25">
      <c r="A4519" t="s">
        <v>5549</v>
      </c>
      <c r="B4519">
        <v>198</v>
      </c>
      <c r="C4519" t="s">
        <v>4404</v>
      </c>
      <c r="D4519" t="s">
        <v>4567</v>
      </c>
      <c r="E4519" t="s">
        <v>4740</v>
      </c>
      <c r="F4519" t="s">
        <v>4744</v>
      </c>
      <c r="G4519" t="s">
        <v>4404</v>
      </c>
      <c r="H4519" t="s">
        <v>4552</v>
      </c>
      <c r="I4519" t="s">
        <v>5053</v>
      </c>
    </row>
    <row r="4520" spans="1:9" x14ac:dyDescent="0.25">
      <c r="A4520" t="s">
        <v>1397</v>
      </c>
      <c r="B4520">
        <v>99</v>
      </c>
      <c r="C4520" t="s">
        <v>4406</v>
      </c>
      <c r="D4520" t="s">
        <v>4492</v>
      </c>
      <c r="E4520" t="s">
        <v>4625</v>
      </c>
      <c r="F4520" t="s">
        <v>4402</v>
      </c>
      <c r="G4520" t="s">
        <v>4406</v>
      </c>
      <c r="H4520" t="s">
        <v>4598</v>
      </c>
      <c r="I4520" t="s">
        <v>5118</v>
      </c>
    </row>
    <row r="4521" spans="1:9" x14ac:dyDescent="0.25">
      <c r="A4521" t="s">
        <v>1296</v>
      </c>
      <c r="B4521">
        <v>297</v>
      </c>
      <c r="C4521" t="s">
        <v>4808</v>
      </c>
      <c r="D4521" t="s">
        <v>4745</v>
      </c>
      <c r="E4521" t="s">
        <v>4598</v>
      </c>
      <c r="F4521" t="s">
        <v>4419</v>
      </c>
      <c r="G4521" t="s">
        <v>4808</v>
      </c>
      <c r="H4521" t="s">
        <v>4494</v>
      </c>
      <c r="I4521" t="s">
        <v>4504</v>
      </c>
    </row>
    <row r="4523" spans="1:9" x14ac:dyDescent="0.25">
      <c r="A4523" t="s">
        <v>6121</v>
      </c>
    </row>
    <row r="4524" spans="1:9" x14ac:dyDescent="0.25">
      <c r="A4524" t="s">
        <v>905</v>
      </c>
      <c r="B4524" t="s">
        <v>4394</v>
      </c>
      <c r="C4524" t="s">
        <v>4732</v>
      </c>
      <c r="D4524" t="s">
        <v>5359</v>
      </c>
      <c r="E4524" t="s">
        <v>5392</v>
      </c>
      <c r="F4524" t="s">
        <v>5360</v>
      </c>
      <c r="G4524" t="s">
        <v>4737</v>
      </c>
      <c r="H4524" t="s">
        <v>5361</v>
      </c>
      <c r="I4524" t="s">
        <v>5362</v>
      </c>
    </row>
    <row r="4525" spans="1:9" x14ac:dyDescent="0.25">
      <c r="A4525" t="s">
        <v>4844</v>
      </c>
      <c r="B4525">
        <v>36</v>
      </c>
      <c r="C4525" t="s">
        <v>4649</v>
      </c>
      <c r="D4525" t="s">
        <v>4702</v>
      </c>
      <c r="E4525" t="s">
        <v>4482</v>
      </c>
      <c r="F4525" t="s">
        <v>4406</v>
      </c>
      <c r="G4525" t="s">
        <v>4649</v>
      </c>
      <c r="H4525" t="s">
        <v>4676</v>
      </c>
      <c r="I4525" t="s">
        <v>4859</v>
      </c>
    </row>
    <row r="4526" spans="1:9" x14ac:dyDescent="0.25">
      <c r="A4526" t="s">
        <v>4845</v>
      </c>
      <c r="B4526">
        <v>230</v>
      </c>
      <c r="C4526" t="s">
        <v>4406</v>
      </c>
      <c r="D4526" t="s">
        <v>5257</v>
      </c>
      <c r="E4526" t="s">
        <v>4553</v>
      </c>
      <c r="F4526" t="s">
        <v>4581</v>
      </c>
      <c r="G4526" t="s">
        <v>4406</v>
      </c>
      <c r="H4526" t="s">
        <v>4999</v>
      </c>
      <c r="I4526" t="s">
        <v>4926</v>
      </c>
    </row>
    <row r="4527" spans="1:9" x14ac:dyDescent="0.25">
      <c r="A4527" t="s">
        <v>4846</v>
      </c>
      <c r="B4527">
        <v>31</v>
      </c>
      <c r="C4527" t="s">
        <v>4406</v>
      </c>
      <c r="D4527" t="s">
        <v>4561</v>
      </c>
      <c r="E4527" t="s">
        <v>4564</v>
      </c>
      <c r="F4527" t="s">
        <v>4406</v>
      </c>
      <c r="G4527" t="s">
        <v>4406</v>
      </c>
      <c r="H4527" t="s">
        <v>4578</v>
      </c>
      <c r="I4527" t="s">
        <v>5111</v>
      </c>
    </row>
    <row r="4528" spans="1:9" x14ac:dyDescent="0.25">
      <c r="A4528" t="s">
        <v>1296</v>
      </c>
      <c r="B4528">
        <v>297</v>
      </c>
      <c r="C4528" t="s">
        <v>4808</v>
      </c>
      <c r="D4528" t="s">
        <v>4745</v>
      </c>
      <c r="E4528" t="s">
        <v>4598</v>
      </c>
      <c r="F4528" t="s">
        <v>4419</v>
      </c>
      <c r="G4528" t="s">
        <v>4808</v>
      </c>
      <c r="H4528" t="s">
        <v>4494</v>
      </c>
      <c r="I4528" t="s">
        <v>4504</v>
      </c>
    </row>
    <row r="4530" spans="1:9" x14ac:dyDescent="0.25">
      <c r="A4530" t="s">
        <v>6122</v>
      </c>
    </row>
    <row r="4531" spans="1:9" x14ac:dyDescent="0.25">
      <c r="A4531" t="s">
        <v>906</v>
      </c>
      <c r="B4531" t="s">
        <v>4394</v>
      </c>
      <c r="C4531" t="s">
        <v>4732</v>
      </c>
      <c r="D4531" t="s">
        <v>5359</v>
      </c>
      <c r="E4531" t="s">
        <v>5392</v>
      </c>
      <c r="F4531" t="s">
        <v>5360</v>
      </c>
      <c r="G4531" t="s">
        <v>4737</v>
      </c>
      <c r="H4531" t="s">
        <v>5361</v>
      </c>
      <c r="I4531" t="s">
        <v>5362</v>
      </c>
    </row>
    <row r="4532" spans="1:9" x14ac:dyDescent="0.25">
      <c r="A4532" t="s">
        <v>1338</v>
      </c>
      <c r="B4532">
        <v>46</v>
      </c>
      <c r="C4532" t="s">
        <v>4406</v>
      </c>
      <c r="D4532" t="s">
        <v>5175</v>
      </c>
      <c r="E4532" t="s">
        <v>4682</v>
      </c>
      <c r="F4532" t="s">
        <v>4406</v>
      </c>
      <c r="G4532" t="s">
        <v>4581</v>
      </c>
      <c r="H4532" t="s">
        <v>4684</v>
      </c>
      <c r="I4532" t="s">
        <v>4926</v>
      </c>
    </row>
    <row r="4533" spans="1:9" x14ac:dyDescent="0.25">
      <c r="A4533" t="s">
        <v>1370</v>
      </c>
      <c r="B4533">
        <v>33</v>
      </c>
      <c r="C4533" t="s">
        <v>4406</v>
      </c>
      <c r="D4533" t="s">
        <v>4465</v>
      </c>
      <c r="E4533" t="s">
        <v>4405</v>
      </c>
      <c r="F4533" t="s">
        <v>4406</v>
      </c>
      <c r="G4533" t="s">
        <v>4406</v>
      </c>
      <c r="H4533" t="s">
        <v>4451</v>
      </c>
      <c r="I4533" t="s">
        <v>4451</v>
      </c>
    </row>
    <row r="4534" spans="1:9" x14ac:dyDescent="0.25">
      <c r="A4534" t="s">
        <v>1439</v>
      </c>
      <c r="B4534">
        <v>21</v>
      </c>
      <c r="C4534" t="s">
        <v>4406</v>
      </c>
      <c r="D4534" t="s">
        <v>4865</v>
      </c>
      <c r="E4534" t="s">
        <v>4522</v>
      </c>
      <c r="F4534" t="s">
        <v>4749</v>
      </c>
      <c r="G4534" t="s">
        <v>4406</v>
      </c>
      <c r="H4534" t="s">
        <v>4749</v>
      </c>
      <c r="I4534" t="s">
        <v>4556</v>
      </c>
    </row>
    <row r="4535" spans="1:9" x14ac:dyDescent="0.25">
      <c r="A4535" t="s">
        <v>1476</v>
      </c>
      <c r="B4535">
        <v>71</v>
      </c>
      <c r="C4535" t="s">
        <v>4750</v>
      </c>
      <c r="D4535" t="s">
        <v>4669</v>
      </c>
      <c r="E4535" t="s">
        <v>5154</v>
      </c>
      <c r="F4535" t="s">
        <v>4406</v>
      </c>
      <c r="G4535" t="s">
        <v>4406</v>
      </c>
      <c r="H4535" t="s">
        <v>4701</v>
      </c>
      <c r="I4535" t="s">
        <v>4754</v>
      </c>
    </row>
    <row r="4536" spans="1:9" x14ac:dyDescent="0.25">
      <c r="A4536" t="s">
        <v>5476</v>
      </c>
      <c r="B4536">
        <v>6</v>
      </c>
      <c r="C4536" t="s">
        <v>4406</v>
      </c>
      <c r="D4536" t="s">
        <v>4596</v>
      </c>
      <c r="E4536" t="s">
        <v>4468</v>
      </c>
      <c r="F4536" t="s">
        <v>4406</v>
      </c>
      <c r="G4536" t="s">
        <v>4406</v>
      </c>
      <c r="H4536" t="s">
        <v>4465</v>
      </c>
      <c r="I4536" t="s">
        <v>4406</v>
      </c>
    </row>
    <row r="4537" spans="1:9" x14ac:dyDescent="0.25">
      <c r="A4537" t="s">
        <v>1399</v>
      </c>
      <c r="B4537">
        <v>44</v>
      </c>
      <c r="C4537" t="s">
        <v>4406</v>
      </c>
      <c r="D4537" t="s">
        <v>4726</v>
      </c>
      <c r="E4537" t="s">
        <v>4462</v>
      </c>
      <c r="F4537" t="s">
        <v>4691</v>
      </c>
      <c r="G4537" t="s">
        <v>4406</v>
      </c>
      <c r="H4537" t="s">
        <v>4766</v>
      </c>
      <c r="I4537" t="s">
        <v>4583</v>
      </c>
    </row>
    <row r="4538" spans="1:9" x14ac:dyDescent="0.25">
      <c r="A4538" t="s">
        <v>1415</v>
      </c>
      <c r="B4538">
        <v>76</v>
      </c>
      <c r="C4538" t="s">
        <v>4406</v>
      </c>
      <c r="D4538" t="s">
        <v>4820</v>
      </c>
      <c r="E4538" t="s">
        <v>4462</v>
      </c>
      <c r="F4538" t="s">
        <v>4864</v>
      </c>
      <c r="G4538" t="s">
        <v>4406</v>
      </c>
      <c r="H4538" t="s">
        <v>4640</v>
      </c>
      <c r="I4538" t="s">
        <v>4523</v>
      </c>
    </row>
    <row r="4539" spans="1:9" x14ac:dyDescent="0.25">
      <c r="A4539" t="s">
        <v>1296</v>
      </c>
      <c r="B4539">
        <v>297</v>
      </c>
      <c r="C4539" t="s">
        <v>4808</v>
      </c>
      <c r="D4539" t="s">
        <v>4745</v>
      </c>
      <c r="E4539" t="s">
        <v>4598</v>
      </c>
      <c r="F4539" t="s">
        <v>4419</v>
      </c>
      <c r="G4539" t="s">
        <v>4808</v>
      </c>
      <c r="H4539" t="s">
        <v>4494</v>
      </c>
      <c r="I4539" t="s">
        <v>4504</v>
      </c>
    </row>
    <row r="4541" spans="1:9" x14ac:dyDescent="0.25">
      <c r="A4541" t="s">
        <v>6123</v>
      </c>
    </row>
    <row r="4542" spans="1:9" x14ac:dyDescent="0.25">
      <c r="A4542" t="s">
        <v>907</v>
      </c>
      <c r="B4542" t="s">
        <v>4394</v>
      </c>
      <c r="C4542" t="s">
        <v>4732</v>
      </c>
      <c r="D4542" t="s">
        <v>5359</v>
      </c>
      <c r="E4542" t="s">
        <v>5392</v>
      </c>
      <c r="F4542" t="s">
        <v>5360</v>
      </c>
      <c r="G4542" t="s">
        <v>4737</v>
      </c>
      <c r="H4542" t="s">
        <v>5361</v>
      </c>
      <c r="I4542" t="s">
        <v>5362</v>
      </c>
    </row>
    <row r="4543" spans="1:9" x14ac:dyDescent="0.25">
      <c r="A4543" t="s">
        <v>109</v>
      </c>
      <c r="B4543">
        <v>257</v>
      </c>
      <c r="C4543" t="s">
        <v>4818</v>
      </c>
      <c r="D4543" t="s">
        <v>4839</v>
      </c>
      <c r="E4543" t="s">
        <v>4598</v>
      </c>
      <c r="F4543" t="s">
        <v>4952</v>
      </c>
      <c r="G4543" t="s">
        <v>4818</v>
      </c>
      <c r="H4543" t="s">
        <v>4589</v>
      </c>
      <c r="I4543" t="s">
        <v>4460</v>
      </c>
    </row>
    <row r="4544" spans="1:9" x14ac:dyDescent="0.25">
      <c r="A4544" t="s">
        <v>192</v>
      </c>
      <c r="B4544">
        <v>40</v>
      </c>
      <c r="C4544" t="s">
        <v>4406</v>
      </c>
      <c r="D4544" t="s">
        <v>4761</v>
      </c>
      <c r="E4544" t="s">
        <v>4462</v>
      </c>
      <c r="F4544" t="s">
        <v>4406</v>
      </c>
      <c r="G4544" t="s">
        <v>4406</v>
      </c>
      <c r="H4544" t="s">
        <v>4479</v>
      </c>
      <c r="I4544" t="s">
        <v>4472</v>
      </c>
    </row>
    <row r="4545" spans="1:9" x14ac:dyDescent="0.25">
      <c r="A4545" t="s">
        <v>1296</v>
      </c>
      <c r="B4545">
        <v>297</v>
      </c>
      <c r="C4545" t="s">
        <v>4808</v>
      </c>
      <c r="D4545" t="s">
        <v>4745</v>
      </c>
      <c r="E4545" t="s">
        <v>4598</v>
      </c>
      <c r="F4545" t="s">
        <v>4419</v>
      </c>
      <c r="G4545" t="s">
        <v>4808</v>
      </c>
      <c r="H4545" t="s">
        <v>4494</v>
      </c>
      <c r="I4545" t="s">
        <v>4504</v>
      </c>
    </row>
    <row r="4547" spans="1:9" x14ac:dyDescent="0.25">
      <c r="A4547" t="s">
        <v>6124</v>
      </c>
    </row>
    <row r="4548" spans="1:9" x14ac:dyDescent="0.25">
      <c r="A4548" t="s">
        <v>1295</v>
      </c>
      <c r="B4548" t="s">
        <v>4394</v>
      </c>
      <c r="C4548" t="s">
        <v>4732</v>
      </c>
      <c r="D4548" t="s">
        <v>5359</v>
      </c>
      <c r="E4548" t="s">
        <v>5392</v>
      </c>
      <c r="F4548" t="s">
        <v>5360</v>
      </c>
      <c r="G4548" t="s">
        <v>4737</v>
      </c>
      <c r="H4548" t="s">
        <v>5361</v>
      </c>
      <c r="I4548" t="s">
        <v>5362</v>
      </c>
    </row>
    <row r="4549" spans="1:9" x14ac:dyDescent="0.25">
      <c r="A4549" t="s">
        <v>4395</v>
      </c>
      <c r="B4549">
        <v>32</v>
      </c>
      <c r="C4549" t="s">
        <v>4406</v>
      </c>
      <c r="D4549" t="s">
        <v>5173</v>
      </c>
      <c r="E4549" t="s">
        <v>4543</v>
      </c>
      <c r="F4549" t="s">
        <v>4406</v>
      </c>
      <c r="G4549" t="s">
        <v>4406</v>
      </c>
      <c r="H4549" t="s">
        <v>4477</v>
      </c>
      <c r="I4549" t="s">
        <v>4948</v>
      </c>
    </row>
    <row r="4550" spans="1:9" x14ac:dyDescent="0.25">
      <c r="A4550" t="s">
        <v>4396</v>
      </c>
      <c r="B4550">
        <v>169</v>
      </c>
      <c r="C4550" t="s">
        <v>4413</v>
      </c>
      <c r="D4550" t="s">
        <v>4708</v>
      </c>
      <c r="E4550" t="s">
        <v>4911</v>
      </c>
      <c r="F4550" t="s">
        <v>4422</v>
      </c>
      <c r="G4550" t="s">
        <v>4413</v>
      </c>
      <c r="H4550" t="s">
        <v>4400</v>
      </c>
      <c r="I4550" t="s">
        <v>4708</v>
      </c>
    </row>
    <row r="4551" spans="1:9" x14ac:dyDescent="0.25">
      <c r="A4551" t="s">
        <v>4397</v>
      </c>
      <c r="B4551">
        <v>2</v>
      </c>
      <c r="C4551" t="s">
        <v>4406</v>
      </c>
      <c r="D4551" t="s">
        <v>4406</v>
      </c>
      <c r="E4551" t="s">
        <v>4468</v>
      </c>
      <c r="F4551" t="s">
        <v>4406</v>
      </c>
      <c r="G4551" t="s">
        <v>4406</v>
      </c>
      <c r="H4551" t="s">
        <v>4406</v>
      </c>
      <c r="I4551" t="s">
        <v>4468</v>
      </c>
    </row>
    <row r="4552" spans="1:9" x14ac:dyDescent="0.25">
      <c r="A4552" t="s">
        <v>4398</v>
      </c>
      <c r="B4552">
        <v>92</v>
      </c>
      <c r="C4552" t="s">
        <v>4406</v>
      </c>
      <c r="D4552" t="s">
        <v>4827</v>
      </c>
      <c r="E4552" t="s">
        <v>5065</v>
      </c>
      <c r="F4552" t="s">
        <v>4651</v>
      </c>
      <c r="G4552" t="s">
        <v>4406</v>
      </c>
      <c r="H4552" t="s">
        <v>4548</v>
      </c>
      <c r="I4552" t="s">
        <v>4606</v>
      </c>
    </row>
    <row r="4553" spans="1:9" x14ac:dyDescent="0.25">
      <c r="A4553" t="s">
        <v>4399</v>
      </c>
      <c r="B4553">
        <v>2</v>
      </c>
      <c r="C4553" t="s">
        <v>4406</v>
      </c>
      <c r="D4553" t="s">
        <v>4468</v>
      </c>
      <c r="E4553" t="s">
        <v>4468</v>
      </c>
      <c r="F4553" t="s">
        <v>4406</v>
      </c>
      <c r="G4553" t="s">
        <v>4406</v>
      </c>
      <c r="H4553" t="s">
        <v>4406</v>
      </c>
      <c r="I4553" t="s">
        <v>4406</v>
      </c>
    </row>
    <row r="4554" spans="1:9" x14ac:dyDescent="0.25">
      <c r="A4554" t="s">
        <v>1296</v>
      </c>
      <c r="B4554">
        <v>297</v>
      </c>
      <c r="C4554" t="s">
        <v>4808</v>
      </c>
      <c r="D4554" t="s">
        <v>4745</v>
      </c>
      <c r="E4554" t="s">
        <v>4598</v>
      </c>
      <c r="F4554" t="s">
        <v>4419</v>
      </c>
      <c r="G4554" t="s">
        <v>4808</v>
      </c>
      <c r="H4554" t="s">
        <v>4494</v>
      </c>
      <c r="I4554" t="s">
        <v>4504</v>
      </c>
    </row>
    <row r="4556" spans="1:9" x14ac:dyDescent="0.25">
      <c r="A4556" t="s">
        <v>6125</v>
      </c>
    </row>
    <row r="4557" spans="1:9" x14ac:dyDescent="0.25">
      <c r="A4557" t="s">
        <v>910</v>
      </c>
      <c r="B4557" t="s">
        <v>4394</v>
      </c>
      <c r="C4557" t="s">
        <v>4732</v>
      </c>
      <c r="D4557" t="s">
        <v>5359</v>
      </c>
      <c r="E4557" t="s">
        <v>5392</v>
      </c>
      <c r="F4557" t="s">
        <v>5360</v>
      </c>
      <c r="G4557" t="s">
        <v>4737</v>
      </c>
      <c r="H4557" t="s">
        <v>5361</v>
      </c>
      <c r="I4557" t="s">
        <v>5362</v>
      </c>
    </row>
    <row r="4558" spans="1:9" x14ac:dyDescent="0.25">
      <c r="A4558" t="s">
        <v>1371</v>
      </c>
      <c r="B4558">
        <v>42</v>
      </c>
      <c r="C4558" t="s">
        <v>4406</v>
      </c>
      <c r="D4558" t="s">
        <v>4497</v>
      </c>
      <c r="E4558" t="s">
        <v>4596</v>
      </c>
      <c r="F4558" t="s">
        <v>4749</v>
      </c>
      <c r="G4558" t="s">
        <v>4406</v>
      </c>
      <c r="H4558" t="s">
        <v>4596</v>
      </c>
      <c r="I4558" t="s">
        <v>4556</v>
      </c>
    </row>
    <row r="4559" spans="1:9" x14ac:dyDescent="0.25">
      <c r="A4559" t="s">
        <v>1452</v>
      </c>
      <c r="B4559">
        <v>18</v>
      </c>
      <c r="C4559" t="s">
        <v>4406</v>
      </c>
      <c r="D4559" t="s">
        <v>4731</v>
      </c>
      <c r="E4559" t="s">
        <v>4731</v>
      </c>
      <c r="F4559" t="s">
        <v>4571</v>
      </c>
      <c r="G4559" t="s">
        <v>4406</v>
      </c>
      <c r="H4559" t="s">
        <v>4406</v>
      </c>
      <c r="I4559" t="s">
        <v>4468</v>
      </c>
    </row>
    <row r="4560" spans="1:9" x14ac:dyDescent="0.25">
      <c r="A4560" t="s">
        <v>5560</v>
      </c>
      <c r="B4560">
        <v>59</v>
      </c>
      <c r="C4560" t="s">
        <v>4406</v>
      </c>
      <c r="D4560" t="s">
        <v>4532</v>
      </c>
      <c r="E4560" t="s">
        <v>4516</v>
      </c>
      <c r="F4560" t="s">
        <v>4406</v>
      </c>
      <c r="G4560" t="s">
        <v>4406</v>
      </c>
      <c r="H4560" t="s">
        <v>4503</v>
      </c>
      <c r="I4560" t="s">
        <v>4541</v>
      </c>
    </row>
    <row r="4561" spans="1:9" x14ac:dyDescent="0.25">
      <c r="A4561" t="s">
        <v>1424</v>
      </c>
      <c r="B4561">
        <v>120</v>
      </c>
      <c r="C4561" t="s">
        <v>4406</v>
      </c>
      <c r="D4561" t="s">
        <v>4644</v>
      </c>
      <c r="E4561" t="s">
        <v>4415</v>
      </c>
      <c r="F4561" t="s">
        <v>4419</v>
      </c>
      <c r="G4561" t="s">
        <v>4417</v>
      </c>
      <c r="H4561" t="s">
        <v>4647</v>
      </c>
      <c r="I4561" t="s">
        <v>4606</v>
      </c>
    </row>
    <row r="4562" spans="1:9" x14ac:dyDescent="0.25">
      <c r="A4562" t="s">
        <v>1340</v>
      </c>
      <c r="B4562">
        <v>31</v>
      </c>
      <c r="C4562" t="s">
        <v>4406</v>
      </c>
      <c r="D4562" t="s">
        <v>4641</v>
      </c>
      <c r="E4562" t="s">
        <v>4642</v>
      </c>
      <c r="F4562" t="s">
        <v>4406</v>
      </c>
      <c r="G4562" t="s">
        <v>4406</v>
      </c>
      <c r="H4562" t="s">
        <v>4564</v>
      </c>
      <c r="I4562" t="s">
        <v>4658</v>
      </c>
    </row>
    <row r="4563" spans="1:9" x14ac:dyDescent="0.25">
      <c r="A4563" t="s">
        <v>5561</v>
      </c>
      <c r="B4563">
        <v>8</v>
      </c>
      <c r="C4563" t="s">
        <v>4479</v>
      </c>
      <c r="D4563" t="s">
        <v>4462</v>
      </c>
      <c r="E4563" t="s">
        <v>4468</v>
      </c>
      <c r="F4563" t="s">
        <v>4406</v>
      </c>
      <c r="G4563" t="s">
        <v>4406</v>
      </c>
      <c r="H4563" t="s">
        <v>4406</v>
      </c>
      <c r="I4563" t="s">
        <v>4479</v>
      </c>
    </row>
    <row r="4564" spans="1:9" x14ac:dyDescent="0.25">
      <c r="A4564" t="s">
        <v>1416</v>
      </c>
      <c r="B4564">
        <v>19</v>
      </c>
      <c r="C4564" t="s">
        <v>4406</v>
      </c>
      <c r="D4564" t="s">
        <v>4867</v>
      </c>
      <c r="E4564" t="s">
        <v>4490</v>
      </c>
      <c r="F4564" t="s">
        <v>4406</v>
      </c>
      <c r="G4564" t="s">
        <v>4406</v>
      </c>
      <c r="H4564" t="s">
        <v>4406</v>
      </c>
      <c r="I4564" t="s">
        <v>4528</v>
      </c>
    </row>
    <row r="4565" spans="1:9" x14ac:dyDescent="0.25">
      <c r="A4565" t="s">
        <v>1296</v>
      </c>
      <c r="B4565">
        <v>297</v>
      </c>
      <c r="C4565" t="s">
        <v>4808</v>
      </c>
      <c r="D4565" t="s">
        <v>4745</v>
      </c>
      <c r="E4565" t="s">
        <v>4598</v>
      </c>
      <c r="F4565" t="s">
        <v>4419</v>
      </c>
      <c r="G4565" t="s">
        <v>4808</v>
      </c>
      <c r="H4565" t="s">
        <v>4494</v>
      </c>
      <c r="I4565" t="s">
        <v>4504</v>
      </c>
    </row>
    <row r="4567" spans="1:9" x14ac:dyDescent="0.25">
      <c r="A4567" t="s">
        <v>6126</v>
      </c>
    </row>
    <row r="4568" spans="1:9" x14ac:dyDescent="0.25">
      <c r="A4568" t="s">
        <v>5481</v>
      </c>
      <c r="B4568" t="s">
        <v>4394</v>
      </c>
      <c r="C4568" t="s">
        <v>4732</v>
      </c>
      <c r="D4568" t="s">
        <v>5359</v>
      </c>
      <c r="E4568" t="s">
        <v>5392</v>
      </c>
      <c r="F4568" t="s">
        <v>5360</v>
      </c>
      <c r="G4568" t="s">
        <v>4737</v>
      </c>
      <c r="H4568" t="s">
        <v>5361</v>
      </c>
      <c r="I4568" t="s">
        <v>5362</v>
      </c>
    </row>
    <row r="4569" spans="1:9" x14ac:dyDescent="0.25">
      <c r="A4569" t="s">
        <v>4438</v>
      </c>
      <c r="B4569">
        <v>129</v>
      </c>
      <c r="C4569" t="s">
        <v>4417</v>
      </c>
      <c r="D4569" t="s">
        <v>5104</v>
      </c>
      <c r="E4569" t="s">
        <v>4486</v>
      </c>
      <c r="F4569" t="s">
        <v>4417</v>
      </c>
      <c r="G4569" t="s">
        <v>4406</v>
      </c>
      <c r="H4569" t="s">
        <v>4746</v>
      </c>
      <c r="I4569" t="s">
        <v>5261</v>
      </c>
    </row>
    <row r="4570" spans="1:9" x14ac:dyDescent="0.25">
      <c r="A4570" t="s">
        <v>4439</v>
      </c>
      <c r="B4570">
        <v>93</v>
      </c>
      <c r="C4570" t="s">
        <v>4406</v>
      </c>
      <c r="D4570" t="s">
        <v>4918</v>
      </c>
      <c r="E4570" t="s">
        <v>4641</v>
      </c>
      <c r="F4570" t="s">
        <v>4667</v>
      </c>
      <c r="G4570" t="s">
        <v>4406</v>
      </c>
      <c r="H4570" t="s">
        <v>4561</v>
      </c>
      <c r="I4570" t="s">
        <v>4578</v>
      </c>
    </row>
    <row r="4571" spans="1:9" x14ac:dyDescent="0.25">
      <c r="A4571" t="s">
        <v>1400</v>
      </c>
      <c r="B4571">
        <v>5</v>
      </c>
      <c r="C4571" t="s">
        <v>4406</v>
      </c>
      <c r="D4571" t="s">
        <v>4472</v>
      </c>
      <c r="E4571" t="s">
        <v>4472</v>
      </c>
      <c r="F4571" t="s">
        <v>4406</v>
      </c>
      <c r="G4571" t="s">
        <v>4406</v>
      </c>
      <c r="H4571" t="s">
        <v>4458</v>
      </c>
      <c r="I4571" t="s">
        <v>4472</v>
      </c>
    </row>
    <row r="4572" spans="1:9" x14ac:dyDescent="0.25">
      <c r="A4572" t="s">
        <v>5566</v>
      </c>
      <c r="B4572">
        <v>36</v>
      </c>
      <c r="C4572" t="s">
        <v>4406</v>
      </c>
      <c r="D4572" t="s">
        <v>4596</v>
      </c>
      <c r="E4572" t="s">
        <v>5176</v>
      </c>
      <c r="F4572" t="s">
        <v>4406</v>
      </c>
      <c r="G4572" t="s">
        <v>4406</v>
      </c>
      <c r="H4572" t="s">
        <v>4943</v>
      </c>
      <c r="I4572" t="s">
        <v>4444</v>
      </c>
    </row>
    <row r="4573" spans="1:9" x14ac:dyDescent="0.25">
      <c r="A4573" t="s">
        <v>1372</v>
      </c>
      <c r="B4573">
        <v>34</v>
      </c>
      <c r="C4573" t="s">
        <v>4406</v>
      </c>
      <c r="D4573" t="s">
        <v>4533</v>
      </c>
      <c r="E4573" t="s">
        <v>4871</v>
      </c>
      <c r="F4573" t="s">
        <v>4406</v>
      </c>
      <c r="G4573" t="s">
        <v>4697</v>
      </c>
      <c r="H4573" t="s">
        <v>4617</v>
      </c>
      <c r="I4573" t="s">
        <v>4617</v>
      </c>
    </row>
    <row r="4574" spans="1:9" x14ac:dyDescent="0.25">
      <c r="A4574" t="s">
        <v>1296</v>
      </c>
      <c r="B4574">
        <v>297</v>
      </c>
      <c r="C4574" t="s">
        <v>4808</v>
      </c>
      <c r="D4574" t="s">
        <v>4745</v>
      </c>
      <c r="E4574" t="s">
        <v>4598</v>
      </c>
      <c r="F4574" t="s">
        <v>4419</v>
      </c>
      <c r="G4574" t="s">
        <v>4808</v>
      </c>
      <c r="H4574" t="s">
        <v>4494</v>
      </c>
      <c r="I4574" t="s">
        <v>4504</v>
      </c>
    </row>
    <row r="4576" spans="1:9" x14ac:dyDescent="0.25">
      <c r="A4576" t="s">
        <v>6127</v>
      </c>
    </row>
    <row r="4577" spans="1:9" x14ac:dyDescent="0.25">
      <c r="A4577" t="s">
        <v>5477</v>
      </c>
      <c r="B4577" t="s">
        <v>4394</v>
      </c>
      <c r="C4577" t="s">
        <v>4732</v>
      </c>
      <c r="D4577" t="s">
        <v>5359</v>
      </c>
      <c r="E4577" t="s">
        <v>5392</v>
      </c>
      <c r="F4577" t="s">
        <v>5360</v>
      </c>
      <c r="G4577" t="s">
        <v>4737</v>
      </c>
      <c r="H4577" t="s">
        <v>5361</v>
      </c>
      <c r="I4577" t="s">
        <v>5362</v>
      </c>
    </row>
    <row r="4578" spans="1:9" x14ac:dyDescent="0.25">
      <c r="A4578" t="s">
        <v>4438</v>
      </c>
      <c r="B4578">
        <v>95</v>
      </c>
      <c r="C4578" t="s">
        <v>4406</v>
      </c>
      <c r="D4578" t="s">
        <v>5332</v>
      </c>
      <c r="E4578" t="s">
        <v>4678</v>
      </c>
      <c r="F4578" t="s">
        <v>4825</v>
      </c>
      <c r="G4578" t="s">
        <v>4406</v>
      </c>
      <c r="H4578" t="s">
        <v>4640</v>
      </c>
      <c r="I4578" t="s">
        <v>4490</v>
      </c>
    </row>
    <row r="4579" spans="1:9" x14ac:dyDescent="0.25">
      <c r="A4579" t="s">
        <v>4439</v>
      </c>
      <c r="B4579">
        <v>128</v>
      </c>
      <c r="C4579" t="s">
        <v>4406</v>
      </c>
      <c r="D4579" t="s">
        <v>5468</v>
      </c>
      <c r="E4579" t="s">
        <v>4944</v>
      </c>
      <c r="F4579" t="s">
        <v>4695</v>
      </c>
      <c r="G4579" t="s">
        <v>4406</v>
      </c>
      <c r="H4579" t="s">
        <v>4573</v>
      </c>
      <c r="I4579" t="s">
        <v>5262</v>
      </c>
    </row>
    <row r="4580" spans="1:9" x14ac:dyDescent="0.25">
      <c r="A4580" t="s">
        <v>1400</v>
      </c>
      <c r="B4580">
        <v>7</v>
      </c>
      <c r="C4580" t="s">
        <v>4406</v>
      </c>
      <c r="D4580" t="s">
        <v>4522</v>
      </c>
      <c r="E4580" t="s">
        <v>4450</v>
      </c>
      <c r="F4580" t="s">
        <v>4406</v>
      </c>
      <c r="G4580" t="s">
        <v>4406</v>
      </c>
      <c r="H4580" t="s">
        <v>4447</v>
      </c>
      <c r="I4580" t="s">
        <v>4522</v>
      </c>
    </row>
    <row r="4581" spans="1:9" x14ac:dyDescent="0.25">
      <c r="A4581" t="s">
        <v>5566</v>
      </c>
      <c r="B4581">
        <v>36</v>
      </c>
      <c r="C4581" t="s">
        <v>4406</v>
      </c>
      <c r="D4581" t="s">
        <v>4596</v>
      </c>
      <c r="E4581" t="s">
        <v>5176</v>
      </c>
      <c r="F4581" t="s">
        <v>4406</v>
      </c>
      <c r="G4581" t="s">
        <v>4406</v>
      </c>
      <c r="H4581" t="s">
        <v>4943</v>
      </c>
      <c r="I4581" t="s">
        <v>4444</v>
      </c>
    </row>
    <row r="4582" spans="1:9" x14ac:dyDescent="0.25">
      <c r="A4582" t="s">
        <v>1426</v>
      </c>
      <c r="B4582">
        <v>1</v>
      </c>
      <c r="C4582" t="s">
        <v>4406</v>
      </c>
      <c r="D4582" t="s">
        <v>4406</v>
      </c>
      <c r="E4582" t="s">
        <v>4406</v>
      </c>
      <c r="F4582" t="s">
        <v>4406</v>
      </c>
      <c r="G4582" t="s">
        <v>4406</v>
      </c>
      <c r="H4582" t="s">
        <v>4454</v>
      </c>
      <c r="I4582" t="s">
        <v>4406</v>
      </c>
    </row>
    <row r="4583" spans="1:9" x14ac:dyDescent="0.25">
      <c r="A4583" t="s">
        <v>1372</v>
      </c>
      <c r="B4583">
        <v>30</v>
      </c>
      <c r="C4583" t="s">
        <v>4651</v>
      </c>
      <c r="D4583" t="s">
        <v>4489</v>
      </c>
      <c r="E4583" t="s">
        <v>4489</v>
      </c>
      <c r="F4583" t="s">
        <v>4406</v>
      </c>
      <c r="G4583" t="s">
        <v>4651</v>
      </c>
      <c r="H4583" t="s">
        <v>5039</v>
      </c>
      <c r="I4583" t="s">
        <v>4646</v>
      </c>
    </row>
    <row r="4584" spans="1:9" x14ac:dyDescent="0.25">
      <c r="A4584" t="s">
        <v>1296</v>
      </c>
      <c r="B4584">
        <v>297</v>
      </c>
      <c r="C4584" t="s">
        <v>4808</v>
      </c>
      <c r="D4584" t="s">
        <v>4745</v>
      </c>
      <c r="E4584" t="s">
        <v>4598</v>
      </c>
      <c r="F4584" t="s">
        <v>4419</v>
      </c>
      <c r="G4584" t="s">
        <v>4808</v>
      </c>
      <c r="H4584" t="s">
        <v>4494</v>
      </c>
      <c r="I4584" t="s">
        <v>4504</v>
      </c>
    </row>
    <row r="4586" spans="1:9" x14ac:dyDescent="0.25">
      <c r="A4586" t="s">
        <v>6128</v>
      </c>
    </row>
    <row r="4587" spans="1:9" x14ac:dyDescent="0.25">
      <c r="A4587" t="s">
        <v>911</v>
      </c>
      <c r="B4587" t="s">
        <v>4394</v>
      </c>
      <c r="C4587" t="s">
        <v>4732</v>
      </c>
      <c r="D4587" t="s">
        <v>5359</v>
      </c>
      <c r="E4587" t="s">
        <v>5392</v>
      </c>
      <c r="F4587" t="s">
        <v>5360</v>
      </c>
      <c r="G4587" t="s">
        <v>4737</v>
      </c>
      <c r="H4587" t="s">
        <v>5361</v>
      </c>
      <c r="I4587" t="s">
        <v>5362</v>
      </c>
    </row>
    <row r="4588" spans="1:9" x14ac:dyDescent="0.25">
      <c r="A4588" t="s">
        <v>4438</v>
      </c>
      <c r="B4588">
        <v>122</v>
      </c>
      <c r="C4588" t="s">
        <v>4417</v>
      </c>
      <c r="D4588" t="s">
        <v>5176</v>
      </c>
      <c r="E4588" t="s">
        <v>4583</v>
      </c>
      <c r="F4588" t="s">
        <v>4635</v>
      </c>
      <c r="G4588" t="s">
        <v>4406</v>
      </c>
      <c r="H4588" t="s">
        <v>4987</v>
      </c>
      <c r="I4588" t="s">
        <v>4453</v>
      </c>
    </row>
    <row r="4589" spans="1:9" x14ac:dyDescent="0.25">
      <c r="A4589" t="s">
        <v>4439</v>
      </c>
      <c r="B4589">
        <v>79</v>
      </c>
      <c r="C4589" t="s">
        <v>4406</v>
      </c>
      <c r="D4589" t="s">
        <v>4506</v>
      </c>
      <c r="E4589" t="s">
        <v>4942</v>
      </c>
      <c r="F4589" t="s">
        <v>4645</v>
      </c>
      <c r="G4589" t="s">
        <v>4406</v>
      </c>
      <c r="H4589" t="s">
        <v>4610</v>
      </c>
      <c r="I4589" t="s">
        <v>4843</v>
      </c>
    </row>
    <row r="4590" spans="1:9" x14ac:dyDescent="0.25">
      <c r="A4590" t="s">
        <v>1400</v>
      </c>
      <c r="B4590">
        <v>19</v>
      </c>
      <c r="C4590" t="s">
        <v>4406</v>
      </c>
      <c r="D4590" t="s">
        <v>4601</v>
      </c>
      <c r="E4590" t="s">
        <v>4867</v>
      </c>
      <c r="F4590" t="s">
        <v>4640</v>
      </c>
      <c r="G4590" t="s">
        <v>4406</v>
      </c>
      <c r="H4590" t="s">
        <v>4524</v>
      </c>
      <c r="I4590" t="s">
        <v>4867</v>
      </c>
    </row>
    <row r="4591" spans="1:9" x14ac:dyDescent="0.25">
      <c r="A4591" t="s">
        <v>1340</v>
      </c>
      <c r="B4591">
        <v>31</v>
      </c>
      <c r="C4591" t="s">
        <v>4406</v>
      </c>
      <c r="D4591" t="s">
        <v>4641</v>
      </c>
      <c r="E4591" t="s">
        <v>4642</v>
      </c>
      <c r="F4591" t="s">
        <v>4406</v>
      </c>
      <c r="G4591" t="s">
        <v>4406</v>
      </c>
      <c r="H4591" t="s">
        <v>4564</v>
      </c>
      <c r="I4591" t="s">
        <v>4658</v>
      </c>
    </row>
    <row r="4592" spans="1:9" x14ac:dyDescent="0.25">
      <c r="A4592" t="s">
        <v>1426</v>
      </c>
      <c r="B4592">
        <v>8</v>
      </c>
      <c r="C4592" t="s">
        <v>4406</v>
      </c>
      <c r="D4592" t="s">
        <v>4481</v>
      </c>
      <c r="E4592" t="s">
        <v>4479</v>
      </c>
      <c r="F4592" t="s">
        <v>4406</v>
      </c>
      <c r="G4592" t="s">
        <v>4406</v>
      </c>
      <c r="H4592" t="s">
        <v>4462</v>
      </c>
      <c r="I4592" t="s">
        <v>4462</v>
      </c>
    </row>
    <row r="4593" spans="1:9" x14ac:dyDescent="0.25">
      <c r="A4593" t="s">
        <v>1372</v>
      </c>
      <c r="B4593">
        <v>38</v>
      </c>
      <c r="C4593" t="s">
        <v>4406</v>
      </c>
      <c r="D4593" t="s">
        <v>4529</v>
      </c>
      <c r="E4593" t="s">
        <v>4947</v>
      </c>
      <c r="F4593" t="s">
        <v>4406</v>
      </c>
      <c r="G4593" t="s">
        <v>4864</v>
      </c>
      <c r="H4593" t="s">
        <v>4600</v>
      </c>
      <c r="I4593" t="s">
        <v>4715</v>
      </c>
    </row>
    <row r="4594" spans="1:9" x14ac:dyDescent="0.25">
      <c r="A4594" t="s">
        <v>1296</v>
      </c>
      <c r="B4594">
        <v>297</v>
      </c>
      <c r="C4594" t="s">
        <v>4808</v>
      </c>
      <c r="D4594" t="s">
        <v>4745</v>
      </c>
      <c r="E4594" t="s">
        <v>4598</v>
      </c>
      <c r="F4594" t="s">
        <v>4419</v>
      </c>
      <c r="G4594" t="s">
        <v>4808</v>
      </c>
      <c r="H4594" t="s">
        <v>4494</v>
      </c>
      <c r="I4594" t="s">
        <v>4504</v>
      </c>
    </row>
    <row r="4596" spans="1:9" x14ac:dyDescent="0.25">
      <c r="A4596" t="s">
        <v>6129</v>
      </c>
    </row>
    <row r="4597" spans="1:9" x14ac:dyDescent="0.25">
      <c r="A4597" t="s">
        <v>912</v>
      </c>
      <c r="B4597" t="s">
        <v>4394</v>
      </c>
      <c r="C4597" t="s">
        <v>4732</v>
      </c>
      <c r="D4597" t="s">
        <v>5359</v>
      </c>
      <c r="E4597" t="s">
        <v>5392</v>
      </c>
      <c r="F4597" t="s">
        <v>5360</v>
      </c>
      <c r="G4597" t="s">
        <v>4737</v>
      </c>
      <c r="H4597" t="s">
        <v>5361</v>
      </c>
      <c r="I4597" t="s">
        <v>5362</v>
      </c>
    </row>
    <row r="4598" spans="1:9" x14ac:dyDescent="0.25">
      <c r="A4598" t="s">
        <v>4438</v>
      </c>
      <c r="B4598">
        <v>80</v>
      </c>
      <c r="C4598" t="s">
        <v>4406</v>
      </c>
      <c r="D4598" t="s">
        <v>4535</v>
      </c>
      <c r="E4598" t="s">
        <v>5053</v>
      </c>
      <c r="F4598" t="s">
        <v>4659</v>
      </c>
      <c r="G4598" t="s">
        <v>4406</v>
      </c>
      <c r="H4598" t="s">
        <v>4650</v>
      </c>
      <c r="I4598" t="s">
        <v>4489</v>
      </c>
    </row>
    <row r="4599" spans="1:9" x14ac:dyDescent="0.25">
      <c r="A4599" t="s">
        <v>4439</v>
      </c>
      <c r="B4599">
        <v>106</v>
      </c>
      <c r="C4599" t="s">
        <v>4406</v>
      </c>
      <c r="D4599" t="s">
        <v>4491</v>
      </c>
      <c r="E4599" t="s">
        <v>4606</v>
      </c>
      <c r="F4599" t="s">
        <v>4952</v>
      </c>
      <c r="G4599" t="s">
        <v>4406</v>
      </c>
      <c r="H4599" t="s">
        <v>4647</v>
      </c>
      <c r="I4599" t="s">
        <v>5252</v>
      </c>
    </row>
    <row r="4600" spans="1:9" x14ac:dyDescent="0.25">
      <c r="A4600" t="s">
        <v>1400</v>
      </c>
      <c r="B4600">
        <v>30</v>
      </c>
      <c r="C4600" t="s">
        <v>4406</v>
      </c>
      <c r="D4600" t="s">
        <v>5129</v>
      </c>
      <c r="E4600" t="s">
        <v>4607</v>
      </c>
      <c r="F4600" t="s">
        <v>4651</v>
      </c>
      <c r="G4600" t="s">
        <v>4406</v>
      </c>
      <c r="H4600" t="s">
        <v>4596</v>
      </c>
      <c r="I4600" t="s">
        <v>4489</v>
      </c>
    </row>
    <row r="4601" spans="1:9" x14ac:dyDescent="0.25">
      <c r="A4601" t="s">
        <v>1340</v>
      </c>
      <c r="B4601">
        <v>31</v>
      </c>
      <c r="C4601" t="s">
        <v>4406</v>
      </c>
      <c r="D4601" t="s">
        <v>4641</v>
      </c>
      <c r="E4601" t="s">
        <v>4642</v>
      </c>
      <c r="F4601" t="s">
        <v>4406</v>
      </c>
      <c r="G4601" t="s">
        <v>4406</v>
      </c>
      <c r="H4601" t="s">
        <v>4564</v>
      </c>
      <c r="I4601" t="s">
        <v>4658</v>
      </c>
    </row>
    <row r="4602" spans="1:9" x14ac:dyDescent="0.25">
      <c r="A4602" t="s">
        <v>1426</v>
      </c>
      <c r="B4602">
        <v>15</v>
      </c>
      <c r="C4602" t="s">
        <v>4406</v>
      </c>
      <c r="D4602" t="s">
        <v>4458</v>
      </c>
      <c r="E4602" t="s">
        <v>4607</v>
      </c>
      <c r="F4602" t="s">
        <v>4416</v>
      </c>
      <c r="G4602" t="s">
        <v>4406</v>
      </c>
      <c r="H4602" t="s">
        <v>4415</v>
      </c>
      <c r="I4602" t="s">
        <v>4607</v>
      </c>
    </row>
    <row r="4603" spans="1:9" x14ac:dyDescent="0.25">
      <c r="A4603" t="s">
        <v>1372</v>
      </c>
      <c r="B4603">
        <v>35</v>
      </c>
      <c r="C4603" t="s">
        <v>4697</v>
      </c>
      <c r="D4603" t="s">
        <v>4450</v>
      </c>
      <c r="E4603" t="s">
        <v>4710</v>
      </c>
      <c r="F4603" t="s">
        <v>4406</v>
      </c>
      <c r="G4603" t="s">
        <v>4697</v>
      </c>
      <c r="H4603" t="s">
        <v>4472</v>
      </c>
      <c r="I4603" t="s">
        <v>4637</v>
      </c>
    </row>
    <row r="4604" spans="1:9" x14ac:dyDescent="0.25">
      <c r="A4604" t="s">
        <v>1296</v>
      </c>
      <c r="B4604">
        <v>297</v>
      </c>
      <c r="C4604" t="s">
        <v>4808</v>
      </c>
      <c r="D4604" t="s">
        <v>4745</v>
      </c>
      <c r="E4604" t="s">
        <v>4598</v>
      </c>
      <c r="F4604" t="s">
        <v>4419</v>
      </c>
      <c r="G4604" t="s">
        <v>4808</v>
      </c>
      <c r="H4604" t="s">
        <v>4494</v>
      </c>
      <c r="I4604" t="s">
        <v>4504</v>
      </c>
    </row>
    <row r="4606" spans="1:9" x14ac:dyDescent="0.25">
      <c r="A4606" t="s">
        <v>6130</v>
      </c>
    </row>
    <row r="4607" spans="1:9" x14ac:dyDescent="0.25">
      <c r="A4607" t="s">
        <v>920</v>
      </c>
      <c r="B4607" t="s">
        <v>4394</v>
      </c>
      <c r="C4607" t="s">
        <v>4732</v>
      </c>
      <c r="D4607" t="s">
        <v>5359</v>
      </c>
      <c r="E4607" t="s">
        <v>5392</v>
      </c>
      <c r="F4607" t="s">
        <v>5360</v>
      </c>
      <c r="G4607" t="s">
        <v>4737</v>
      </c>
      <c r="H4607" t="s">
        <v>5361</v>
      </c>
      <c r="I4607" t="s">
        <v>5362</v>
      </c>
    </row>
    <row r="4608" spans="1:9" x14ac:dyDescent="0.25">
      <c r="A4608" t="s">
        <v>1343</v>
      </c>
      <c r="B4608">
        <v>170</v>
      </c>
      <c r="C4608" t="s">
        <v>4406</v>
      </c>
      <c r="D4608" t="s">
        <v>4489</v>
      </c>
      <c r="E4608" t="s">
        <v>4598</v>
      </c>
      <c r="F4608" t="s">
        <v>4905</v>
      </c>
      <c r="G4608" t="s">
        <v>4413</v>
      </c>
      <c r="H4608" t="s">
        <v>5125</v>
      </c>
      <c r="I4608" t="s">
        <v>4769</v>
      </c>
    </row>
    <row r="4609" spans="1:9" x14ac:dyDescent="0.25">
      <c r="A4609" t="s">
        <v>1345</v>
      </c>
      <c r="B4609">
        <v>75</v>
      </c>
      <c r="C4609" t="s">
        <v>4406</v>
      </c>
      <c r="D4609" t="s">
        <v>4658</v>
      </c>
      <c r="E4609" t="s">
        <v>4472</v>
      </c>
      <c r="F4609" t="s">
        <v>4659</v>
      </c>
      <c r="G4609" t="s">
        <v>4406</v>
      </c>
      <c r="H4609" t="s">
        <v>4416</v>
      </c>
      <c r="I4609" t="s">
        <v>4465</v>
      </c>
    </row>
    <row r="4610" spans="1:9" x14ac:dyDescent="0.25">
      <c r="A4610" t="s">
        <v>1466</v>
      </c>
      <c r="B4610">
        <v>50</v>
      </c>
      <c r="C4610" t="s">
        <v>4744</v>
      </c>
      <c r="D4610" t="s">
        <v>5128</v>
      </c>
      <c r="E4610" t="s">
        <v>4489</v>
      </c>
      <c r="F4610" t="s">
        <v>4744</v>
      </c>
      <c r="G4610" t="s">
        <v>4406</v>
      </c>
      <c r="H4610" t="s">
        <v>5126</v>
      </c>
      <c r="I4610" t="s">
        <v>4921</v>
      </c>
    </row>
    <row r="4611" spans="1:9" x14ac:dyDescent="0.25">
      <c r="A4611" t="s">
        <v>5554</v>
      </c>
      <c r="B4611">
        <v>2</v>
      </c>
      <c r="C4611" t="s">
        <v>4406</v>
      </c>
      <c r="D4611" t="s">
        <v>4406</v>
      </c>
      <c r="E4611" t="s">
        <v>4454</v>
      </c>
      <c r="F4611" t="s">
        <v>4406</v>
      </c>
      <c r="G4611" t="s">
        <v>4406</v>
      </c>
      <c r="H4611" t="s">
        <v>4406</v>
      </c>
      <c r="I4611" t="s">
        <v>4406</v>
      </c>
    </row>
    <row r="4612" spans="1:9" x14ac:dyDescent="0.25">
      <c r="A4612" t="s">
        <v>1296</v>
      </c>
      <c r="B4612">
        <v>297</v>
      </c>
      <c r="C4612" t="s">
        <v>4808</v>
      </c>
      <c r="D4612" t="s">
        <v>4745</v>
      </c>
      <c r="E4612" t="s">
        <v>4598</v>
      </c>
      <c r="F4612" t="s">
        <v>4419</v>
      </c>
      <c r="G4612" t="s">
        <v>4808</v>
      </c>
      <c r="H4612" t="s">
        <v>4494</v>
      </c>
      <c r="I4612" t="s">
        <v>4504</v>
      </c>
    </row>
    <row r="4614" spans="1:9" x14ac:dyDescent="0.25">
      <c r="A4614" t="s">
        <v>6131</v>
      </c>
    </row>
    <row r="4615" spans="1:9" x14ac:dyDescent="0.25">
      <c r="A4615" t="s">
        <v>924</v>
      </c>
      <c r="B4615" t="s">
        <v>4394</v>
      </c>
      <c r="C4615" t="s">
        <v>4732</v>
      </c>
      <c r="D4615" t="s">
        <v>5359</v>
      </c>
      <c r="E4615" t="s">
        <v>5392</v>
      </c>
      <c r="F4615" t="s">
        <v>5360</v>
      </c>
      <c r="G4615" t="s">
        <v>4737</v>
      </c>
      <c r="H4615" t="s">
        <v>5361</v>
      </c>
      <c r="I4615" t="s">
        <v>5362</v>
      </c>
    </row>
    <row r="4616" spans="1:9" x14ac:dyDescent="0.25">
      <c r="A4616" t="s">
        <v>1345</v>
      </c>
      <c r="B4616">
        <v>69</v>
      </c>
      <c r="C4616" t="s">
        <v>4406</v>
      </c>
      <c r="D4616" t="s">
        <v>4926</v>
      </c>
      <c r="E4616" t="s">
        <v>4443</v>
      </c>
      <c r="F4616" t="s">
        <v>4697</v>
      </c>
      <c r="G4616" t="s">
        <v>4750</v>
      </c>
      <c r="H4616" t="s">
        <v>4591</v>
      </c>
      <c r="I4616" t="s">
        <v>4509</v>
      </c>
    </row>
    <row r="4617" spans="1:9" x14ac:dyDescent="0.25">
      <c r="A4617" t="s">
        <v>1441</v>
      </c>
      <c r="B4617">
        <v>123</v>
      </c>
      <c r="C4617" t="s">
        <v>4417</v>
      </c>
      <c r="D4617" t="s">
        <v>4669</v>
      </c>
      <c r="E4617" t="s">
        <v>5174</v>
      </c>
      <c r="F4617" t="s">
        <v>4635</v>
      </c>
      <c r="G4617" t="s">
        <v>4406</v>
      </c>
      <c r="H4617" t="s">
        <v>5170</v>
      </c>
      <c r="I4617" t="s">
        <v>4575</v>
      </c>
    </row>
    <row r="4618" spans="1:9" x14ac:dyDescent="0.25">
      <c r="A4618" t="s">
        <v>1461</v>
      </c>
      <c r="B4618">
        <v>95</v>
      </c>
      <c r="C4618" t="s">
        <v>4406</v>
      </c>
      <c r="D4618" t="s">
        <v>4955</v>
      </c>
      <c r="E4618" t="s">
        <v>4598</v>
      </c>
      <c r="F4618" t="s">
        <v>4825</v>
      </c>
      <c r="G4618" t="s">
        <v>4406</v>
      </c>
      <c r="H4618" t="s">
        <v>4867</v>
      </c>
      <c r="I4618" t="s">
        <v>4443</v>
      </c>
    </row>
    <row r="4619" spans="1:9" x14ac:dyDescent="0.25">
      <c r="A4619" t="s">
        <v>5554</v>
      </c>
      <c r="B4619">
        <v>10</v>
      </c>
      <c r="C4619" t="s">
        <v>4406</v>
      </c>
      <c r="D4619" t="s">
        <v>4646</v>
      </c>
      <c r="E4619" t="s">
        <v>4489</v>
      </c>
      <c r="F4619" t="s">
        <v>4406</v>
      </c>
      <c r="G4619" t="s">
        <v>4406</v>
      </c>
      <c r="H4619" t="s">
        <v>4489</v>
      </c>
      <c r="I4619" t="s">
        <v>4489</v>
      </c>
    </row>
    <row r="4620" spans="1:9" x14ac:dyDescent="0.25">
      <c r="A4620" t="s">
        <v>1296</v>
      </c>
      <c r="B4620">
        <v>297</v>
      </c>
      <c r="C4620" t="s">
        <v>4808</v>
      </c>
      <c r="D4620" t="s">
        <v>4745</v>
      </c>
      <c r="E4620" t="s">
        <v>4598</v>
      </c>
      <c r="F4620" t="s">
        <v>4419</v>
      </c>
      <c r="G4620" t="s">
        <v>4808</v>
      </c>
      <c r="H4620" t="s">
        <v>4494</v>
      </c>
      <c r="I4620" t="s">
        <v>4504</v>
      </c>
    </row>
    <row r="4622" spans="1:9" x14ac:dyDescent="0.25">
      <c r="A4622" t="s">
        <v>6132</v>
      </c>
    </row>
    <row r="4623" spans="1:9" x14ac:dyDescent="0.25">
      <c r="A4623" t="s">
        <v>903</v>
      </c>
      <c r="B4623" t="s">
        <v>4394</v>
      </c>
      <c r="C4623" t="s">
        <v>4732</v>
      </c>
      <c r="D4623" t="s">
        <v>5359</v>
      </c>
      <c r="E4623" t="s">
        <v>5392</v>
      </c>
      <c r="F4623" t="s">
        <v>5360</v>
      </c>
      <c r="G4623" t="s">
        <v>4737</v>
      </c>
      <c r="H4623" t="s">
        <v>5361</v>
      </c>
      <c r="I4623" t="s">
        <v>5362</v>
      </c>
    </row>
    <row r="4624" spans="1:9" x14ac:dyDescent="0.25">
      <c r="A4624" t="s">
        <v>70</v>
      </c>
      <c r="B4624">
        <v>85</v>
      </c>
      <c r="C4624" t="s">
        <v>4422</v>
      </c>
      <c r="D4624" t="s">
        <v>4704</v>
      </c>
      <c r="E4624" t="s">
        <v>4795</v>
      </c>
      <c r="F4624" t="s">
        <v>4424</v>
      </c>
      <c r="G4624" t="s">
        <v>4406</v>
      </c>
      <c r="H4624" t="s">
        <v>4617</v>
      </c>
      <c r="I4624" t="s">
        <v>4472</v>
      </c>
    </row>
    <row r="4625" spans="1:9" x14ac:dyDescent="0.25">
      <c r="A4625" t="s">
        <v>71</v>
      </c>
      <c r="B4625">
        <v>212</v>
      </c>
      <c r="C4625" t="s">
        <v>4406</v>
      </c>
      <c r="D4625" t="s">
        <v>4477</v>
      </c>
      <c r="E4625" t="s">
        <v>4909</v>
      </c>
      <c r="F4625" t="s">
        <v>4750</v>
      </c>
      <c r="G4625" t="s">
        <v>4404</v>
      </c>
      <c r="H4625" t="s">
        <v>4647</v>
      </c>
      <c r="I4625" t="s">
        <v>5053</v>
      </c>
    </row>
    <row r="4626" spans="1:9" x14ac:dyDescent="0.25">
      <c r="A4626" t="s">
        <v>1296</v>
      </c>
      <c r="B4626">
        <v>297</v>
      </c>
      <c r="C4626" t="s">
        <v>4808</v>
      </c>
      <c r="D4626" t="s">
        <v>4745</v>
      </c>
      <c r="E4626" t="s">
        <v>4598</v>
      </c>
      <c r="F4626" t="s">
        <v>4419</v>
      </c>
      <c r="G4626" t="s">
        <v>4808</v>
      </c>
      <c r="H4626" t="s">
        <v>4494</v>
      </c>
      <c r="I4626" t="s">
        <v>4504</v>
      </c>
    </row>
    <row r="4628" spans="1:9" x14ac:dyDescent="0.25">
      <c r="A4628" t="s">
        <v>5513</v>
      </c>
    </row>
    <row r="4629" spans="1:9" x14ac:dyDescent="0.25">
      <c r="A4629" t="s">
        <v>1297</v>
      </c>
      <c r="B4629" t="s">
        <v>4394</v>
      </c>
      <c r="C4629" t="s">
        <v>1398</v>
      </c>
      <c r="D4629" t="s">
        <v>1337</v>
      </c>
      <c r="E4629" t="s">
        <v>1369</v>
      </c>
    </row>
    <row r="4630" spans="1:9" x14ac:dyDescent="0.25">
      <c r="A4630" t="s">
        <v>5549</v>
      </c>
      <c r="B4630">
        <v>198</v>
      </c>
      <c r="C4630" t="s">
        <v>4992</v>
      </c>
      <c r="D4630" t="s">
        <v>4853</v>
      </c>
      <c r="E4630" t="s">
        <v>5403</v>
      </c>
    </row>
    <row r="4631" spans="1:9" x14ac:dyDescent="0.25">
      <c r="A4631" t="s">
        <v>1397</v>
      </c>
      <c r="B4631">
        <v>99</v>
      </c>
      <c r="C4631" t="s">
        <v>5118</v>
      </c>
      <c r="D4631" t="s">
        <v>5137</v>
      </c>
      <c r="E4631" t="s">
        <v>4625</v>
      </c>
    </row>
    <row r="4632" spans="1:9" x14ac:dyDescent="0.25">
      <c r="A4632" t="s">
        <v>1296</v>
      </c>
      <c r="B4632">
        <v>297</v>
      </c>
      <c r="C4632" t="s">
        <v>4569</v>
      </c>
      <c r="D4632" t="s">
        <v>4595</v>
      </c>
      <c r="E4632" t="s">
        <v>4810</v>
      </c>
    </row>
    <row r="4634" spans="1:9" x14ac:dyDescent="0.25">
      <c r="A4634" t="s">
        <v>5514</v>
      </c>
    </row>
    <row r="4635" spans="1:9" x14ac:dyDescent="0.25">
      <c r="A4635" t="s">
        <v>1297</v>
      </c>
      <c r="B4635" t="s">
        <v>4394</v>
      </c>
      <c r="C4635" t="s">
        <v>70</v>
      </c>
      <c r="D4635" t="s">
        <v>71</v>
      </c>
    </row>
    <row r="4636" spans="1:9" x14ac:dyDescent="0.25">
      <c r="A4636" t="s">
        <v>5549</v>
      </c>
      <c r="B4636">
        <v>198</v>
      </c>
      <c r="C4636" t="s">
        <v>4862</v>
      </c>
      <c r="D4636" t="s">
        <v>4577</v>
      </c>
    </row>
    <row r="4637" spans="1:9" x14ac:dyDescent="0.25">
      <c r="A4637" t="s">
        <v>1397</v>
      </c>
      <c r="B4637">
        <v>99</v>
      </c>
      <c r="C4637" t="s">
        <v>5118</v>
      </c>
      <c r="D4637" t="s">
        <v>5002</v>
      </c>
    </row>
    <row r="4638" spans="1:9" x14ac:dyDescent="0.25">
      <c r="A4638" t="s">
        <v>1296</v>
      </c>
      <c r="B4638">
        <v>297</v>
      </c>
      <c r="C4638" t="s">
        <v>4450</v>
      </c>
      <c r="D4638" t="s">
        <v>4814</v>
      </c>
    </row>
    <row r="4640" spans="1:9" x14ac:dyDescent="0.25">
      <c r="A4640" t="s">
        <v>6133</v>
      </c>
    </row>
    <row r="4641" spans="1:14" x14ac:dyDescent="0.25">
      <c r="A4641" t="s">
        <v>1297</v>
      </c>
      <c r="B4641" t="s">
        <v>4394</v>
      </c>
      <c r="C4641" t="s">
        <v>4732</v>
      </c>
      <c r="D4641" t="s">
        <v>5404</v>
      </c>
      <c r="E4641" t="s">
        <v>4736</v>
      </c>
      <c r="F4641" t="s">
        <v>5405</v>
      </c>
      <c r="G4641" t="s">
        <v>4737</v>
      </c>
      <c r="H4641" t="s">
        <v>5406</v>
      </c>
      <c r="I4641" t="s">
        <v>5407</v>
      </c>
      <c r="J4641" t="s">
        <v>5408</v>
      </c>
      <c r="K4641" t="s">
        <v>5409</v>
      </c>
      <c r="L4641" t="s">
        <v>5410</v>
      </c>
      <c r="M4641" t="s">
        <v>5411</v>
      </c>
      <c r="N4641" t="s">
        <v>5412</v>
      </c>
    </row>
    <row r="4642" spans="1:14" x14ac:dyDescent="0.25">
      <c r="A4642" t="s">
        <v>5549</v>
      </c>
      <c r="B4642">
        <v>198</v>
      </c>
      <c r="C4642" t="s">
        <v>4406</v>
      </c>
      <c r="D4642" t="s">
        <v>4406</v>
      </c>
      <c r="E4642" t="s">
        <v>4406</v>
      </c>
      <c r="F4642" t="s">
        <v>4406</v>
      </c>
      <c r="G4642" t="s">
        <v>4406</v>
      </c>
      <c r="H4642" t="s">
        <v>4404</v>
      </c>
      <c r="I4642" t="s">
        <v>4627</v>
      </c>
      <c r="J4642" t="s">
        <v>4402</v>
      </c>
      <c r="K4642" t="s">
        <v>4406</v>
      </c>
      <c r="L4642" t="s">
        <v>4406</v>
      </c>
      <c r="M4642" t="s">
        <v>4406</v>
      </c>
      <c r="N4642" t="s">
        <v>4454</v>
      </c>
    </row>
    <row r="4643" spans="1:14" x14ac:dyDescent="0.25">
      <c r="A4643" t="s">
        <v>1397</v>
      </c>
      <c r="B4643">
        <v>99</v>
      </c>
      <c r="C4643" t="s">
        <v>4406</v>
      </c>
      <c r="D4643" t="s">
        <v>4406</v>
      </c>
      <c r="E4643" t="s">
        <v>4406</v>
      </c>
      <c r="F4643" t="s">
        <v>4406</v>
      </c>
      <c r="G4643" t="s">
        <v>4402</v>
      </c>
      <c r="H4643" t="s">
        <v>4406</v>
      </c>
      <c r="I4643" t="s">
        <v>4402</v>
      </c>
      <c r="J4643" t="s">
        <v>4406</v>
      </c>
      <c r="K4643" t="s">
        <v>4406</v>
      </c>
      <c r="L4643" t="s">
        <v>4406</v>
      </c>
      <c r="M4643" t="s">
        <v>4406</v>
      </c>
      <c r="N4643" t="s">
        <v>5413</v>
      </c>
    </row>
    <row r="4644" spans="1:14" x14ac:dyDescent="0.25">
      <c r="A4644" t="s">
        <v>1296</v>
      </c>
      <c r="B4644">
        <v>297</v>
      </c>
      <c r="C4644" t="s">
        <v>4406</v>
      </c>
      <c r="D4644" t="s">
        <v>4406</v>
      </c>
      <c r="E4644" t="s">
        <v>4406</v>
      </c>
      <c r="F4644" t="s">
        <v>4406</v>
      </c>
      <c r="G4644" t="s">
        <v>4808</v>
      </c>
      <c r="H4644" t="s">
        <v>4808</v>
      </c>
      <c r="I4644" t="s">
        <v>4954</v>
      </c>
      <c r="J4644" t="s">
        <v>4410</v>
      </c>
      <c r="K4644" t="s">
        <v>4406</v>
      </c>
      <c r="L4644" t="s">
        <v>4406</v>
      </c>
      <c r="M4644" t="s">
        <v>4406</v>
      </c>
      <c r="N4644" t="s">
        <v>5369</v>
      </c>
    </row>
    <row r="4646" spans="1:14" x14ac:dyDescent="0.25">
      <c r="A4646" t="s">
        <v>6134</v>
      </c>
    </row>
    <row r="4647" spans="1:14" x14ac:dyDescent="0.25">
      <c r="A4647" t="s">
        <v>906</v>
      </c>
      <c r="B4647" t="s">
        <v>4394</v>
      </c>
      <c r="C4647" t="s">
        <v>4732</v>
      </c>
      <c r="D4647" t="s">
        <v>5404</v>
      </c>
      <c r="E4647" t="s">
        <v>4736</v>
      </c>
      <c r="F4647" t="s">
        <v>5405</v>
      </c>
      <c r="G4647" t="s">
        <v>4737</v>
      </c>
      <c r="H4647" t="s">
        <v>5406</v>
      </c>
      <c r="I4647" t="s">
        <v>5407</v>
      </c>
      <c r="J4647" t="s">
        <v>5408</v>
      </c>
      <c r="K4647" t="s">
        <v>5409</v>
      </c>
      <c r="L4647" t="s">
        <v>5410</v>
      </c>
      <c r="M4647" t="s">
        <v>5411</v>
      </c>
      <c r="N4647" t="s">
        <v>5412</v>
      </c>
    </row>
    <row r="4648" spans="1:14" x14ac:dyDescent="0.25">
      <c r="A4648" t="s">
        <v>1338</v>
      </c>
      <c r="B4648">
        <v>46</v>
      </c>
      <c r="C4648" t="s">
        <v>4406</v>
      </c>
      <c r="D4648" t="s">
        <v>4406</v>
      </c>
      <c r="E4648" t="s">
        <v>4406</v>
      </c>
      <c r="F4648" t="s">
        <v>4406</v>
      </c>
      <c r="G4648" t="s">
        <v>4406</v>
      </c>
      <c r="H4648" t="s">
        <v>4406</v>
      </c>
      <c r="I4648" t="s">
        <v>4667</v>
      </c>
      <c r="J4648" t="s">
        <v>4581</v>
      </c>
      <c r="K4648" t="s">
        <v>4406</v>
      </c>
      <c r="L4648" t="s">
        <v>4406</v>
      </c>
      <c r="M4648" t="s">
        <v>4406</v>
      </c>
      <c r="N4648" t="s">
        <v>4454</v>
      </c>
    </row>
    <row r="4649" spans="1:14" x14ac:dyDescent="0.25">
      <c r="A4649" t="s">
        <v>1370</v>
      </c>
      <c r="B4649">
        <v>33</v>
      </c>
      <c r="C4649" t="s">
        <v>4406</v>
      </c>
      <c r="D4649" t="s">
        <v>4406</v>
      </c>
      <c r="E4649" t="s">
        <v>4406</v>
      </c>
      <c r="F4649" t="s">
        <v>4406</v>
      </c>
      <c r="G4649" t="s">
        <v>4406</v>
      </c>
      <c r="H4649" t="s">
        <v>4406</v>
      </c>
      <c r="I4649" t="s">
        <v>4406</v>
      </c>
      <c r="J4649" t="s">
        <v>4406</v>
      </c>
      <c r="K4649" t="s">
        <v>4406</v>
      </c>
      <c r="L4649" t="s">
        <v>4406</v>
      </c>
      <c r="M4649" t="s">
        <v>4406</v>
      </c>
      <c r="N4649" t="s">
        <v>4454</v>
      </c>
    </row>
    <row r="4650" spans="1:14" x14ac:dyDescent="0.25">
      <c r="A4650" t="s">
        <v>1439</v>
      </c>
      <c r="B4650">
        <v>21</v>
      </c>
      <c r="C4650" t="s">
        <v>4406</v>
      </c>
      <c r="D4650" t="s">
        <v>4406</v>
      </c>
      <c r="E4650" t="s">
        <v>4406</v>
      </c>
      <c r="F4650" t="s">
        <v>4406</v>
      </c>
      <c r="G4650" t="s">
        <v>4749</v>
      </c>
      <c r="H4650" t="s">
        <v>4406</v>
      </c>
      <c r="I4650" t="s">
        <v>4749</v>
      </c>
      <c r="J4650" t="s">
        <v>4406</v>
      </c>
      <c r="K4650" t="s">
        <v>4406</v>
      </c>
      <c r="L4650" t="s">
        <v>4406</v>
      </c>
      <c r="M4650" t="s">
        <v>4406</v>
      </c>
      <c r="N4650" t="s">
        <v>5007</v>
      </c>
    </row>
    <row r="4651" spans="1:14" x14ac:dyDescent="0.25">
      <c r="A4651" t="s">
        <v>1476</v>
      </c>
      <c r="B4651">
        <v>71</v>
      </c>
      <c r="C4651" t="s">
        <v>4406</v>
      </c>
      <c r="D4651" t="s">
        <v>4406</v>
      </c>
      <c r="E4651" t="s">
        <v>4406</v>
      </c>
      <c r="F4651" t="s">
        <v>4406</v>
      </c>
      <c r="G4651" t="s">
        <v>4406</v>
      </c>
      <c r="H4651" t="s">
        <v>4750</v>
      </c>
      <c r="I4651" t="s">
        <v>4861</v>
      </c>
      <c r="J4651" t="s">
        <v>4750</v>
      </c>
      <c r="K4651" t="s">
        <v>4406</v>
      </c>
      <c r="L4651" t="s">
        <v>4406</v>
      </c>
      <c r="M4651" t="s">
        <v>4406</v>
      </c>
      <c r="N4651" t="s">
        <v>4454</v>
      </c>
    </row>
    <row r="4652" spans="1:14" x14ac:dyDescent="0.25">
      <c r="A4652" t="s">
        <v>5476</v>
      </c>
      <c r="B4652">
        <v>6</v>
      </c>
      <c r="C4652" t="s">
        <v>4406</v>
      </c>
      <c r="D4652" t="s">
        <v>4406</v>
      </c>
      <c r="E4652" t="s">
        <v>4406</v>
      </c>
      <c r="F4652" t="s">
        <v>4406</v>
      </c>
      <c r="G4652" t="s">
        <v>4406</v>
      </c>
      <c r="H4652" t="s">
        <v>4406</v>
      </c>
      <c r="I4652" t="s">
        <v>4406</v>
      </c>
      <c r="J4652" t="s">
        <v>4406</v>
      </c>
      <c r="K4652" t="s">
        <v>4406</v>
      </c>
      <c r="L4652" t="s">
        <v>4406</v>
      </c>
      <c r="M4652" t="s">
        <v>4406</v>
      </c>
      <c r="N4652" t="s">
        <v>4454</v>
      </c>
    </row>
    <row r="4653" spans="1:14" x14ac:dyDescent="0.25">
      <c r="A4653" t="s">
        <v>1399</v>
      </c>
      <c r="B4653">
        <v>44</v>
      </c>
      <c r="C4653" t="s">
        <v>4406</v>
      </c>
      <c r="D4653" t="s">
        <v>4406</v>
      </c>
      <c r="E4653" t="s">
        <v>4406</v>
      </c>
      <c r="F4653" t="s">
        <v>4406</v>
      </c>
      <c r="G4653" t="s">
        <v>4406</v>
      </c>
      <c r="H4653" t="s">
        <v>4406</v>
      </c>
      <c r="I4653" t="s">
        <v>4753</v>
      </c>
      <c r="J4653" t="s">
        <v>4406</v>
      </c>
      <c r="K4653" t="s">
        <v>4406</v>
      </c>
      <c r="L4653" t="s">
        <v>4406</v>
      </c>
      <c r="M4653" t="s">
        <v>4406</v>
      </c>
      <c r="N4653" t="s">
        <v>5276</v>
      </c>
    </row>
    <row r="4654" spans="1:14" x14ac:dyDescent="0.25">
      <c r="A4654" t="s">
        <v>1415</v>
      </c>
      <c r="B4654">
        <v>76</v>
      </c>
      <c r="C4654" t="s">
        <v>4406</v>
      </c>
      <c r="D4654" t="s">
        <v>4406</v>
      </c>
      <c r="E4654" t="s">
        <v>4406</v>
      </c>
      <c r="F4654" t="s">
        <v>4406</v>
      </c>
      <c r="G4654" t="s">
        <v>4406</v>
      </c>
      <c r="H4654" t="s">
        <v>4406</v>
      </c>
      <c r="I4654" t="s">
        <v>4864</v>
      </c>
      <c r="J4654" t="s">
        <v>4406</v>
      </c>
      <c r="K4654" t="s">
        <v>4406</v>
      </c>
      <c r="L4654" t="s">
        <v>4406</v>
      </c>
      <c r="M4654" t="s">
        <v>4406</v>
      </c>
      <c r="N4654" t="s">
        <v>4454</v>
      </c>
    </row>
    <row r="4655" spans="1:14" x14ac:dyDescent="0.25">
      <c r="A4655" t="s">
        <v>1296</v>
      </c>
      <c r="B4655">
        <v>297</v>
      </c>
      <c r="C4655" t="s">
        <v>4406</v>
      </c>
      <c r="D4655" t="s">
        <v>4406</v>
      </c>
      <c r="E4655" t="s">
        <v>4406</v>
      </c>
      <c r="F4655" t="s">
        <v>4406</v>
      </c>
      <c r="G4655" t="s">
        <v>4808</v>
      </c>
      <c r="H4655" t="s">
        <v>4808</v>
      </c>
      <c r="I4655" t="s">
        <v>4954</v>
      </c>
      <c r="J4655" t="s">
        <v>4410</v>
      </c>
      <c r="K4655" t="s">
        <v>4406</v>
      </c>
      <c r="L4655" t="s">
        <v>4406</v>
      </c>
      <c r="M4655" t="s">
        <v>4406</v>
      </c>
      <c r="N4655" t="s">
        <v>5369</v>
      </c>
    </row>
    <row r="4657" spans="1:14" x14ac:dyDescent="0.25">
      <c r="A4657" t="s">
        <v>6135</v>
      </c>
    </row>
    <row r="4658" spans="1:14" x14ac:dyDescent="0.25">
      <c r="A4658" t="s">
        <v>907</v>
      </c>
      <c r="B4658" t="s">
        <v>4394</v>
      </c>
      <c r="C4658" t="s">
        <v>4732</v>
      </c>
      <c r="D4658" t="s">
        <v>5404</v>
      </c>
      <c r="E4658" t="s">
        <v>4736</v>
      </c>
      <c r="F4658" t="s">
        <v>5405</v>
      </c>
      <c r="G4658" t="s">
        <v>4737</v>
      </c>
      <c r="H4658" t="s">
        <v>5406</v>
      </c>
      <c r="I4658" t="s">
        <v>5407</v>
      </c>
      <c r="J4658" t="s">
        <v>5408</v>
      </c>
      <c r="K4658" t="s">
        <v>5409</v>
      </c>
      <c r="L4658" t="s">
        <v>5410</v>
      </c>
      <c r="M4658" t="s">
        <v>5411</v>
      </c>
      <c r="N4658" t="s">
        <v>5412</v>
      </c>
    </row>
    <row r="4659" spans="1:14" x14ac:dyDescent="0.25">
      <c r="A4659" t="s">
        <v>109</v>
      </c>
      <c r="B4659">
        <v>257</v>
      </c>
      <c r="C4659" t="s">
        <v>4406</v>
      </c>
      <c r="D4659" t="s">
        <v>4406</v>
      </c>
      <c r="E4659" t="s">
        <v>4406</v>
      </c>
      <c r="F4659" t="s">
        <v>4406</v>
      </c>
      <c r="G4659" t="s">
        <v>4818</v>
      </c>
      <c r="H4659" t="s">
        <v>4818</v>
      </c>
      <c r="I4659" t="s">
        <v>4695</v>
      </c>
      <c r="J4659" t="s">
        <v>4417</v>
      </c>
      <c r="K4659" t="s">
        <v>4406</v>
      </c>
      <c r="L4659" t="s">
        <v>4406</v>
      </c>
      <c r="M4659" t="s">
        <v>4406</v>
      </c>
      <c r="N4659" t="s">
        <v>5415</v>
      </c>
    </row>
    <row r="4660" spans="1:14" x14ac:dyDescent="0.25">
      <c r="A4660" t="s">
        <v>192</v>
      </c>
      <c r="B4660">
        <v>40</v>
      </c>
      <c r="C4660" t="s">
        <v>4406</v>
      </c>
      <c r="D4660" t="s">
        <v>4406</v>
      </c>
      <c r="E4660" t="s">
        <v>4406</v>
      </c>
      <c r="F4660" t="s">
        <v>4406</v>
      </c>
      <c r="G4660" t="s">
        <v>4406</v>
      </c>
      <c r="H4660" t="s">
        <v>4406</v>
      </c>
      <c r="I4660" t="s">
        <v>4650</v>
      </c>
      <c r="J4660" t="s">
        <v>4406</v>
      </c>
      <c r="K4660" t="s">
        <v>4406</v>
      </c>
      <c r="L4660" t="s">
        <v>4406</v>
      </c>
      <c r="M4660" t="s">
        <v>4406</v>
      </c>
      <c r="N4660" t="s">
        <v>4454</v>
      </c>
    </row>
    <row r="4661" spans="1:14" x14ac:dyDescent="0.25">
      <c r="A4661" t="s">
        <v>1296</v>
      </c>
      <c r="B4661">
        <v>297</v>
      </c>
      <c r="C4661" t="s">
        <v>4406</v>
      </c>
      <c r="D4661" t="s">
        <v>4406</v>
      </c>
      <c r="E4661" t="s">
        <v>4406</v>
      </c>
      <c r="F4661" t="s">
        <v>4406</v>
      </c>
      <c r="G4661" t="s">
        <v>4808</v>
      </c>
      <c r="H4661" t="s">
        <v>4808</v>
      </c>
      <c r="I4661" t="s">
        <v>4954</v>
      </c>
      <c r="J4661" t="s">
        <v>4410</v>
      </c>
      <c r="K4661" t="s">
        <v>4406</v>
      </c>
      <c r="L4661" t="s">
        <v>4406</v>
      </c>
      <c r="M4661" t="s">
        <v>4406</v>
      </c>
      <c r="N4661" t="s">
        <v>5369</v>
      </c>
    </row>
    <row r="4663" spans="1:14" x14ac:dyDescent="0.25">
      <c r="A4663" t="s">
        <v>6136</v>
      </c>
    </row>
    <row r="4664" spans="1:14" x14ac:dyDescent="0.25">
      <c r="A4664" t="s">
        <v>903</v>
      </c>
      <c r="B4664" t="s">
        <v>4394</v>
      </c>
      <c r="C4664" t="s">
        <v>4732</v>
      </c>
      <c r="D4664" t="s">
        <v>5404</v>
      </c>
      <c r="E4664" t="s">
        <v>4736</v>
      </c>
      <c r="F4664" t="s">
        <v>5405</v>
      </c>
      <c r="G4664" t="s">
        <v>4737</v>
      </c>
      <c r="H4664" t="s">
        <v>5406</v>
      </c>
      <c r="I4664" t="s">
        <v>5407</v>
      </c>
      <c r="J4664" t="s">
        <v>5408</v>
      </c>
      <c r="K4664" t="s">
        <v>5409</v>
      </c>
      <c r="L4664" t="s">
        <v>5410</v>
      </c>
      <c r="M4664" t="s">
        <v>5411</v>
      </c>
      <c r="N4664" t="s">
        <v>5412</v>
      </c>
    </row>
    <row r="4665" spans="1:14" x14ac:dyDescent="0.25">
      <c r="A4665" t="s">
        <v>70</v>
      </c>
      <c r="B4665">
        <v>85</v>
      </c>
      <c r="C4665" t="s">
        <v>4406</v>
      </c>
      <c r="D4665" t="s">
        <v>4406</v>
      </c>
      <c r="E4665" t="s">
        <v>4406</v>
      </c>
      <c r="F4665" t="s">
        <v>4406</v>
      </c>
      <c r="G4665" t="s">
        <v>4406</v>
      </c>
      <c r="H4665" t="s">
        <v>4406</v>
      </c>
      <c r="I4665" t="s">
        <v>4696</v>
      </c>
      <c r="J4665" t="s">
        <v>4424</v>
      </c>
      <c r="K4665" t="s">
        <v>4406</v>
      </c>
      <c r="L4665" t="s">
        <v>4406</v>
      </c>
      <c r="M4665" t="s">
        <v>4406</v>
      </c>
      <c r="N4665" t="s">
        <v>4454</v>
      </c>
    </row>
    <row r="4666" spans="1:14" x14ac:dyDescent="0.25">
      <c r="A4666" t="s">
        <v>71</v>
      </c>
      <c r="B4666">
        <v>212</v>
      </c>
      <c r="C4666" t="s">
        <v>4406</v>
      </c>
      <c r="D4666" t="s">
        <v>4406</v>
      </c>
      <c r="E4666" t="s">
        <v>4406</v>
      </c>
      <c r="F4666" t="s">
        <v>4406</v>
      </c>
      <c r="G4666" t="s">
        <v>4404</v>
      </c>
      <c r="H4666" t="s">
        <v>4404</v>
      </c>
      <c r="I4666" t="s">
        <v>4952</v>
      </c>
      <c r="J4666" t="s">
        <v>4406</v>
      </c>
      <c r="K4666" t="s">
        <v>4406</v>
      </c>
      <c r="L4666" t="s">
        <v>4406</v>
      </c>
      <c r="M4666" t="s">
        <v>4406</v>
      </c>
      <c r="N4666" t="s">
        <v>5416</v>
      </c>
    </row>
    <row r="4667" spans="1:14" x14ac:dyDescent="0.25">
      <c r="A4667" t="s">
        <v>1296</v>
      </c>
      <c r="B4667">
        <v>297</v>
      </c>
      <c r="C4667" t="s">
        <v>4406</v>
      </c>
      <c r="D4667" t="s">
        <v>4406</v>
      </c>
      <c r="E4667" t="s">
        <v>4406</v>
      </c>
      <c r="F4667" t="s">
        <v>4406</v>
      </c>
      <c r="G4667" t="s">
        <v>4808</v>
      </c>
      <c r="H4667" t="s">
        <v>4808</v>
      </c>
      <c r="I4667" t="s">
        <v>4954</v>
      </c>
      <c r="J4667" t="s">
        <v>4410</v>
      </c>
      <c r="K4667" t="s">
        <v>4406</v>
      </c>
      <c r="L4667" t="s">
        <v>4406</v>
      </c>
      <c r="M4667" t="s">
        <v>4406</v>
      </c>
      <c r="N4667" t="s">
        <v>5369</v>
      </c>
    </row>
    <row r="4669" spans="1:14" x14ac:dyDescent="0.25">
      <c r="A4669" t="s">
        <v>6137</v>
      </c>
    </row>
    <row r="4670" spans="1:14" x14ac:dyDescent="0.25">
      <c r="A4670" t="s">
        <v>1297</v>
      </c>
      <c r="B4670" t="s">
        <v>4394</v>
      </c>
      <c r="C4670" t="s">
        <v>5417</v>
      </c>
      <c r="D4670" t="s">
        <v>5418</v>
      </c>
      <c r="E4670" t="s">
        <v>4732</v>
      </c>
      <c r="F4670" t="s">
        <v>109</v>
      </c>
      <c r="G4670" t="s">
        <v>4737</v>
      </c>
      <c r="H4670" t="s">
        <v>192</v>
      </c>
    </row>
    <row r="4671" spans="1:14" x14ac:dyDescent="0.25">
      <c r="A4671" t="s">
        <v>5549</v>
      </c>
      <c r="B4671">
        <v>198</v>
      </c>
      <c r="C4671" t="s">
        <v>4571</v>
      </c>
      <c r="D4671" t="s">
        <v>5118</v>
      </c>
      <c r="E4671" t="s">
        <v>4680</v>
      </c>
      <c r="F4671" t="s">
        <v>5419</v>
      </c>
      <c r="G4671" t="s">
        <v>4404</v>
      </c>
      <c r="H4671" t="s">
        <v>4744</v>
      </c>
    </row>
    <row r="4672" spans="1:14" x14ac:dyDescent="0.25">
      <c r="A4672" t="s">
        <v>1397</v>
      </c>
      <c r="B4672">
        <v>99</v>
      </c>
      <c r="C4672" t="s">
        <v>4400</v>
      </c>
      <c r="D4672" t="s">
        <v>4940</v>
      </c>
      <c r="E4672" t="s">
        <v>4406</v>
      </c>
      <c r="F4672" t="s">
        <v>4964</v>
      </c>
      <c r="G4672" t="s">
        <v>4406</v>
      </c>
      <c r="H4672" t="s">
        <v>4406</v>
      </c>
    </row>
    <row r="4673" spans="1:8" x14ac:dyDescent="0.25">
      <c r="A4673" t="s">
        <v>1296</v>
      </c>
      <c r="B4673">
        <v>297</v>
      </c>
      <c r="C4673" t="s">
        <v>4741</v>
      </c>
      <c r="D4673" t="s">
        <v>4759</v>
      </c>
      <c r="E4673" t="s">
        <v>4402</v>
      </c>
      <c r="F4673" t="s">
        <v>4407</v>
      </c>
      <c r="G4673" t="s">
        <v>4808</v>
      </c>
      <c r="H4673" t="s">
        <v>4659</v>
      </c>
    </row>
    <row r="4675" spans="1:8" x14ac:dyDescent="0.25">
      <c r="A4675" t="s">
        <v>6138</v>
      </c>
    </row>
    <row r="4676" spans="1:8" x14ac:dyDescent="0.25">
      <c r="A4676" t="s">
        <v>1169</v>
      </c>
      <c r="B4676" t="s">
        <v>4394</v>
      </c>
      <c r="C4676" t="s">
        <v>5417</v>
      </c>
      <c r="D4676" t="s">
        <v>5418</v>
      </c>
      <c r="E4676" t="s">
        <v>4732</v>
      </c>
      <c r="F4676" t="s">
        <v>109</v>
      </c>
      <c r="G4676" t="s">
        <v>4737</v>
      </c>
      <c r="H4676" t="s">
        <v>192</v>
      </c>
    </row>
    <row r="4677" spans="1:8" x14ac:dyDescent="0.25">
      <c r="A4677" t="s">
        <v>1414</v>
      </c>
      <c r="B4677">
        <v>2</v>
      </c>
      <c r="C4677" t="s">
        <v>4406</v>
      </c>
      <c r="D4677" t="s">
        <v>4468</v>
      </c>
      <c r="E4677" t="s">
        <v>4406</v>
      </c>
      <c r="F4677" t="s">
        <v>4468</v>
      </c>
      <c r="G4677" t="s">
        <v>4406</v>
      </c>
      <c r="H4677" t="s">
        <v>4406</v>
      </c>
    </row>
    <row r="4678" spans="1:8" x14ac:dyDescent="0.25">
      <c r="A4678" t="s">
        <v>1307</v>
      </c>
      <c r="B4678">
        <v>72</v>
      </c>
      <c r="C4678" t="s">
        <v>4564</v>
      </c>
      <c r="D4678" t="s">
        <v>4943</v>
      </c>
      <c r="E4678" t="s">
        <v>4406</v>
      </c>
      <c r="F4678" t="s">
        <v>5420</v>
      </c>
      <c r="G4678" t="s">
        <v>4406</v>
      </c>
      <c r="H4678" t="s">
        <v>4406</v>
      </c>
    </row>
    <row r="4679" spans="1:8" x14ac:dyDescent="0.25">
      <c r="A4679" t="s">
        <v>1319</v>
      </c>
      <c r="B4679">
        <v>223</v>
      </c>
      <c r="C4679" t="s">
        <v>5067</v>
      </c>
      <c r="D4679" t="s">
        <v>5054</v>
      </c>
      <c r="E4679" t="s">
        <v>4659</v>
      </c>
      <c r="F4679" t="s">
        <v>5421</v>
      </c>
      <c r="G4679" t="s">
        <v>4818</v>
      </c>
      <c r="H4679" t="s">
        <v>4905</v>
      </c>
    </row>
    <row r="4680" spans="1:8" x14ac:dyDescent="0.25">
      <c r="A4680" t="s">
        <v>1296</v>
      </c>
      <c r="B4680">
        <v>297</v>
      </c>
      <c r="C4680" t="s">
        <v>4741</v>
      </c>
      <c r="D4680" t="s">
        <v>4759</v>
      </c>
      <c r="E4680" t="s">
        <v>4402</v>
      </c>
      <c r="F4680" t="s">
        <v>4407</v>
      </c>
      <c r="G4680" t="s">
        <v>4808</v>
      </c>
      <c r="H4680" t="s">
        <v>4659</v>
      </c>
    </row>
    <row r="4682" spans="1:8" x14ac:dyDescent="0.25">
      <c r="A4682" t="s">
        <v>6139</v>
      </c>
    </row>
    <row r="4683" spans="1:8" x14ac:dyDescent="0.25">
      <c r="A4683" t="s">
        <v>929</v>
      </c>
      <c r="B4683" t="s">
        <v>4394</v>
      </c>
      <c r="C4683" t="s">
        <v>5417</v>
      </c>
      <c r="D4683" t="s">
        <v>5418</v>
      </c>
      <c r="E4683" t="s">
        <v>4732</v>
      </c>
      <c r="F4683" t="s">
        <v>109</v>
      </c>
      <c r="G4683" t="s">
        <v>4737</v>
      </c>
      <c r="H4683" t="s">
        <v>192</v>
      </c>
    </row>
    <row r="4684" spans="1:8" x14ac:dyDescent="0.25">
      <c r="A4684" t="s">
        <v>1664</v>
      </c>
      <c r="B4684">
        <v>2</v>
      </c>
      <c r="C4684" t="s">
        <v>4406</v>
      </c>
      <c r="D4684" t="s">
        <v>4406</v>
      </c>
      <c r="E4684" t="s">
        <v>4406</v>
      </c>
      <c r="F4684" t="s">
        <v>4454</v>
      </c>
      <c r="G4684" t="s">
        <v>4406</v>
      </c>
      <c r="H4684" t="s">
        <v>4406</v>
      </c>
    </row>
    <row r="4685" spans="1:8" x14ac:dyDescent="0.25">
      <c r="A4685" t="s">
        <v>1315</v>
      </c>
      <c r="B4685">
        <v>197</v>
      </c>
      <c r="C4685" t="s">
        <v>5076</v>
      </c>
      <c r="D4685" t="s">
        <v>4530</v>
      </c>
      <c r="E4685" t="s">
        <v>4404</v>
      </c>
      <c r="F4685" t="s">
        <v>4967</v>
      </c>
      <c r="G4685" t="s">
        <v>4406</v>
      </c>
      <c r="H4685" t="s">
        <v>4744</v>
      </c>
    </row>
    <row r="4686" spans="1:8" x14ac:dyDescent="0.25">
      <c r="A4686" t="s">
        <v>1353</v>
      </c>
      <c r="B4686">
        <v>98</v>
      </c>
      <c r="C4686" t="s">
        <v>5064</v>
      </c>
      <c r="D4686" t="s">
        <v>4614</v>
      </c>
      <c r="E4686" t="s">
        <v>4744</v>
      </c>
      <c r="F4686" t="s">
        <v>5122</v>
      </c>
      <c r="G4686" t="s">
        <v>4402</v>
      </c>
      <c r="H4686" t="s">
        <v>4406</v>
      </c>
    </row>
    <row r="4687" spans="1:8" x14ac:dyDescent="0.25">
      <c r="A4687" t="s">
        <v>1296</v>
      </c>
      <c r="B4687">
        <v>297</v>
      </c>
      <c r="C4687" t="s">
        <v>4741</v>
      </c>
      <c r="D4687" t="s">
        <v>4759</v>
      </c>
      <c r="E4687" t="s">
        <v>4402</v>
      </c>
      <c r="F4687" t="s">
        <v>4407</v>
      </c>
      <c r="G4687" t="s">
        <v>4808</v>
      </c>
      <c r="H4687" t="s">
        <v>4659</v>
      </c>
    </row>
    <row r="4689" spans="1:8" x14ac:dyDescent="0.25">
      <c r="A4689" t="s">
        <v>6140</v>
      </c>
    </row>
    <row r="4690" spans="1:8" x14ac:dyDescent="0.25">
      <c r="A4690" t="s">
        <v>903</v>
      </c>
      <c r="B4690" t="s">
        <v>4394</v>
      </c>
      <c r="C4690" t="s">
        <v>5417</v>
      </c>
      <c r="D4690" t="s">
        <v>5418</v>
      </c>
      <c r="E4690" t="s">
        <v>4732</v>
      </c>
      <c r="F4690" t="s">
        <v>109</v>
      </c>
      <c r="G4690" t="s">
        <v>4737</v>
      </c>
      <c r="H4690" t="s">
        <v>192</v>
      </c>
    </row>
    <row r="4691" spans="1:8" x14ac:dyDescent="0.25">
      <c r="A4691" t="s">
        <v>70</v>
      </c>
      <c r="B4691">
        <v>85</v>
      </c>
      <c r="C4691" t="s">
        <v>4400</v>
      </c>
      <c r="D4691" t="s">
        <v>4854</v>
      </c>
      <c r="E4691" t="s">
        <v>4424</v>
      </c>
      <c r="F4691" t="s">
        <v>4835</v>
      </c>
      <c r="G4691" t="s">
        <v>4406</v>
      </c>
      <c r="H4691" t="s">
        <v>4406</v>
      </c>
    </row>
    <row r="4692" spans="1:8" x14ac:dyDescent="0.25">
      <c r="A4692" t="s">
        <v>71</v>
      </c>
      <c r="B4692">
        <v>212</v>
      </c>
      <c r="C4692" t="s">
        <v>4654</v>
      </c>
      <c r="D4692" t="s">
        <v>5182</v>
      </c>
      <c r="E4692" t="s">
        <v>4404</v>
      </c>
      <c r="F4692" t="s">
        <v>5422</v>
      </c>
      <c r="G4692" t="s">
        <v>4404</v>
      </c>
      <c r="H4692" t="s">
        <v>4952</v>
      </c>
    </row>
    <row r="4693" spans="1:8" x14ac:dyDescent="0.25">
      <c r="A4693" t="s">
        <v>1296</v>
      </c>
      <c r="B4693">
        <v>297</v>
      </c>
      <c r="C4693" t="s">
        <v>4741</v>
      </c>
      <c r="D4693" t="s">
        <v>4759</v>
      </c>
      <c r="E4693" t="s">
        <v>4402</v>
      </c>
      <c r="F4693" t="s">
        <v>4407</v>
      </c>
      <c r="G4693" t="s">
        <v>4808</v>
      </c>
      <c r="H4693" t="s">
        <v>4659</v>
      </c>
    </row>
    <row r="4695" spans="1:8" x14ac:dyDescent="0.25">
      <c r="A4695" t="s">
        <v>6141</v>
      </c>
    </row>
    <row r="4696" spans="1:8" x14ac:dyDescent="0.25">
      <c r="A4696" t="s">
        <v>4394</v>
      </c>
      <c r="B4696" t="s">
        <v>5423</v>
      </c>
      <c r="C4696" t="s">
        <v>5424</v>
      </c>
    </row>
    <row r="4697" spans="1:8" x14ac:dyDescent="0.25">
      <c r="A4697">
        <v>4</v>
      </c>
      <c r="B4697">
        <v>2</v>
      </c>
      <c r="C4697">
        <v>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CBF13-957E-4BF9-9D2B-2460003EA361}">
  <sheetPr>
    <tabColor theme="0" tint="-0.249977111117893"/>
  </sheetPr>
  <dimension ref="A1:C391"/>
  <sheetViews>
    <sheetView workbookViewId="0">
      <pane ySplit="1" topLeftCell="A2" activePane="bottomLeft" state="frozen"/>
      <selection activeCell="A45" sqref="A45"/>
      <selection pane="bottomLeft" activeCell="E17" sqref="E17"/>
    </sheetView>
  </sheetViews>
  <sheetFormatPr defaultColWidth="11.42578125" defaultRowHeight="15" x14ac:dyDescent="0.25"/>
  <cols>
    <col min="1" max="1" width="38.7109375" bestFit="1" customWidth="1"/>
    <col min="2" max="2" width="94.42578125" bestFit="1" customWidth="1"/>
    <col min="3" max="3" width="95.85546875" customWidth="1"/>
  </cols>
  <sheetData>
    <row r="1" spans="1:3" ht="15.75" x14ac:dyDescent="0.25">
      <c r="A1" s="19" t="s">
        <v>6515</v>
      </c>
      <c r="B1" s="19" t="s">
        <v>4393</v>
      </c>
      <c r="C1" s="19" t="s">
        <v>6516</v>
      </c>
    </row>
    <row r="2" spans="1:3" x14ac:dyDescent="0.25">
      <c r="A2" t="s">
        <v>137</v>
      </c>
      <c r="B2" s="110" t="str">
        <f>HYPERLINK("#'Data_Analysis_nonBNF'!A1", "accommodation_ownership_overall_D_35_by_hh_type")</f>
        <v>accommodation_ownership_overall_D_35_by_hh_type</v>
      </c>
      <c r="C2" t="s">
        <v>7125</v>
      </c>
    </row>
    <row r="3" spans="1:3" x14ac:dyDescent="0.25">
      <c r="A3" t="s">
        <v>137</v>
      </c>
      <c r="B3" s="110" t="str">
        <f>HYPERLINK("#'Data_Analysis_nonBNF'!A7", "accommodation_ownership_overall_D_37_by_refugee")</f>
        <v>accommodation_ownership_overall_D_37_by_refugee</v>
      </c>
      <c r="C3" t="s">
        <v>7126</v>
      </c>
    </row>
    <row r="4" spans="1:3" x14ac:dyDescent="0.25">
      <c r="A4" t="s">
        <v>137</v>
      </c>
      <c r="B4" s="110" t="str">
        <f>HYPERLINK("#'Data_Analysis_nonBNF'!A13", "accommodation_ownership_rural_urban_36")</f>
        <v>accommodation_ownership_rural_urban_36</v>
      </c>
      <c r="C4" t="s">
        <v>7127</v>
      </c>
    </row>
    <row r="5" spans="1:3" x14ac:dyDescent="0.25">
      <c r="A5" t="s">
        <v>137</v>
      </c>
      <c r="B5" s="110" t="str">
        <f>HYPERLINK("#'Data_Analysis_nonBNF'!A19", "accommodation_type_overall_D_33_by_hh_type")</f>
        <v>accommodation_type_overall_D_33_by_hh_type</v>
      </c>
      <c r="C5" t="s">
        <v>7128</v>
      </c>
    </row>
    <row r="6" spans="1:3" x14ac:dyDescent="0.25">
      <c r="A6" t="s">
        <v>137</v>
      </c>
      <c r="B6" s="110" t="str">
        <f>HYPERLINK("#'Data_Analysis_nonBNF'!A25", "accommodation_type_rural_urban_34")</f>
        <v>accommodation_type_rural_urban_34</v>
      </c>
      <c r="C6" t="s">
        <v>7129</v>
      </c>
    </row>
    <row r="7" spans="1:3" x14ac:dyDescent="0.25">
      <c r="A7" t="s">
        <v>7124</v>
      </c>
      <c r="B7" s="110" t="str">
        <f>HYPERLINK("#'Data_Analysis_nonBNF'!A31", "add_assistance_overall_D_386_by_hh_type")</f>
        <v>add_assistance_overall_D_386_by_hh_type</v>
      </c>
      <c r="C7" t="s">
        <v>7130</v>
      </c>
    </row>
    <row r="8" spans="1:3" x14ac:dyDescent="0.25">
      <c r="A8" t="s">
        <v>7124</v>
      </c>
      <c r="B8" s="110" t="str">
        <f>HYPERLINK("#'Data_Analysis_nonBNF'!A37", "add_assistance_overall_D_388_by_hh_composition")</f>
        <v>add_assistance_overall_D_388_by_hh_composition</v>
      </c>
      <c r="C8" t="s">
        <v>7131</v>
      </c>
    </row>
    <row r="9" spans="1:3" x14ac:dyDescent="0.25">
      <c r="A9" t="s">
        <v>7124</v>
      </c>
      <c r="B9" s="110" t="str">
        <f>HYPERLINK("#'Data_Analysis_nonBNF'!A48", "add_assistance_overall_D_389_by_hh_with_pwd")</f>
        <v>add_assistance_overall_D_389_by_hh_with_pwd</v>
      </c>
      <c r="C9" t="s">
        <v>7132</v>
      </c>
    </row>
    <row r="10" spans="1:3" x14ac:dyDescent="0.25">
      <c r="A10" t="s">
        <v>7124</v>
      </c>
      <c r="B10" s="110" t="str">
        <f>HYPERLINK("#'Data_Analysis_nonBNF'!A54", "add_assistance_overall_D_390_by_hh_heating_systems")</f>
        <v>add_assistance_overall_D_390_by_hh_heating_systems</v>
      </c>
      <c r="C10" t="s">
        <v>7133</v>
      </c>
    </row>
    <row r="11" spans="1:3" x14ac:dyDescent="0.25">
      <c r="A11" t="s">
        <v>7124</v>
      </c>
      <c r="B11" s="110" t="str">
        <f>HYPERLINK("#'Data_Analysis_nonBNF'!A63", "add_assistance_rural_urban_387")</f>
        <v>add_assistance_rural_urban_387</v>
      </c>
      <c r="C11" t="s">
        <v>7134</v>
      </c>
    </row>
    <row r="12" spans="1:3" x14ac:dyDescent="0.25">
      <c r="A12" t="s">
        <v>6520</v>
      </c>
      <c r="B12" s="110" t="str">
        <f>HYPERLINK("#'Data_Analysis_nonBNF'!A69", "affected_health_how_overall_D_314_by_hh_type")</f>
        <v>affected_health_how_overall_D_314_by_hh_type</v>
      </c>
      <c r="C12" t="s">
        <v>7135</v>
      </c>
    </row>
    <row r="13" spans="1:3" x14ac:dyDescent="0.25">
      <c r="A13" t="s">
        <v>6520</v>
      </c>
      <c r="B13" s="110" t="str">
        <f>HYPERLINK("#'Data_Analysis_nonBNF'!A75", "affected_health_overall_D_312_by_hh_type")</f>
        <v>affected_health_overall_D_312_by_hh_type</v>
      </c>
      <c r="C13" t="s">
        <v>7136</v>
      </c>
    </row>
    <row r="14" spans="1:3" x14ac:dyDescent="0.25">
      <c r="A14" t="s">
        <v>6520</v>
      </c>
      <c r="B14" s="110" t="str">
        <f>HYPERLINK("#'Data_Analysis_nonBNF'!A81", "affected_health_rural_urban_313")</f>
        <v>affected_health_rural_urban_313</v>
      </c>
      <c r="C14" t="s">
        <v>7137</v>
      </c>
    </row>
    <row r="15" spans="1:3" x14ac:dyDescent="0.25">
      <c r="A15" t="s">
        <v>6521</v>
      </c>
      <c r="B15" s="110" t="str">
        <f>HYPERLINK("#'Data_Analysis_nonBNF'!A87", "application_dissatisfaction_overall_D_224_by_hh_with_pwd")</f>
        <v>application_dissatisfaction_overall_D_224_by_hh_with_pwd</v>
      </c>
      <c r="C15" t="s">
        <v>7138</v>
      </c>
    </row>
    <row r="16" spans="1:3" x14ac:dyDescent="0.25">
      <c r="A16" t="s">
        <v>6521</v>
      </c>
      <c r="B16" s="110" t="str">
        <f>HYPERLINK("#'Data_Analysis_nonBNF'!A93", "application_satisfaction_overall_D_219_by_hh_type")</f>
        <v>application_satisfaction_overall_D_219_by_hh_type</v>
      </c>
      <c r="C16" t="s">
        <v>7139</v>
      </c>
    </row>
    <row r="17" spans="1:3" x14ac:dyDescent="0.25">
      <c r="A17" t="s">
        <v>6521</v>
      </c>
      <c r="B17" s="110" t="str">
        <f>HYPERLINK("#'Data_Analysis_nonBNF'!A99", "application_satisfaction_overall_D_221_by_hh_composition")</f>
        <v>application_satisfaction_overall_D_221_by_hh_composition</v>
      </c>
      <c r="C17" t="s">
        <v>7140</v>
      </c>
    </row>
    <row r="18" spans="1:3" x14ac:dyDescent="0.25">
      <c r="A18" t="s">
        <v>6521</v>
      </c>
      <c r="B18" s="110" t="str">
        <f>HYPERLINK("#'Data_Analysis_nonBNF'!A110", "application_satisfaction_overall_D_222_by_hh_with_pwd")</f>
        <v>application_satisfaction_overall_D_222_by_hh_with_pwd</v>
      </c>
      <c r="C18" t="s">
        <v>7141</v>
      </c>
    </row>
    <row r="19" spans="1:3" x14ac:dyDescent="0.25">
      <c r="A19" t="s">
        <v>6521</v>
      </c>
      <c r="B19" s="110" t="str">
        <f>HYPERLINK("#'Data_Analysis_nonBNF'!A116", "application_satisfaction_overall_D_223_by_applied_evrf_how")</f>
        <v>application_satisfaction_overall_D_223_by_applied_evrf_how</v>
      </c>
      <c r="C19" t="s">
        <v>7142</v>
      </c>
    </row>
    <row r="20" spans="1:3" x14ac:dyDescent="0.25">
      <c r="A20" t="s">
        <v>6521</v>
      </c>
      <c r="B20" s="110" t="str">
        <f>HYPERLINK("#'Data_Analysis_nonBNF'!A122", "application_satisfaction_rural_urban_220")</f>
        <v>application_satisfaction_rural_urban_220</v>
      </c>
      <c r="C20" t="s">
        <v>7143</v>
      </c>
    </row>
    <row r="21" spans="1:3" x14ac:dyDescent="0.25">
      <c r="A21" t="s">
        <v>6521</v>
      </c>
      <c r="B21" s="110" t="str">
        <f>HYPERLINK("#'Data_Analysis_nonBNF'!A128", "applied_evrf_how_overall_D_215_by_hh_type")</f>
        <v>applied_evrf_how_overall_D_215_by_hh_type</v>
      </c>
      <c r="C21" t="s">
        <v>7144</v>
      </c>
    </row>
    <row r="22" spans="1:3" x14ac:dyDescent="0.25">
      <c r="A22" t="s">
        <v>6521</v>
      </c>
      <c r="B22" s="110" t="str">
        <f>HYPERLINK("#'Data_Analysis_nonBNF'!A134", "applied_evrf_how_overall_D_217_by_hh_composition")</f>
        <v>applied_evrf_how_overall_D_217_by_hh_composition</v>
      </c>
      <c r="C22" t="s">
        <v>7145</v>
      </c>
    </row>
    <row r="23" spans="1:3" x14ac:dyDescent="0.25">
      <c r="A23" t="s">
        <v>6521</v>
      </c>
      <c r="B23" s="110" t="str">
        <f>HYPERLINK("#'Data_Analysis_nonBNF'!A145", "applied_evrf_how_overall_D_218_by_hh_with_pwd")</f>
        <v>applied_evrf_how_overall_D_218_by_hh_with_pwd</v>
      </c>
      <c r="C23" t="s">
        <v>7146</v>
      </c>
    </row>
    <row r="24" spans="1:3" x14ac:dyDescent="0.25">
      <c r="A24" t="s">
        <v>6521</v>
      </c>
      <c r="B24" s="110" t="str">
        <f>HYPERLINK("#'Data_Analysis_nonBNF'!A151", "applied_evrf_how_rural_urban_216")</f>
        <v>applied_evrf_how_rural_urban_216</v>
      </c>
      <c r="C24" t="s">
        <v>7147</v>
      </c>
    </row>
    <row r="25" spans="1:3" x14ac:dyDescent="0.25">
      <c r="A25" t="s">
        <v>6522</v>
      </c>
      <c r="B25" s="110" t="str">
        <f>HYPERLINK("#'Data_Analysis_nonBNF'!A157", "aver_monthly_expense_overall_D_50_by_hh_type")</f>
        <v>aver_monthly_expense_overall_D_50_by_hh_type</v>
      </c>
      <c r="C25" t="s">
        <v>7148</v>
      </c>
    </row>
    <row r="26" spans="1:3" x14ac:dyDescent="0.25">
      <c r="A26" t="s">
        <v>6522</v>
      </c>
      <c r="B26" s="110" t="str">
        <f>HYPERLINK("#'Data_Analysis_nonBNF'!A162", "aver_monthly_expense_rural_urban_51")</f>
        <v>aver_monthly_expense_rural_urban_51</v>
      </c>
      <c r="C26" t="s">
        <v>7149</v>
      </c>
    </row>
    <row r="27" spans="1:3" x14ac:dyDescent="0.25">
      <c r="A27" t="s">
        <v>6522</v>
      </c>
      <c r="B27" s="110" t="str">
        <f>HYPERLINK("#'Data_Analysis_nonBNF'!A168", "aver_monthly_income_overall_D_42_by_hh_type")</f>
        <v>aver_monthly_income_overall_D_42_by_hh_type</v>
      </c>
      <c r="C27" t="s">
        <v>7150</v>
      </c>
    </row>
    <row r="28" spans="1:3" x14ac:dyDescent="0.25">
      <c r="A28" t="s">
        <v>6522</v>
      </c>
      <c r="B28" s="110" t="str">
        <f>HYPERLINK("#'Data_Analysis_nonBNF'!A173", "aver_monthly_income_range_overall_D_44_by_hh_type")</f>
        <v>aver_monthly_income_range_overall_D_44_by_hh_type</v>
      </c>
      <c r="C28" t="s">
        <v>7151</v>
      </c>
    </row>
    <row r="29" spans="1:3" x14ac:dyDescent="0.25">
      <c r="A29" t="s">
        <v>6522</v>
      </c>
      <c r="B29" s="110" t="str">
        <f>HYPERLINK("#'Data_Analysis_nonBNF'!A179", "aver_monthly_income_range_overall_D_46_by_hh_size_range")</f>
        <v>aver_monthly_income_range_overall_D_46_by_hh_size_range</v>
      </c>
      <c r="C29" t="s">
        <v>7152</v>
      </c>
    </row>
    <row r="30" spans="1:3" x14ac:dyDescent="0.25">
      <c r="A30" t="s">
        <v>6522</v>
      </c>
      <c r="B30" s="110" t="str">
        <f>HYPERLINK("#'Data_Analysis_nonBNF'!A186", "aver_monthly_income_range_overall_D_47_by_hh_composition")</f>
        <v>aver_monthly_income_range_overall_D_47_by_hh_composition</v>
      </c>
      <c r="C30" t="s">
        <v>7153</v>
      </c>
    </row>
    <row r="31" spans="1:3" x14ac:dyDescent="0.25">
      <c r="A31" t="s">
        <v>6522</v>
      </c>
      <c r="B31" s="110" t="str">
        <f>HYPERLINK("#'Data_Analysis_nonBNF'!A197", "aver_monthly_income_range_overall_D_48_by_hh_with_pwd")</f>
        <v>aver_monthly_income_range_overall_D_48_by_hh_with_pwd</v>
      </c>
      <c r="C31" t="s">
        <v>7154</v>
      </c>
    </row>
    <row r="32" spans="1:3" x14ac:dyDescent="0.25">
      <c r="A32" t="s">
        <v>6522</v>
      </c>
      <c r="B32" s="110" t="str">
        <f>HYPERLINK("#'Data_Analysis_nonBNF'!A203", "aver_monthly_income_range_overall_D_49_by_nr_ppl_earning_income_range")</f>
        <v>aver_monthly_income_range_overall_D_49_by_nr_ppl_earning_income_range</v>
      </c>
      <c r="C32" t="s">
        <v>7155</v>
      </c>
    </row>
    <row r="33" spans="1:3" x14ac:dyDescent="0.25">
      <c r="A33" t="s">
        <v>6522</v>
      </c>
      <c r="B33" s="110" t="str">
        <f>HYPERLINK("#'Data_Analysis_nonBNF'!A211", "aver_monthly_income_range_rural_urban_45")</f>
        <v>aver_monthly_income_range_rural_urban_45</v>
      </c>
      <c r="C33" t="s">
        <v>7156</v>
      </c>
    </row>
    <row r="34" spans="1:3" x14ac:dyDescent="0.25">
      <c r="A34" t="s">
        <v>6522</v>
      </c>
      <c r="B34" s="110" t="str">
        <f>HYPERLINK("#'Data_Analysis_nonBNF'!A217", "aver_monthly_income_rural_urban_43")</f>
        <v>aver_monthly_income_rural_urban_43</v>
      </c>
      <c r="C34" t="s">
        <v>7157</v>
      </c>
    </row>
    <row r="35" spans="1:3" x14ac:dyDescent="0.25">
      <c r="A35" t="s">
        <v>6521</v>
      </c>
      <c r="B35" s="110" t="str">
        <f>HYPERLINK("#'Data_Analysis_nonBNF'!A223", "aware_of_evrf_how_overall_D_197_by_hh_type")</f>
        <v>aware_of_evrf_how_overall_D_197_by_hh_type</v>
      </c>
      <c r="C35" t="s">
        <v>7158</v>
      </c>
    </row>
    <row r="36" spans="1:3" x14ac:dyDescent="0.25">
      <c r="A36" t="s">
        <v>6521</v>
      </c>
      <c r="B36" s="110" t="str">
        <f>HYPERLINK("#'Data_Analysis_nonBNF'!A229", "aware_of_evrf_how_overall_D_199_by_resp_age_range")</f>
        <v>aware_of_evrf_how_overall_D_199_by_resp_age_range</v>
      </c>
      <c r="C36" t="s">
        <v>7159</v>
      </c>
    </row>
    <row r="37" spans="1:3" x14ac:dyDescent="0.25">
      <c r="A37" t="s">
        <v>6521</v>
      </c>
      <c r="B37" s="110" t="str">
        <f>HYPERLINK("#'Data_Analysis_nonBNF'!A236", "aware_of_evrf_how_overall_D_200_by_hh_with_pwd")</f>
        <v>aware_of_evrf_how_overall_D_200_by_hh_with_pwd</v>
      </c>
      <c r="C37" t="s">
        <v>7160</v>
      </c>
    </row>
    <row r="38" spans="1:3" x14ac:dyDescent="0.25">
      <c r="A38" t="s">
        <v>6521</v>
      </c>
      <c r="B38" s="110" t="str">
        <f>HYPERLINK("#'Data_Analysis_nonBNF'!A242", "aware_of_evrf_how_rural_urban_198")</f>
        <v>aware_of_evrf_how_rural_urban_198</v>
      </c>
      <c r="C38" t="s">
        <v>7161</v>
      </c>
    </row>
    <row r="39" spans="1:3" x14ac:dyDescent="0.25">
      <c r="A39" t="s">
        <v>779</v>
      </c>
      <c r="B39" s="110" t="str">
        <f>HYPERLINK("#'Data_Analysis_nonBNF'!A248", "cannot_meet_needs_overall_380")</f>
        <v>cannot_meet_needs_overall_380</v>
      </c>
      <c r="C39" t="s">
        <v>7162</v>
      </c>
    </row>
    <row r="40" spans="1:3" x14ac:dyDescent="0.25">
      <c r="A40" t="s">
        <v>779</v>
      </c>
      <c r="B40" s="110" t="str">
        <f>HYPERLINK("#'Data_Analysis_nonBNF'!A252", "cannot_meet_needs_overall_D_381_by_hh_type")</f>
        <v>cannot_meet_needs_overall_D_381_by_hh_type</v>
      </c>
      <c r="C40" t="s">
        <v>7163</v>
      </c>
    </row>
    <row r="41" spans="1:3" x14ac:dyDescent="0.25">
      <c r="A41" t="s">
        <v>779</v>
      </c>
      <c r="B41" s="110" t="str">
        <f>HYPERLINK("#'Data_Analysis_nonBNF'!A258", "cannot_meet_needs_overall_D_383_by_hh_composition")</f>
        <v>cannot_meet_needs_overall_D_383_by_hh_composition</v>
      </c>
      <c r="C41" t="s">
        <v>7164</v>
      </c>
    </row>
    <row r="42" spans="1:3" x14ac:dyDescent="0.25">
      <c r="A42" t="s">
        <v>779</v>
      </c>
      <c r="B42" s="110" t="str">
        <f>HYPERLINK("#'Data_Analysis_nonBNF'!A268", "cannot_meet_needs_overall_D_384_by_hh_with_pwd")</f>
        <v>cannot_meet_needs_overall_D_384_by_hh_with_pwd</v>
      </c>
      <c r="C42" t="s">
        <v>7165</v>
      </c>
    </row>
    <row r="43" spans="1:3" x14ac:dyDescent="0.25">
      <c r="A43" t="s">
        <v>779</v>
      </c>
      <c r="B43" s="110" t="str">
        <f>HYPERLINK("#'Data_Analysis_nonBNF'!A274", "cannot_meet_needs_overall_D_385_by_aver_monthly_income_range")</f>
        <v>cannot_meet_needs_overall_D_385_by_aver_monthly_income_range</v>
      </c>
      <c r="C43" t="s">
        <v>7166</v>
      </c>
    </row>
    <row r="44" spans="1:3" x14ac:dyDescent="0.25">
      <c r="A44" t="s">
        <v>779</v>
      </c>
      <c r="B44" s="110" t="str">
        <f>HYPERLINK("#'Data_Analysis_nonBNF'!A285", "cannot_meet_needs_rural_urban_382")</f>
        <v>cannot_meet_needs_rural_urban_382</v>
      </c>
      <c r="C44" t="s">
        <v>7167</v>
      </c>
    </row>
    <row r="45" spans="1:3" x14ac:dyDescent="0.25">
      <c r="A45" t="s">
        <v>6523</v>
      </c>
      <c r="B45" s="110" t="str">
        <f>HYPERLINK("#'Data_Analysis_nonBNF'!A291", "cost_energy_dec_overall_D_173_by_hh_type")</f>
        <v>cost_energy_dec_overall_D_173_by_hh_type</v>
      </c>
      <c r="C45" t="s">
        <v>7168</v>
      </c>
    </row>
    <row r="46" spans="1:3" x14ac:dyDescent="0.25">
      <c r="A46" t="s">
        <v>6523</v>
      </c>
      <c r="B46" s="110" t="str">
        <f>HYPERLINK("#'Data_Analysis_nonBNF'!A296", "cost_energy_dec_overall_D_175_by_hh_composition")</f>
        <v>cost_energy_dec_overall_D_175_by_hh_composition</v>
      </c>
      <c r="C46" t="s">
        <v>7169</v>
      </c>
    </row>
    <row r="47" spans="1:3" x14ac:dyDescent="0.25">
      <c r="A47" t="s">
        <v>6523</v>
      </c>
      <c r="B47" s="110" t="str">
        <f>HYPERLINK("#'Data_Analysis_nonBNF'!A305", "cost_energy_dec_overall_D_176_by_hh_with_pwd")</f>
        <v>cost_energy_dec_overall_D_176_by_hh_with_pwd</v>
      </c>
      <c r="C47" t="s">
        <v>7170</v>
      </c>
    </row>
    <row r="48" spans="1:3" x14ac:dyDescent="0.25">
      <c r="A48" t="s">
        <v>6523</v>
      </c>
      <c r="B48" s="110" t="str">
        <f>HYPERLINK("#'Data_Analysis_nonBNF'!A310", "cost_energy_dec_overall_D_177_by_aver_monthly_income_range")</f>
        <v>cost_energy_dec_overall_D_177_by_aver_monthly_income_range</v>
      </c>
      <c r="C48" t="s">
        <v>7171</v>
      </c>
    </row>
    <row r="49" spans="1:3" x14ac:dyDescent="0.25">
      <c r="A49" t="s">
        <v>6523</v>
      </c>
      <c r="B49" s="110" t="str">
        <f>HYPERLINK("#'Data_Analysis_nonBNF'!A320", "cost_energy_dec_overall_D_178_by_heat_system_primary")</f>
        <v>cost_energy_dec_overall_D_178_by_heat_system_primary</v>
      </c>
      <c r="C49" t="s">
        <v>7172</v>
      </c>
    </row>
    <row r="50" spans="1:3" x14ac:dyDescent="0.25">
      <c r="A50" t="s">
        <v>6523</v>
      </c>
      <c r="B50" s="110" t="str">
        <f>HYPERLINK("#'Data_Analysis_nonBNF'!A327", "cost_energy_dec_overall_D_179_by_hh_heating_systems")</f>
        <v>cost_energy_dec_overall_D_179_by_hh_heating_systems</v>
      </c>
      <c r="C50" t="s">
        <v>7173</v>
      </c>
    </row>
    <row r="51" spans="1:3" x14ac:dyDescent="0.25">
      <c r="A51" t="s">
        <v>6523</v>
      </c>
      <c r="B51" s="110" t="str">
        <f>HYPERLINK("#'Data_Analysis_nonBNF'!A335", "cost_energy_dec_rural_urban_174")</f>
        <v>cost_energy_dec_rural_urban_174</v>
      </c>
      <c r="C51" t="s">
        <v>7174</v>
      </c>
    </row>
    <row r="52" spans="1:3" x14ac:dyDescent="0.25">
      <c r="A52" t="s">
        <v>6524</v>
      </c>
      <c r="B52" s="110" t="str">
        <f>HYPERLINK("#'Data_Analysis_nonBNF'!A341", "cost_energy_nov_overall_D_124_by_hh_type")</f>
        <v>cost_energy_nov_overall_D_124_by_hh_type</v>
      </c>
      <c r="C52" t="s">
        <v>7175</v>
      </c>
    </row>
    <row r="53" spans="1:3" x14ac:dyDescent="0.25">
      <c r="A53" t="s">
        <v>6524</v>
      </c>
      <c r="B53" s="110" t="str">
        <f>HYPERLINK("#'Data_Analysis_nonBNF'!A346", "cost_energy_nov_overall_D_126_by_hh_size_range")</f>
        <v>cost_energy_nov_overall_D_126_by_hh_size_range</v>
      </c>
      <c r="C53" t="s">
        <v>7176</v>
      </c>
    </row>
    <row r="54" spans="1:3" x14ac:dyDescent="0.25">
      <c r="A54" t="s">
        <v>6524</v>
      </c>
      <c r="B54" s="110" t="str">
        <f>HYPERLINK("#'Data_Analysis_nonBNF'!A352", "cost_energy_nov_overall_D_127_by_hh_composition")</f>
        <v>cost_energy_nov_overall_D_127_by_hh_composition</v>
      </c>
      <c r="C54" t="s">
        <v>7177</v>
      </c>
    </row>
    <row r="55" spans="1:3" x14ac:dyDescent="0.25">
      <c r="A55" t="s">
        <v>6524</v>
      </c>
      <c r="B55" s="110" t="str">
        <f>HYPERLINK("#'Data_Analysis_nonBNF'!A362", "cost_energy_nov_overall_D_128_by_hh_with_pwd")</f>
        <v>cost_energy_nov_overall_D_128_by_hh_with_pwd</v>
      </c>
      <c r="C55" t="s">
        <v>7178</v>
      </c>
    </row>
    <row r="56" spans="1:3" x14ac:dyDescent="0.25">
      <c r="A56" t="s">
        <v>6524</v>
      </c>
      <c r="B56" s="110" t="str">
        <f>HYPERLINK("#'Data_Analysis_nonBNF'!A367", "cost_energy_nov_overall_D_129_by_aver_monthly_income_range")</f>
        <v>cost_energy_nov_overall_D_129_by_aver_monthly_income_range</v>
      </c>
      <c r="C56" t="s">
        <v>7179</v>
      </c>
    </row>
    <row r="57" spans="1:3" x14ac:dyDescent="0.25">
      <c r="A57" t="s">
        <v>6524</v>
      </c>
      <c r="B57" s="110" t="str">
        <f>HYPERLINK("#'Data_Analysis_nonBNF'!A377", "cost_energy_nov_overall_D_130_by_heat_system_primary")</f>
        <v>cost_energy_nov_overall_D_130_by_heat_system_primary</v>
      </c>
      <c r="C57" t="s">
        <v>7180</v>
      </c>
    </row>
    <row r="58" spans="1:3" x14ac:dyDescent="0.25">
      <c r="A58" t="s">
        <v>6524</v>
      </c>
      <c r="B58" s="110" t="str">
        <f>HYPERLINK("#'Data_Analysis_nonBNF'!A384", "cost_energy_nov_overall_D_131_by_hh_heating_systems")</f>
        <v>cost_energy_nov_overall_D_131_by_hh_heating_systems</v>
      </c>
      <c r="C58" t="s">
        <v>7181</v>
      </c>
    </row>
    <row r="59" spans="1:3" x14ac:dyDescent="0.25">
      <c r="A59" t="s">
        <v>6524</v>
      </c>
      <c r="B59" s="110" t="str">
        <f>HYPERLINK("#'Data_Analysis_nonBNF'!A392", "cost_energy_nov_rural_urban_125")</f>
        <v>cost_energy_nov_rural_urban_125</v>
      </c>
      <c r="C59" t="s">
        <v>7182</v>
      </c>
    </row>
    <row r="60" spans="1:3" x14ac:dyDescent="0.25">
      <c r="A60" t="s">
        <v>6523</v>
      </c>
      <c r="B60" s="110" t="str">
        <f>HYPERLINK("#'Data_Analysis_nonBNF'!A398", "cost_gas_dec_overall_D_157_by_hh_type")</f>
        <v>cost_gas_dec_overall_D_157_by_hh_type</v>
      </c>
      <c r="C60" t="s">
        <v>7183</v>
      </c>
    </row>
    <row r="61" spans="1:3" x14ac:dyDescent="0.25">
      <c r="A61" t="s">
        <v>6523</v>
      </c>
      <c r="B61" s="110" t="str">
        <f>HYPERLINK("#'Data_Analysis_nonBNF'!A403", "cost_gas_dec_overall_D_159_by_hh_size_range")</f>
        <v>cost_gas_dec_overall_D_159_by_hh_size_range</v>
      </c>
      <c r="C61" t="s">
        <v>7184</v>
      </c>
    </row>
    <row r="62" spans="1:3" x14ac:dyDescent="0.25">
      <c r="A62" t="s">
        <v>6523</v>
      </c>
      <c r="B62" s="110" t="str">
        <f>HYPERLINK("#'Data_Analysis_nonBNF'!A409", "cost_gas_dec_overall_D_160_by_hh_composition")</f>
        <v>cost_gas_dec_overall_D_160_by_hh_composition</v>
      </c>
      <c r="C62" t="s">
        <v>7185</v>
      </c>
    </row>
    <row r="63" spans="1:3" x14ac:dyDescent="0.25">
      <c r="A63" t="s">
        <v>6523</v>
      </c>
      <c r="B63" s="110" t="str">
        <f>HYPERLINK("#'Data_Analysis_nonBNF'!A418", "cost_gas_dec_overall_D_161_by_hh_with_pwd")</f>
        <v>cost_gas_dec_overall_D_161_by_hh_with_pwd</v>
      </c>
      <c r="C63" t="s">
        <v>7186</v>
      </c>
    </row>
    <row r="64" spans="1:3" x14ac:dyDescent="0.25">
      <c r="A64" t="s">
        <v>6523</v>
      </c>
      <c r="B64" s="110" t="str">
        <f>HYPERLINK("#'Data_Analysis_nonBNF'!A423", "cost_gas_dec_overall_D_162_by_aver_monthly_income_range")</f>
        <v>cost_gas_dec_overall_D_162_by_aver_monthly_income_range</v>
      </c>
      <c r="C64" t="s">
        <v>7187</v>
      </c>
    </row>
    <row r="65" spans="1:3" x14ac:dyDescent="0.25">
      <c r="A65" t="s">
        <v>6523</v>
      </c>
      <c r="B65" s="110" t="str">
        <f>HYPERLINK("#'Data_Analysis_nonBNF'!A433", "cost_gas_dec_overall_D_163_by_heat_system_primary")</f>
        <v>cost_gas_dec_overall_D_163_by_heat_system_primary</v>
      </c>
      <c r="C65" t="s">
        <v>7188</v>
      </c>
    </row>
    <row r="66" spans="1:3" x14ac:dyDescent="0.25">
      <c r="A66" t="s">
        <v>6523</v>
      </c>
      <c r="B66" s="110" t="str">
        <f>HYPERLINK("#'Data_Analysis_nonBNF'!A440", "cost_gas_dec_overall_D_164_by_hh_heating_systems")</f>
        <v>cost_gas_dec_overall_D_164_by_hh_heating_systems</v>
      </c>
      <c r="C66" t="s">
        <v>7189</v>
      </c>
    </row>
    <row r="67" spans="1:3" x14ac:dyDescent="0.25">
      <c r="A67" t="s">
        <v>6523</v>
      </c>
      <c r="B67" s="110" t="str">
        <f>HYPERLINK("#'Data_Analysis_nonBNF'!A448", "cost_gas_dec_rural_urban_158")</f>
        <v>cost_gas_dec_rural_urban_158</v>
      </c>
      <c r="C67" t="s">
        <v>7190</v>
      </c>
    </row>
    <row r="68" spans="1:3" x14ac:dyDescent="0.25">
      <c r="A68" t="s">
        <v>6524</v>
      </c>
      <c r="B68" s="110" t="str">
        <f>HYPERLINK("#'Data_Analysis_nonBNF'!A454", "cost_gas_nov_overall_D_107_by_hh_type")</f>
        <v>cost_gas_nov_overall_D_107_by_hh_type</v>
      </c>
      <c r="C68" t="s">
        <v>7191</v>
      </c>
    </row>
    <row r="69" spans="1:3" x14ac:dyDescent="0.25">
      <c r="A69" t="s">
        <v>6524</v>
      </c>
      <c r="B69" s="110" t="str">
        <f>HYPERLINK("#'Data_Analysis_nonBNF'!A459", "cost_gas_nov_overall_D_109_by_hh_size_range")</f>
        <v>cost_gas_nov_overall_D_109_by_hh_size_range</v>
      </c>
      <c r="C69" t="s">
        <v>7192</v>
      </c>
    </row>
    <row r="70" spans="1:3" x14ac:dyDescent="0.25">
      <c r="A70" t="s">
        <v>6524</v>
      </c>
      <c r="B70" s="110" t="str">
        <f>HYPERLINK("#'Data_Analysis_nonBNF'!A465", "cost_gas_nov_overall_D_110_by_hh_composition")</f>
        <v>cost_gas_nov_overall_D_110_by_hh_composition</v>
      </c>
      <c r="C70" t="s">
        <v>7193</v>
      </c>
    </row>
    <row r="71" spans="1:3" x14ac:dyDescent="0.25">
      <c r="A71" t="s">
        <v>6524</v>
      </c>
      <c r="B71" s="110" t="str">
        <f>HYPERLINK("#'Data_Analysis_nonBNF'!A475", "cost_gas_nov_overall_D_111_by_hh_with_pwd")</f>
        <v>cost_gas_nov_overall_D_111_by_hh_with_pwd</v>
      </c>
      <c r="C71" t="s">
        <v>7194</v>
      </c>
    </row>
    <row r="72" spans="1:3" x14ac:dyDescent="0.25">
      <c r="A72" t="s">
        <v>6524</v>
      </c>
      <c r="B72" s="110" t="str">
        <f>HYPERLINK("#'Data_Analysis_nonBNF'!A480", "cost_gas_nov_overall_D_112_by_aver_monthly_income_range")</f>
        <v>cost_gas_nov_overall_D_112_by_aver_monthly_income_range</v>
      </c>
      <c r="C72" t="s">
        <v>7195</v>
      </c>
    </row>
    <row r="73" spans="1:3" x14ac:dyDescent="0.25">
      <c r="A73" t="s">
        <v>6524</v>
      </c>
      <c r="B73" s="110" t="str">
        <f>HYPERLINK("#'Data_Analysis_nonBNF'!A490", "cost_gas_nov_overall_D_113_by_heat_system_primary")</f>
        <v>cost_gas_nov_overall_D_113_by_heat_system_primary</v>
      </c>
      <c r="C73" t="s">
        <v>7196</v>
      </c>
    </row>
    <row r="74" spans="1:3" x14ac:dyDescent="0.25">
      <c r="A74" t="s">
        <v>6524</v>
      </c>
      <c r="B74" s="110" t="str">
        <f>HYPERLINK("#'Data_Analysis_nonBNF'!A497", "cost_gas_nov_overall_D_114_by_hh_heating_systems")</f>
        <v>cost_gas_nov_overall_D_114_by_hh_heating_systems</v>
      </c>
      <c r="C74" t="s">
        <v>7197</v>
      </c>
    </row>
    <row r="75" spans="1:3" x14ac:dyDescent="0.25">
      <c r="A75" t="s">
        <v>6524</v>
      </c>
      <c r="B75" s="110" t="str">
        <f>HYPERLINK("#'Data_Analysis_nonBNF'!A505", "cost_gas_nov_rural_urban_108")</f>
        <v>cost_gas_nov_rural_urban_108</v>
      </c>
      <c r="C75" t="s">
        <v>7198</v>
      </c>
    </row>
    <row r="76" spans="1:3" x14ac:dyDescent="0.25">
      <c r="A76" t="s">
        <v>6523</v>
      </c>
      <c r="B76" s="110" t="str">
        <f>HYPERLINK("#'Data_Analysis_nonBNF'!A511", "cost_heat_dec_overall_D_166_by_hh_type")</f>
        <v>cost_heat_dec_overall_D_166_by_hh_type</v>
      </c>
      <c r="C76" t="s">
        <v>7199</v>
      </c>
    </row>
    <row r="77" spans="1:3" x14ac:dyDescent="0.25">
      <c r="A77" t="s">
        <v>6523</v>
      </c>
      <c r="B77" s="110" t="str">
        <f>HYPERLINK("#'Data_Analysis_nonBNF'!A516", "cost_heat_dec_overall_D_168_by_hh_composition")</f>
        <v>cost_heat_dec_overall_D_168_by_hh_composition</v>
      </c>
      <c r="C77" t="s">
        <v>7200</v>
      </c>
    </row>
    <row r="78" spans="1:3" x14ac:dyDescent="0.25">
      <c r="A78" t="s">
        <v>6523</v>
      </c>
      <c r="B78" s="110" t="str">
        <f>HYPERLINK("#'Data_Analysis_nonBNF'!A525", "cost_heat_dec_overall_D_169_by_hh_with_pwd")</f>
        <v>cost_heat_dec_overall_D_169_by_hh_with_pwd</v>
      </c>
      <c r="C78" t="s">
        <v>7201</v>
      </c>
    </row>
    <row r="79" spans="1:3" x14ac:dyDescent="0.25">
      <c r="A79" t="s">
        <v>6523</v>
      </c>
      <c r="B79" s="110" t="str">
        <f>HYPERLINK("#'Data_Analysis_nonBNF'!A530", "cost_heat_dec_overall_D_170_by_aver_monthly_income_range")</f>
        <v>cost_heat_dec_overall_D_170_by_aver_monthly_income_range</v>
      </c>
      <c r="C79" t="s">
        <v>7202</v>
      </c>
    </row>
    <row r="80" spans="1:3" x14ac:dyDescent="0.25">
      <c r="A80" t="s">
        <v>6523</v>
      </c>
      <c r="B80" s="110" t="str">
        <f>HYPERLINK("#'Data_Analysis_nonBNF'!A540", "cost_heat_dec_overall_D_171_by_heat_system_primary")</f>
        <v>cost_heat_dec_overall_D_171_by_heat_system_primary</v>
      </c>
      <c r="C80" t="s">
        <v>7203</v>
      </c>
    </row>
    <row r="81" spans="1:3" x14ac:dyDescent="0.25">
      <c r="A81" t="s">
        <v>6523</v>
      </c>
      <c r="B81" s="110" t="str">
        <f>HYPERLINK("#'Data_Analysis_nonBNF'!A545", "cost_heat_dec_overall_D_172_by_hh_heating_systems")</f>
        <v>cost_heat_dec_overall_D_172_by_hh_heating_systems</v>
      </c>
      <c r="C81" t="s">
        <v>7204</v>
      </c>
    </row>
    <row r="82" spans="1:3" x14ac:dyDescent="0.25">
      <c r="A82" t="s">
        <v>6523</v>
      </c>
      <c r="B82" s="110" t="str">
        <f>HYPERLINK("#'Data_Analysis_nonBNF'!A551", "cost_heat_dec_rural_urban_167")</f>
        <v>cost_heat_dec_rural_urban_167</v>
      </c>
      <c r="C82" t="s">
        <v>7205</v>
      </c>
    </row>
    <row r="83" spans="1:3" x14ac:dyDescent="0.25">
      <c r="A83" t="s">
        <v>6524</v>
      </c>
      <c r="B83" s="110" t="str">
        <f>HYPERLINK("#'Data_Analysis_nonBNF'!A557", "cost_heat_nov_overall_D_116_by_hh_type")</f>
        <v>cost_heat_nov_overall_D_116_by_hh_type</v>
      </c>
      <c r="C83" t="s">
        <v>7206</v>
      </c>
    </row>
    <row r="84" spans="1:3" x14ac:dyDescent="0.25">
      <c r="A84" t="s">
        <v>6524</v>
      </c>
      <c r="B84" s="110" t="str">
        <f>HYPERLINK("#'Data_Analysis_nonBNF'!A562", "cost_heat_nov_overall_D_118_by_hh_size_range")</f>
        <v>cost_heat_nov_overall_D_118_by_hh_size_range</v>
      </c>
      <c r="C84" t="s">
        <v>7207</v>
      </c>
    </row>
    <row r="85" spans="1:3" x14ac:dyDescent="0.25">
      <c r="A85" t="s">
        <v>6524</v>
      </c>
      <c r="B85" s="110" t="str">
        <f>HYPERLINK("#'Data_Analysis_nonBNF'!A568", "cost_heat_nov_overall_D_119_by_hh_composition")</f>
        <v>cost_heat_nov_overall_D_119_by_hh_composition</v>
      </c>
      <c r="C85" t="s">
        <v>7208</v>
      </c>
    </row>
    <row r="86" spans="1:3" x14ac:dyDescent="0.25">
      <c r="A86" t="s">
        <v>6524</v>
      </c>
      <c r="B86" s="110" t="str">
        <f>HYPERLINK("#'Data_Analysis_nonBNF'!A578", "cost_heat_nov_overall_D_120_by_hh_with_pwd")</f>
        <v>cost_heat_nov_overall_D_120_by_hh_with_pwd</v>
      </c>
      <c r="C86" t="s">
        <v>7207</v>
      </c>
    </row>
    <row r="87" spans="1:3" x14ac:dyDescent="0.25">
      <c r="A87" t="s">
        <v>6524</v>
      </c>
      <c r="B87" s="110" t="str">
        <f>HYPERLINK("#'Data_Analysis_nonBNF'!A583", "cost_heat_nov_overall_D_121_by_aver_monthly_income_range")</f>
        <v>cost_heat_nov_overall_D_121_by_aver_monthly_income_range</v>
      </c>
      <c r="C87" t="s">
        <v>7209</v>
      </c>
    </row>
    <row r="88" spans="1:3" x14ac:dyDescent="0.25">
      <c r="A88" t="s">
        <v>6524</v>
      </c>
      <c r="B88" s="110" t="str">
        <f>HYPERLINK("#'Data_Analysis_nonBNF'!A593", "cost_heat_nov_overall_D_122_by_heat_system_primary")</f>
        <v>cost_heat_nov_overall_D_122_by_heat_system_primary</v>
      </c>
      <c r="C88" t="s">
        <v>7210</v>
      </c>
    </row>
    <row r="89" spans="1:3" x14ac:dyDescent="0.25">
      <c r="A89" t="s">
        <v>6524</v>
      </c>
      <c r="B89" s="110" t="str">
        <f>HYPERLINK("#'Data_Analysis_nonBNF'!A598", "cost_heat_nov_overall_D_123_by_hh_heating_systems")</f>
        <v>cost_heat_nov_overall_D_123_by_hh_heating_systems</v>
      </c>
      <c r="C89" t="s">
        <v>7211</v>
      </c>
    </row>
    <row r="90" spans="1:3" x14ac:dyDescent="0.25">
      <c r="A90" t="s">
        <v>6524</v>
      </c>
      <c r="B90" s="110" t="str">
        <f>HYPERLINK("#'Data_Analysis_nonBNF'!A604", "cost_heat_nov_rural_urban_117")</f>
        <v>cost_heat_nov_rural_urban_117</v>
      </c>
      <c r="C90" t="s">
        <v>7212</v>
      </c>
    </row>
    <row r="91" spans="1:3" x14ac:dyDescent="0.25">
      <c r="A91" t="s">
        <v>6520</v>
      </c>
      <c r="B91" s="110" t="str">
        <f>HYPERLINK("#'Data_Analysis_nonBNF'!A610", "cover_bills_dec_overall_D_280_by_hh_type")</f>
        <v>cover_bills_dec_overall_D_280_by_hh_type</v>
      </c>
      <c r="C91" t="s">
        <v>7213</v>
      </c>
    </row>
    <row r="92" spans="1:3" x14ac:dyDescent="0.25">
      <c r="A92" t="s">
        <v>6520</v>
      </c>
      <c r="B92" s="110" t="str">
        <f>HYPERLINK("#'Data_Analysis_nonBNF'!A616", "cover_bills_dec_overall_D_282_by_hh_composition")</f>
        <v>cover_bills_dec_overall_D_282_by_hh_composition</v>
      </c>
      <c r="C92" t="s">
        <v>7214</v>
      </c>
    </row>
    <row r="93" spans="1:3" x14ac:dyDescent="0.25">
      <c r="A93" t="s">
        <v>6520</v>
      </c>
      <c r="B93" s="110" t="str">
        <f>HYPERLINK("#'Data_Analysis_nonBNF'!A627", "cover_bills_dec_overall_D_283_by_hh_with_pwd")</f>
        <v>cover_bills_dec_overall_D_283_by_hh_with_pwd</v>
      </c>
      <c r="C93" t="s">
        <v>7215</v>
      </c>
    </row>
    <row r="94" spans="1:3" x14ac:dyDescent="0.25">
      <c r="A94" t="s">
        <v>6520</v>
      </c>
      <c r="B94" s="110" t="str">
        <f>HYPERLINK("#'Data_Analysis_nonBNF'!A633", "cover_bills_dec_overall_D_284_by_aver_monthly_income_range")</f>
        <v>cover_bills_dec_overall_D_284_by_aver_monthly_income_range</v>
      </c>
      <c r="C94" t="s">
        <v>7216</v>
      </c>
    </row>
    <row r="95" spans="1:3" x14ac:dyDescent="0.25">
      <c r="A95" t="s">
        <v>6520</v>
      </c>
      <c r="B95" s="110" t="str">
        <f>HYPERLINK("#'Data_Analysis_nonBNF'!A644", "cover_bills_dec_overall_D_285_by_accommodation_ownership")</f>
        <v>cover_bills_dec_overall_D_285_by_accommodation_ownership</v>
      </c>
      <c r="C95" t="s">
        <v>7217</v>
      </c>
    </row>
    <row r="96" spans="1:3" x14ac:dyDescent="0.25">
      <c r="A96" t="s">
        <v>6520</v>
      </c>
      <c r="B96" s="110" t="str">
        <f>HYPERLINK("#'Data_Analysis_nonBNF'!A653", "cover_bills_dec_overall_D_286_by_heat_system_primary")</f>
        <v>cover_bills_dec_overall_D_286_by_heat_system_primary</v>
      </c>
      <c r="C96" t="s">
        <v>7218</v>
      </c>
    </row>
    <row r="97" spans="1:3" x14ac:dyDescent="0.25">
      <c r="A97" t="s">
        <v>6520</v>
      </c>
      <c r="B97" s="110" t="str">
        <f>HYPERLINK("#'Data_Analysis_nonBNF'!A661", "cover_bills_dec_overall_D_287_by_hh_heating_systems")</f>
        <v>cover_bills_dec_overall_D_287_by_hh_heating_systems</v>
      </c>
      <c r="C97" t="s">
        <v>7219</v>
      </c>
    </row>
    <row r="98" spans="1:3" x14ac:dyDescent="0.25">
      <c r="A98" t="s">
        <v>6520</v>
      </c>
      <c r="B98" s="110" t="str">
        <f>HYPERLINK("#'Data_Analysis_nonBNF'!A670", "cover_bills_dec_overall_D_288_by_gas_usage_full")</f>
        <v>cover_bills_dec_overall_D_288_by_gas_usage_full</v>
      </c>
      <c r="C98" t="s">
        <v>7220</v>
      </c>
    </row>
    <row r="99" spans="1:3" x14ac:dyDescent="0.25">
      <c r="A99" t="s">
        <v>6520</v>
      </c>
      <c r="B99" s="110" t="str">
        <f>HYPERLINK("#'Data_Analysis_nonBNF'!A676", "cover_bills_dec_overall_D_289_by_perc_expenditure_spent_on_energy_dec")</f>
        <v>cover_bills_dec_overall_D_289_by_perc_expenditure_spent_on_energy_dec</v>
      </c>
      <c r="C99" t="s">
        <v>7221</v>
      </c>
    </row>
    <row r="100" spans="1:3" x14ac:dyDescent="0.25">
      <c r="A100" t="s">
        <v>6520</v>
      </c>
      <c r="B100" s="110" t="str">
        <f>HYPERLINK("#'Data_Analysis_nonBNF'!A685", "cover_bills_dec_overall_D_290_by_perc_income_spent_on_energy_dec")</f>
        <v>cover_bills_dec_overall_D_290_by_perc_income_spent_on_energy_dec</v>
      </c>
      <c r="C100" t="s">
        <v>7222</v>
      </c>
    </row>
    <row r="101" spans="1:3" x14ac:dyDescent="0.25">
      <c r="A101" t="s">
        <v>6520</v>
      </c>
      <c r="B101" s="110" t="str">
        <f>HYPERLINK("#'Data_Analysis_nonBNF'!A695", "cover_bills_dec_rural_urban_281")</f>
        <v>cover_bills_dec_rural_urban_281</v>
      </c>
      <c r="C101" t="s">
        <v>7223</v>
      </c>
    </row>
    <row r="102" spans="1:3" x14ac:dyDescent="0.25">
      <c r="A102" t="s">
        <v>6520</v>
      </c>
      <c r="B102" s="110" t="str">
        <f>HYPERLINK("#'Data_Analysis_nonBNF'!A701", "cover_bills_nov_overall_D_268_by_hh_type")</f>
        <v>cover_bills_nov_overall_D_268_by_hh_type</v>
      </c>
      <c r="C102" t="s">
        <v>7224</v>
      </c>
    </row>
    <row r="103" spans="1:3" x14ac:dyDescent="0.25">
      <c r="A103" t="s">
        <v>6520</v>
      </c>
      <c r="B103" s="110" t="str">
        <f>HYPERLINK("#'Data_Analysis_nonBNF'!A707", "cover_bills_nov_overall_D_270_by_hh_size_range")</f>
        <v>cover_bills_nov_overall_D_270_by_hh_size_range</v>
      </c>
      <c r="C103" t="s">
        <v>7225</v>
      </c>
    </row>
    <row r="104" spans="1:3" x14ac:dyDescent="0.25">
      <c r="A104" t="s">
        <v>6520</v>
      </c>
      <c r="B104" s="110" t="str">
        <f>HYPERLINK("#'Data_Analysis_nonBNF'!A714", "cover_bills_nov_overall_D_271_by_hh_composition")</f>
        <v>cover_bills_nov_overall_D_271_by_hh_composition</v>
      </c>
      <c r="C104" t="s">
        <v>7226</v>
      </c>
    </row>
    <row r="105" spans="1:3" x14ac:dyDescent="0.25">
      <c r="A105" t="s">
        <v>6520</v>
      </c>
      <c r="B105" s="110" t="str">
        <f>HYPERLINK("#'Data_Analysis_nonBNF'!A725", "cover_bills_nov_overall_D_272_by_hh_with_pwd")</f>
        <v>cover_bills_nov_overall_D_272_by_hh_with_pwd</v>
      </c>
      <c r="C105" t="s">
        <v>7227</v>
      </c>
    </row>
    <row r="106" spans="1:3" x14ac:dyDescent="0.25">
      <c r="A106" t="s">
        <v>6520</v>
      </c>
      <c r="B106" s="110" t="str">
        <f>HYPERLINK("#'Data_Analysis_nonBNF'!A731", "cover_bills_nov_overall_D_273_by_accommodation_ownership")</f>
        <v>cover_bills_nov_overall_D_273_by_accommodation_ownership</v>
      </c>
      <c r="C106" t="s">
        <v>7228</v>
      </c>
    </row>
    <row r="107" spans="1:3" x14ac:dyDescent="0.25">
      <c r="A107" t="s">
        <v>6520</v>
      </c>
      <c r="B107" s="110" t="str">
        <f>HYPERLINK("#'Data_Analysis_nonBNF'!A740", "cover_bills_nov_overall_D_274_by_aver_monthly_income_range")</f>
        <v>cover_bills_nov_overall_D_274_by_aver_monthly_income_range</v>
      </c>
      <c r="C107" t="s">
        <v>7229</v>
      </c>
    </row>
    <row r="108" spans="1:3" x14ac:dyDescent="0.25">
      <c r="A108" t="s">
        <v>6520</v>
      </c>
      <c r="B108" s="110" t="str">
        <f>HYPERLINK("#'Data_Analysis_nonBNF'!A751", "cover_bills_nov_overall_D_275_by_heat_system_primary")</f>
        <v>cover_bills_nov_overall_D_275_by_heat_system_primary</v>
      </c>
      <c r="C108" t="s">
        <v>7230</v>
      </c>
    </row>
    <row r="109" spans="1:3" x14ac:dyDescent="0.25">
      <c r="A109" t="s">
        <v>6520</v>
      </c>
      <c r="B109" s="110" t="str">
        <f>HYPERLINK("#'Data_Analysis_nonBNF'!A759", "cover_bills_nov_overall_D_276_by_hh_heating_systems")</f>
        <v>cover_bills_nov_overall_D_276_by_hh_heating_systems</v>
      </c>
      <c r="C109" t="s">
        <v>7231</v>
      </c>
    </row>
    <row r="110" spans="1:3" x14ac:dyDescent="0.25">
      <c r="A110" t="s">
        <v>6520</v>
      </c>
      <c r="B110" s="110" t="str">
        <f>HYPERLINK("#'Data_Analysis_nonBNF'!A768", "cover_bills_nov_overall_D_277_by_gas_usage_full")</f>
        <v>cover_bills_nov_overall_D_277_by_gas_usage_full</v>
      </c>
      <c r="C110" t="s">
        <v>7232</v>
      </c>
    </row>
    <row r="111" spans="1:3" x14ac:dyDescent="0.25">
      <c r="A111" t="s">
        <v>6520</v>
      </c>
      <c r="B111" s="110" t="str">
        <f>HYPERLINK("#'Data_Analysis_nonBNF'!A774", "cover_bills_nov_overall_D_278_by_perc_expenditure_spent_on_energy_nov")</f>
        <v>cover_bills_nov_overall_D_278_by_perc_expenditure_spent_on_energy_nov</v>
      </c>
      <c r="C111" t="s">
        <v>7233</v>
      </c>
    </row>
    <row r="112" spans="1:3" x14ac:dyDescent="0.25">
      <c r="A112" t="s">
        <v>6520</v>
      </c>
      <c r="B112" s="110" t="str">
        <f>HYPERLINK("#'Data_Analysis_nonBNF'!A784", "cover_bills_nov_overall_D_279_by_perc_income_spent_on_energy_nov")</f>
        <v>cover_bills_nov_overall_D_279_by_perc_income_spent_on_energy_nov</v>
      </c>
      <c r="C112" t="s">
        <v>7234</v>
      </c>
    </row>
    <row r="113" spans="1:3" x14ac:dyDescent="0.25">
      <c r="A113" t="s">
        <v>6520</v>
      </c>
      <c r="B113" s="110" t="str">
        <f>HYPERLINK("#'Data_Analysis_nonBNF'!A794", "cover_bills_nov_rural_urban_269")</f>
        <v>cover_bills_nov_rural_urban_269</v>
      </c>
      <c r="C113" t="s">
        <v>7235</v>
      </c>
    </row>
    <row r="114" spans="1:3" x14ac:dyDescent="0.25">
      <c r="A114" t="s">
        <v>6521</v>
      </c>
      <c r="B114" s="110" t="str">
        <f>HYPERLINK("#'Data_Analysis_nonBNF'!A800", "evrf_23_24_overall_D_254_by_hh_type")</f>
        <v>evrf_23_24_overall_D_254_by_hh_type</v>
      </c>
      <c r="C114" t="s">
        <v>7236</v>
      </c>
    </row>
    <row r="115" spans="1:3" x14ac:dyDescent="0.25">
      <c r="A115" t="s">
        <v>6521</v>
      </c>
      <c r="B115" s="110" t="str">
        <f>HYPERLINK("#'Data_Analysis_nonBNF'!A806", "evrf_23_24_overall_D_256_by_hh_composition")</f>
        <v>evrf_23_24_overall_D_256_by_hh_composition</v>
      </c>
      <c r="C115" t="s">
        <v>7237</v>
      </c>
    </row>
    <row r="116" spans="1:3" x14ac:dyDescent="0.25">
      <c r="A116" t="s">
        <v>6521</v>
      </c>
      <c r="B116" s="110" t="str">
        <f>HYPERLINK("#'Data_Analysis_nonBNF'!A817", "evrf_23_24_overall_D_257_by_hh_with_pwd")</f>
        <v>evrf_23_24_overall_D_257_by_hh_with_pwd</v>
      </c>
      <c r="C116" t="s">
        <v>7238</v>
      </c>
    </row>
    <row r="117" spans="1:3" x14ac:dyDescent="0.25">
      <c r="A117" t="s">
        <v>6521</v>
      </c>
      <c r="B117" s="110" t="str">
        <f>HYPERLINK("#'Data_Analysis_nonBNF'!A823", "evrf_23_24_overall_D_258_by_applied_evrf_how")</f>
        <v>evrf_23_24_overall_D_258_by_applied_evrf_how</v>
      </c>
      <c r="C117" t="s">
        <v>7239</v>
      </c>
    </row>
    <row r="118" spans="1:3" x14ac:dyDescent="0.25">
      <c r="A118" t="s">
        <v>6521</v>
      </c>
      <c r="B118" s="110" t="str">
        <f>HYPERLINK("#'Data_Analysis_nonBNF'!A830", "evrf_23_24_overall_D_259_by_aware_of_evrf_how")</f>
        <v>evrf_23_24_overall_D_259_by_aware_of_evrf_how</v>
      </c>
      <c r="C118" t="s">
        <v>7240</v>
      </c>
    </row>
    <row r="119" spans="1:3" x14ac:dyDescent="0.25">
      <c r="A119" t="s">
        <v>6521</v>
      </c>
      <c r="B119" s="110" t="str">
        <f>HYPERLINK("#'Data_Analysis_nonBNF'!A842", "evrf_23_24_rural_urban_255")</f>
        <v>evrf_23_24_rural_urban_255</v>
      </c>
      <c r="C119" t="s">
        <v>7241</v>
      </c>
    </row>
    <row r="120" spans="1:3" x14ac:dyDescent="0.25">
      <c r="A120" t="s">
        <v>6521</v>
      </c>
      <c r="B120" s="110" t="str">
        <f>HYPERLINK("#'Data_Analysis_nonBNF'!A848", "evrf_changes_overall_D_260_by_hh_type")</f>
        <v>evrf_changes_overall_D_260_by_hh_type</v>
      </c>
      <c r="C120" t="s">
        <v>7242</v>
      </c>
    </row>
    <row r="121" spans="1:3" x14ac:dyDescent="0.25">
      <c r="A121" t="s">
        <v>6521</v>
      </c>
      <c r="B121" s="110" t="str">
        <f>HYPERLINK("#'Data_Analysis_nonBNF'!A854", "evrf_changes_overall_D_262_by_hh_composition")</f>
        <v>evrf_changes_overall_D_262_by_hh_composition</v>
      </c>
      <c r="C121" t="s">
        <v>7243</v>
      </c>
    </row>
    <row r="122" spans="1:3" x14ac:dyDescent="0.25">
      <c r="A122" t="s">
        <v>6521</v>
      </c>
      <c r="B122" s="110" t="str">
        <f>HYPERLINK("#'Data_Analysis_nonBNF'!A865", "evrf_changes_overall_D_263_by_hh_with_pwd")</f>
        <v>evrf_changes_overall_D_263_by_hh_with_pwd</v>
      </c>
      <c r="C122" t="s">
        <v>7244</v>
      </c>
    </row>
    <row r="123" spans="1:3" x14ac:dyDescent="0.25">
      <c r="A123" t="s">
        <v>6521</v>
      </c>
      <c r="B123" s="110" t="str">
        <f>HYPERLINK("#'Data_Analysis_nonBNF'!A871", "evrf_changes_overall_D_264_by_accommodation_ownership")</f>
        <v>evrf_changes_overall_D_264_by_accommodation_ownership</v>
      </c>
      <c r="C123" t="s">
        <v>7245</v>
      </c>
    </row>
    <row r="124" spans="1:3" x14ac:dyDescent="0.25">
      <c r="A124" t="s">
        <v>6521</v>
      </c>
      <c r="B124" s="110" t="str">
        <f>HYPERLINK("#'Data_Analysis_nonBNF'!A880", "evrf_changes_overall_D_265_by_heat_system_primary")</f>
        <v>evrf_changes_overall_D_265_by_heat_system_primary</v>
      </c>
      <c r="C124" t="s">
        <v>7246</v>
      </c>
    </row>
    <row r="125" spans="1:3" x14ac:dyDescent="0.25">
      <c r="A125" t="s">
        <v>6521</v>
      </c>
      <c r="B125" s="110" t="str">
        <f>HYPERLINK("#'Data_Analysis_nonBNF'!A888", "evrf_changes_overall_D_266_by_legal_status")</f>
        <v>evrf_changes_overall_D_266_by_legal_status</v>
      </c>
      <c r="C125" t="s">
        <v>7247</v>
      </c>
    </row>
    <row r="126" spans="1:3" x14ac:dyDescent="0.25">
      <c r="A126" t="s">
        <v>6521</v>
      </c>
      <c r="B126" s="110" t="str">
        <f>HYPERLINK("#'Data_Analysis_nonBNF'!A895", "evrf_changes_overall_D_267_by_applied_evrf_how")</f>
        <v>evrf_changes_overall_D_267_by_applied_evrf_how</v>
      </c>
      <c r="C126" t="s">
        <v>7248</v>
      </c>
    </row>
    <row r="127" spans="1:3" x14ac:dyDescent="0.25">
      <c r="A127" t="s">
        <v>6521</v>
      </c>
      <c r="B127" s="110" t="str">
        <f>HYPERLINK("#'Data_Analysis_nonBNF'!A902", "evrf_changes_rural_urban_261")</f>
        <v>evrf_changes_rural_urban_261</v>
      </c>
      <c r="C127" t="s">
        <v>7249</v>
      </c>
    </row>
    <row r="128" spans="1:3" x14ac:dyDescent="0.25">
      <c r="A128" t="s">
        <v>6522</v>
      </c>
      <c r="B128" s="110" t="str">
        <f>HYPERLINK("#'Data_Analysis_nonBNF'!A908", "financial_stress_dec_overall_D_59_by_hh_type")</f>
        <v>financial_stress_dec_overall_D_59_by_hh_type</v>
      </c>
      <c r="C128" t="s">
        <v>7250</v>
      </c>
    </row>
    <row r="129" spans="1:3" x14ac:dyDescent="0.25">
      <c r="A129" t="s">
        <v>6522</v>
      </c>
      <c r="B129" s="110" t="str">
        <f>HYPERLINK("#'Data_Analysis_nonBNF'!A914", "financial_stress_dec_overall_D_61_by_hh_size_range")</f>
        <v>financial_stress_dec_overall_D_61_by_hh_size_range</v>
      </c>
      <c r="C129" t="s">
        <v>7251</v>
      </c>
    </row>
    <row r="130" spans="1:3" x14ac:dyDescent="0.25">
      <c r="A130" t="s">
        <v>6522</v>
      </c>
      <c r="B130" s="110" t="str">
        <f>HYPERLINK("#'Data_Analysis_nonBNF'!A921", "financial_stress_dec_overall_D_62_by_hh_composition")</f>
        <v>financial_stress_dec_overall_D_62_by_hh_composition</v>
      </c>
      <c r="C130" t="s">
        <v>7252</v>
      </c>
    </row>
    <row r="131" spans="1:3" x14ac:dyDescent="0.25">
      <c r="A131" t="s">
        <v>6522</v>
      </c>
      <c r="B131" s="110" t="str">
        <f>HYPERLINK("#'Data_Analysis_nonBNF'!A932", "financial_stress_dec_overall_D_63_by_hh_with_pwd")</f>
        <v>financial_stress_dec_overall_D_63_by_hh_with_pwd</v>
      </c>
      <c r="C131" t="s">
        <v>7253</v>
      </c>
    </row>
    <row r="132" spans="1:3" x14ac:dyDescent="0.25">
      <c r="A132" t="s">
        <v>6522</v>
      </c>
      <c r="B132" s="110" t="str">
        <f>HYPERLINK("#'Data_Analysis_nonBNF'!A938", "financial_stress_dec_overall_D_64_by_accommodation_ownership")</f>
        <v>financial_stress_dec_overall_D_64_by_accommodation_ownership</v>
      </c>
      <c r="C132" t="s">
        <v>7254</v>
      </c>
    </row>
    <row r="133" spans="1:3" x14ac:dyDescent="0.25">
      <c r="A133" t="s">
        <v>6522</v>
      </c>
      <c r="B133" s="110" t="str">
        <f>HYPERLINK("#'Data_Analysis_nonBNF'!A947", "financial_stress_dec_overall_D_65_by_aver_monthly_income_range")</f>
        <v>financial_stress_dec_overall_D_65_by_aver_monthly_income_range</v>
      </c>
      <c r="C133" t="s">
        <v>7255</v>
      </c>
    </row>
    <row r="134" spans="1:3" x14ac:dyDescent="0.25">
      <c r="A134" t="s">
        <v>6522</v>
      </c>
      <c r="B134" s="110" t="str">
        <f>HYPERLINK("#'Data_Analysis_nonBNF'!A957", "financial_stress_dec_rural_urban_60")</f>
        <v>financial_stress_dec_rural_urban_60</v>
      </c>
      <c r="C134" t="s">
        <v>7256</v>
      </c>
    </row>
    <row r="135" spans="1:3" x14ac:dyDescent="0.25">
      <c r="A135" t="s">
        <v>6522</v>
      </c>
      <c r="B135" s="110" t="str">
        <f>HYPERLINK("#'Data_Analysis_nonBNF'!A963", "financial_stress_nov_overall_D_52_by_hh_type")</f>
        <v>financial_stress_nov_overall_D_52_by_hh_type</v>
      </c>
      <c r="C135" t="s">
        <v>7257</v>
      </c>
    </row>
    <row r="136" spans="1:3" x14ac:dyDescent="0.25">
      <c r="A136" t="s">
        <v>6522</v>
      </c>
      <c r="B136" s="110" t="str">
        <f>HYPERLINK("#'Data_Analysis_nonBNF'!A969", "financial_stress_nov_overall_D_54_by_hh_size_range")</f>
        <v>financial_stress_nov_overall_D_54_by_hh_size_range</v>
      </c>
      <c r="C136" t="s">
        <v>7258</v>
      </c>
    </row>
    <row r="137" spans="1:3" x14ac:dyDescent="0.25">
      <c r="A137" t="s">
        <v>6522</v>
      </c>
      <c r="B137" s="110" t="str">
        <f>HYPERLINK("#'Data_Analysis_nonBNF'!A976", "financial_stress_nov_overall_D_55_by_hh_composition")</f>
        <v>financial_stress_nov_overall_D_55_by_hh_composition</v>
      </c>
      <c r="C137" t="s">
        <v>7259</v>
      </c>
    </row>
    <row r="138" spans="1:3" x14ac:dyDescent="0.25">
      <c r="A138" t="s">
        <v>6522</v>
      </c>
      <c r="B138" s="110" t="str">
        <f>HYPERLINK("#'Data_Analysis_nonBNF'!A987", "financial_stress_nov_overall_D_56_by_hh_with_pwd")</f>
        <v>financial_stress_nov_overall_D_56_by_hh_with_pwd</v>
      </c>
      <c r="C138" t="s">
        <v>7260</v>
      </c>
    </row>
    <row r="139" spans="1:3" x14ac:dyDescent="0.25">
      <c r="A139" t="s">
        <v>6522</v>
      </c>
      <c r="B139" s="110" t="str">
        <f>HYPERLINK("#'Data_Analysis_nonBNF'!A993", "financial_stress_nov_overall_D_57_by_accommodation_ownership")</f>
        <v>financial_stress_nov_overall_D_57_by_accommodation_ownership</v>
      </c>
      <c r="C139" t="s">
        <v>7261</v>
      </c>
    </row>
    <row r="140" spans="1:3" x14ac:dyDescent="0.25">
      <c r="A140" t="s">
        <v>6522</v>
      </c>
      <c r="B140" s="110" t="str">
        <f>HYPERLINK("#'Data_Analysis_nonBNF'!A1002", "financial_stress_nov_overall_D_58_by_aver_monthly_income_range")</f>
        <v>financial_stress_nov_overall_D_58_by_aver_monthly_income_range</v>
      </c>
      <c r="C140" t="s">
        <v>7262</v>
      </c>
    </row>
    <row r="141" spans="1:3" x14ac:dyDescent="0.25">
      <c r="A141" t="s">
        <v>6522</v>
      </c>
      <c r="B141" s="110" t="str">
        <f>HYPERLINK("#'Data_Analysis_nonBNF'!A1012", "financial_stress_nov_rural_urban_53")</f>
        <v>financial_stress_nov_rural_urban_53</v>
      </c>
      <c r="C141" t="s">
        <v>7263</v>
      </c>
    </row>
    <row r="142" spans="1:3" x14ac:dyDescent="0.25">
      <c r="A142" t="s">
        <v>6526</v>
      </c>
      <c r="B142" s="110" t="str">
        <f>HYPERLINK("#'Data_Analysis_nonBNF'!A1018", "gas_usage_full_overall_D_85_by_hh_type")</f>
        <v>gas_usage_full_overall_D_85_by_hh_type</v>
      </c>
      <c r="C142" t="s">
        <v>7264</v>
      </c>
    </row>
    <row r="143" spans="1:3" x14ac:dyDescent="0.25">
      <c r="A143" t="s">
        <v>6526</v>
      </c>
      <c r="B143" s="110" t="str">
        <f>HYPERLINK("#'Data_Analysis_nonBNF'!A1024", "gas_usage_full_overall_D_87_by_aver_monthly_income_range")</f>
        <v>gas_usage_full_overall_D_87_by_aver_monthly_income_range</v>
      </c>
      <c r="C143" t="s">
        <v>7265</v>
      </c>
    </row>
    <row r="144" spans="1:3" x14ac:dyDescent="0.25">
      <c r="A144" t="s">
        <v>6526</v>
      </c>
      <c r="B144" s="110" t="str">
        <f>HYPERLINK("#'Data_Analysis_nonBNF'!A1035", "gas_usage_full_overall_D_88_by_perc_expenditure_spent_on_energy_nov")</f>
        <v>gas_usage_full_overall_D_88_by_perc_expenditure_spent_on_energy_nov</v>
      </c>
      <c r="C144" t="s">
        <v>7266</v>
      </c>
    </row>
    <row r="145" spans="1:3" x14ac:dyDescent="0.25">
      <c r="A145" t="s">
        <v>6526</v>
      </c>
      <c r="B145" s="110" t="str">
        <f>HYPERLINK("#'Data_Analysis_nonBNF'!A1045", "gas_usage_full_overall_D_89_by_perc_expenditure_spent_on_energy_dec")</f>
        <v>gas_usage_full_overall_D_89_by_perc_expenditure_spent_on_energy_dec</v>
      </c>
      <c r="C145" t="s">
        <v>7267</v>
      </c>
    </row>
    <row r="146" spans="1:3" x14ac:dyDescent="0.25">
      <c r="A146" t="s">
        <v>6526</v>
      </c>
      <c r="B146" s="110" t="str">
        <f>HYPERLINK("#'Data_Analysis_nonBNF'!A1054", "gas_usage_full_overall_D_90_by_perc_income_spent_on_energy_nov")</f>
        <v>gas_usage_full_overall_D_90_by_perc_income_spent_on_energy_nov</v>
      </c>
      <c r="C146" t="s">
        <v>7268</v>
      </c>
    </row>
    <row r="147" spans="1:3" x14ac:dyDescent="0.25">
      <c r="A147" t="s">
        <v>6526</v>
      </c>
      <c r="B147" s="110" t="str">
        <f>HYPERLINK("#'Data_Analysis_nonBNF'!A1064", "gas_usage_full_overall_D_91_by_perc_income_spent_on_energy_dec")</f>
        <v>gas_usage_full_overall_D_91_by_perc_income_spent_on_energy_dec</v>
      </c>
      <c r="C147" t="s">
        <v>7269</v>
      </c>
    </row>
    <row r="148" spans="1:3" x14ac:dyDescent="0.25">
      <c r="A148" t="s">
        <v>6526</v>
      </c>
      <c r="B148" s="110" t="str">
        <f>HYPERLINK("#'Data_Analysis_nonBNF'!A1074", "gas_usage_full_rural_urban_86")</f>
        <v>gas_usage_full_rural_urban_86</v>
      </c>
      <c r="C148" t="s">
        <v>7270</v>
      </c>
    </row>
    <row r="149" spans="1:3" x14ac:dyDescent="0.25">
      <c r="A149" t="s">
        <v>6526</v>
      </c>
      <c r="B149" s="110" t="str">
        <f>HYPERLINK("#'Data_Analysis_nonBNF'!A1080", "heat_system_primary_overall_D_66_by_hh_type")</f>
        <v>heat_system_primary_overall_D_66_by_hh_type</v>
      </c>
      <c r="C149" t="s">
        <v>7271</v>
      </c>
    </row>
    <row r="150" spans="1:3" x14ac:dyDescent="0.25">
      <c r="A150" t="s">
        <v>6526</v>
      </c>
      <c r="B150" s="110" t="str">
        <f>HYPERLINK("#'Data_Analysis_nonBNF'!A1086", "heat_system_primary_overall_D_68_by_hh_size_range")</f>
        <v>heat_system_primary_overall_D_68_by_hh_size_range</v>
      </c>
      <c r="C150" t="s">
        <v>7272</v>
      </c>
    </row>
    <row r="151" spans="1:3" x14ac:dyDescent="0.25">
      <c r="A151" t="s">
        <v>6526</v>
      </c>
      <c r="B151" s="110" t="str">
        <f>HYPERLINK("#'Data_Analysis_nonBNF'!A1093", "heat_system_primary_overall_D_69_by_perc_expenditure_spent_on_energy_nov")</f>
        <v>heat_system_primary_overall_D_69_by_perc_expenditure_spent_on_energy_nov</v>
      </c>
      <c r="C151" t="s">
        <v>7273</v>
      </c>
    </row>
    <row r="152" spans="1:3" x14ac:dyDescent="0.25">
      <c r="A152" t="s">
        <v>6526</v>
      </c>
      <c r="B152" s="110" t="str">
        <f>HYPERLINK("#'Data_Analysis_nonBNF'!A1103", "heat_system_primary_overall_D_70_by_perc_expenditure_spent_on_energy_dec")</f>
        <v>heat_system_primary_overall_D_70_by_perc_expenditure_spent_on_energy_dec</v>
      </c>
      <c r="C152" t="s">
        <v>7274</v>
      </c>
    </row>
    <row r="153" spans="1:3" x14ac:dyDescent="0.25">
      <c r="A153" t="s">
        <v>6526</v>
      </c>
      <c r="B153" s="110" t="str">
        <f>HYPERLINK("#'Data_Analysis_nonBNF'!A1112", "heat_system_primary_overall_D_71_by_perc_income_spent_on_energy_nov")</f>
        <v>heat_system_primary_overall_D_71_by_perc_income_spent_on_energy_nov</v>
      </c>
      <c r="C153" t="s">
        <v>7275</v>
      </c>
    </row>
    <row r="154" spans="1:3" x14ac:dyDescent="0.25">
      <c r="A154" t="s">
        <v>6526</v>
      </c>
      <c r="B154" s="110" t="str">
        <f>HYPERLINK("#'Data_Analysis_nonBNF'!A1122", "heat_system_primary_overall_D_72_by_perc_income_spent_on_energy_dec")</f>
        <v>heat_system_primary_overall_D_72_by_perc_income_spent_on_energy_dec</v>
      </c>
      <c r="C154" t="s">
        <v>7276</v>
      </c>
    </row>
    <row r="155" spans="1:3" x14ac:dyDescent="0.25">
      <c r="A155" t="s">
        <v>6526</v>
      </c>
      <c r="B155" s="110" t="str">
        <f>HYPERLINK("#'Data_Analysis_nonBNF'!A1132", "heat_system_primary_rural_urban_67")</f>
        <v>heat_system_primary_rural_urban_67</v>
      </c>
      <c r="C155" t="s">
        <v>7277</v>
      </c>
    </row>
    <row r="156" spans="1:3" x14ac:dyDescent="0.25">
      <c r="A156" t="s">
        <v>6526</v>
      </c>
      <c r="B156" s="110" t="str">
        <f>HYPERLINK("#'Data_Analysis_nonBNF'!A1138", "heat_system_secondary_overall_D_73_by_hh_type")</f>
        <v>heat_system_secondary_overall_D_73_by_hh_type</v>
      </c>
      <c r="C156" t="s">
        <v>7278</v>
      </c>
    </row>
    <row r="157" spans="1:3" x14ac:dyDescent="0.25">
      <c r="A157" t="s">
        <v>6526</v>
      </c>
      <c r="B157" s="110" t="str">
        <f>HYPERLINK("#'Data_Analysis_nonBNF'!A1144", "heat_system_secondary_rural_urban_74")</f>
        <v>heat_system_secondary_rural_urban_74</v>
      </c>
      <c r="C157" t="s">
        <v>7279</v>
      </c>
    </row>
    <row r="158" spans="1:3" x14ac:dyDescent="0.25">
      <c r="A158" t="s">
        <v>137</v>
      </c>
      <c r="B158" s="110" t="str">
        <f>HYPERLINK("#'Data_Analysis_nonBNF'!A1150", "hh_composition_overall_D_24_by_hh_type")</f>
        <v>hh_composition_overall_D_24_by_hh_type</v>
      </c>
      <c r="C158" t="s">
        <v>7280</v>
      </c>
    </row>
    <row r="159" spans="1:3" x14ac:dyDescent="0.25">
      <c r="A159" t="s">
        <v>137</v>
      </c>
      <c r="B159" s="110" t="str">
        <f>HYPERLINK("#'Data_Analysis_nonBNF'!A1156", "hh_composition_rural_urban_25")</f>
        <v>hh_composition_rural_urban_25</v>
      </c>
      <c r="C159" t="s">
        <v>7281</v>
      </c>
    </row>
    <row r="160" spans="1:3" x14ac:dyDescent="0.25">
      <c r="A160" t="s">
        <v>6526</v>
      </c>
      <c r="B160" s="110" t="str">
        <f>HYPERLINK("#'Data_Analysis_nonBNF'!A1162", "hh_heating_systems_overall_D_75_by_hh_type")</f>
        <v>hh_heating_systems_overall_D_75_by_hh_type</v>
      </c>
      <c r="C160" t="s">
        <v>7282</v>
      </c>
    </row>
    <row r="161" spans="1:3" x14ac:dyDescent="0.25">
      <c r="A161" t="s">
        <v>6526</v>
      </c>
      <c r="B161" s="110" t="str">
        <f>HYPERLINK("#'Data_Analysis_nonBNF'!A1168", "hh_heating_systems_overall_D_77_by_heat_system_primary")</f>
        <v>hh_heating_systems_overall_D_77_by_heat_system_primary</v>
      </c>
      <c r="C161" t="s">
        <v>7283</v>
      </c>
    </row>
    <row r="162" spans="1:3" x14ac:dyDescent="0.25">
      <c r="A162" t="s">
        <v>6526</v>
      </c>
      <c r="B162" s="110" t="str">
        <f>HYPERLINK("#'Data_Analysis_nonBNF'!A1176", "hh_heating_systems_overall_D_78_by_hh_size_range")</f>
        <v>hh_heating_systems_overall_D_78_by_hh_size_range</v>
      </c>
      <c r="C162" t="s">
        <v>7284</v>
      </c>
    </row>
    <row r="163" spans="1:3" x14ac:dyDescent="0.25">
      <c r="A163" t="s">
        <v>6526</v>
      </c>
      <c r="B163" s="110" t="str">
        <f>HYPERLINK("#'Data_Analysis_nonBNF'!A1183", "hh_heating_systems_overall_D_79_by_aver_monthly_income_range")</f>
        <v>hh_heating_systems_overall_D_79_by_aver_monthly_income_range</v>
      </c>
      <c r="C163" t="s">
        <v>7285</v>
      </c>
    </row>
    <row r="164" spans="1:3" x14ac:dyDescent="0.25">
      <c r="A164" t="s">
        <v>6526</v>
      </c>
      <c r="B164" s="110" t="str">
        <f>HYPERLINK("#'Data_Analysis_nonBNF'!A1194", "hh_heating_systems_overall_D_80_by_applied_evrf_how")</f>
        <v>hh_heating_systems_overall_D_80_by_applied_evrf_how</v>
      </c>
      <c r="C164" t="s">
        <v>7286</v>
      </c>
    </row>
    <row r="165" spans="1:3" x14ac:dyDescent="0.25">
      <c r="A165" t="s">
        <v>6526</v>
      </c>
      <c r="B165" s="110" t="str">
        <f>HYPERLINK("#'Data_Analysis_nonBNF'!A1201", "hh_heating_systems_overall_D_81_by_perc_expenditure_spent_on_energy_nov")</f>
        <v>hh_heating_systems_overall_D_81_by_perc_expenditure_spent_on_energy_nov</v>
      </c>
      <c r="C165" t="s">
        <v>7287</v>
      </c>
    </row>
    <row r="166" spans="1:3" x14ac:dyDescent="0.25">
      <c r="A166" t="s">
        <v>6526</v>
      </c>
      <c r="B166" s="110" t="str">
        <f>HYPERLINK("#'Data_Analysis_nonBNF'!A1211", "hh_heating_systems_overall_D_82_by_perc_expenditure_spent_on_energy_dec")</f>
        <v>hh_heating_systems_overall_D_82_by_perc_expenditure_spent_on_energy_dec</v>
      </c>
      <c r="C166" t="s">
        <v>7288</v>
      </c>
    </row>
    <row r="167" spans="1:3" x14ac:dyDescent="0.25">
      <c r="A167" t="s">
        <v>6526</v>
      </c>
      <c r="B167" s="110" t="str">
        <f>HYPERLINK("#'Data_Analysis_nonBNF'!A1220", "hh_heating_systems_overall_D_83_by_perc_income_spent_on_energy_nov")</f>
        <v>hh_heating_systems_overall_D_83_by_perc_income_spent_on_energy_nov</v>
      </c>
      <c r="C167" t="s">
        <v>7289</v>
      </c>
    </row>
    <row r="168" spans="1:3" x14ac:dyDescent="0.25">
      <c r="A168" t="s">
        <v>6526</v>
      </c>
      <c r="B168" s="110" t="str">
        <f>HYPERLINK("#'Data_Analysis_nonBNF'!A1230", "hh_heating_systems_overall_D_84_by_perc_income_spent_on_energy_dec")</f>
        <v>hh_heating_systems_overall_D_84_by_perc_income_spent_on_energy_dec</v>
      </c>
      <c r="C168" t="s">
        <v>7290</v>
      </c>
    </row>
    <row r="169" spans="1:3" x14ac:dyDescent="0.25">
      <c r="A169" t="s">
        <v>6526</v>
      </c>
      <c r="B169" s="110" t="str">
        <f>HYPERLINK("#'Data_Analysis_nonBNF'!A1240", "hh_heating_systems_rural_urban_76")</f>
        <v>hh_heating_systems_rural_urban_76</v>
      </c>
      <c r="C169" t="s">
        <v>7291</v>
      </c>
    </row>
    <row r="170" spans="1:3" x14ac:dyDescent="0.25">
      <c r="A170" t="s">
        <v>6523</v>
      </c>
      <c r="B170" s="110" t="str">
        <f>HYPERLINK("#'Data_Analysis_nonBNF'!A1246", "hh_paid_for_gas_dec_overall_D_156_by_hh_type")</f>
        <v>hh_paid_for_gas_dec_overall_D_156_by_hh_type</v>
      </c>
      <c r="C170" t="s">
        <v>7292</v>
      </c>
    </row>
    <row r="171" spans="1:3" x14ac:dyDescent="0.25">
      <c r="A171" t="s">
        <v>6524</v>
      </c>
      <c r="B171" s="110" t="str">
        <f>HYPERLINK("#'Data_Analysis_nonBNF'!A1252", "hh_paid_for_gas_nov_overall_D_106_by_hh_type")</f>
        <v>hh_paid_for_gas_nov_overall_D_106_by_hh_type</v>
      </c>
      <c r="C171" t="s">
        <v>7293</v>
      </c>
    </row>
    <row r="172" spans="1:3" x14ac:dyDescent="0.25">
      <c r="A172" t="s">
        <v>6523</v>
      </c>
      <c r="B172" s="110" t="str">
        <f>HYPERLINK("#'Data_Analysis_nonBNF'!A1258", "hh_paid_for_heat_dec_overall_D_165_by_hh_type")</f>
        <v>hh_paid_for_heat_dec_overall_D_165_by_hh_type</v>
      </c>
      <c r="C172" t="s">
        <v>7294</v>
      </c>
    </row>
    <row r="173" spans="1:3" x14ac:dyDescent="0.25">
      <c r="A173" t="s">
        <v>6524</v>
      </c>
      <c r="B173" s="110" t="str">
        <f>HYPERLINK("#'Data_Analysis_nonBNF'!A1264", "hh_paid_for_heat_nov_overall_D_115_by_hh_type")</f>
        <v>hh_paid_for_heat_nov_overall_D_115_by_hh_type</v>
      </c>
      <c r="C173" t="s">
        <v>7295</v>
      </c>
    </row>
    <row r="174" spans="1:3" x14ac:dyDescent="0.25">
      <c r="A174" t="s">
        <v>137</v>
      </c>
      <c r="B174" s="110" t="str">
        <f>HYPERLINK("#'Data_Analysis_nonBNF'!A1270", "hh_size_overall_19")</f>
        <v>hh_size_overall_19</v>
      </c>
      <c r="C174" t="s">
        <v>7296</v>
      </c>
    </row>
    <row r="175" spans="1:3" x14ac:dyDescent="0.25">
      <c r="A175" t="s">
        <v>137</v>
      </c>
      <c r="B175" s="110" t="str">
        <f>HYPERLINK("#'Data_Analysis_nonBNF'!A1274", "hh_size_overall_D_20_by_hh_type")</f>
        <v>hh_size_overall_D_20_by_hh_type</v>
      </c>
      <c r="C175" t="s">
        <v>7297</v>
      </c>
    </row>
    <row r="176" spans="1:3" x14ac:dyDescent="0.25">
      <c r="A176" t="s">
        <v>137</v>
      </c>
      <c r="B176" s="110" t="str">
        <f>HYPERLINK("#'Data_Analysis_nonBNF'!A1279", "hh_size_range_overall_D_21_by_hh_type")</f>
        <v>hh_size_range_overall_D_21_by_hh_type</v>
      </c>
      <c r="C176" t="s">
        <v>7298</v>
      </c>
    </row>
    <row r="177" spans="1:3" x14ac:dyDescent="0.25">
      <c r="A177" t="s">
        <v>137</v>
      </c>
      <c r="B177" s="110" t="str">
        <f>HYPERLINK("#'Data_Analysis_nonBNF'!A1285", "hh_type_mixed_overall_17")</f>
        <v>hh_type_mixed_overall_17</v>
      </c>
      <c r="C177" t="s">
        <v>7299</v>
      </c>
    </row>
    <row r="178" spans="1:3" x14ac:dyDescent="0.25">
      <c r="A178" t="s">
        <v>137</v>
      </c>
      <c r="B178" s="110" t="str">
        <f>HYPERLINK("#'Data_Analysis_nonBNF'!A1289", "hh_type_overall_16")</f>
        <v>hh_type_overall_16</v>
      </c>
      <c r="C178" t="s">
        <v>7300</v>
      </c>
    </row>
    <row r="179" spans="1:3" x14ac:dyDescent="0.25">
      <c r="A179" t="s">
        <v>137</v>
      </c>
      <c r="B179" s="110" t="str">
        <f>HYPERLINK("#'Data_Analysis_nonBNF'!A1293", "hh_with_pwd_certificate_overall_30")</f>
        <v>hh_with_pwd_certificate_overall_30</v>
      </c>
      <c r="C179" t="s">
        <v>7301</v>
      </c>
    </row>
    <row r="180" spans="1:3" x14ac:dyDescent="0.25">
      <c r="A180" t="s">
        <v>137</v>
      </c>
      <c r="B180" s="110" t="str">
        <f>HYPERLINK("#'Data_Analysis_nonBNF'!A1297", "hh_with_pwd_certificate_overall_D_31_by_hh_with_pwd")</f>
        <v>hh_with_pwd_certificate_overall_D_31_by_hh_with_pwd</v>
      </c>
      <c r="C180" t="s">
        <v>7302</v>
      </c>
    </row>
    <row r="181" spans="1:3" x14ac:dyDescent="0.25">
      <c r="A181" t="s">
        <v>137</v>
      </c>
      <c r="B181" s="110" t="str">
        <f>HYPERLINK("#'Data_Analysis_nonBNF'!A1303", "hh_with_pwd_overall_D_27_by_hh_type")</f>
        <v>hh_with_pwd_overall_D_27_by_hh_type</v>
      </c>
      <c r="C181" t="s">
        <v>7303</v>
      </c>
    </row>
    <row r="182" spans="1:3" x14ac:dyDescent="0.25">
      <c r="A182" t="s">
        <v>137</v>
      </c>
      <c r="B182" s="110" t="str">
        <f>HYPERLINK("#'Data_Analysis_nonBNF'!A1309", "hh_with_pwd_rural_urban_28")</f>
        <v>hh_with_pwd_rural_urban_28</v>
      </c>
      <c r="C182" t="s">
        <v>7304</v>
      </c>
    </row>
    <row r="183" spans="1:3" x14ac:dyDescent="0.25">
      <c r="A183" t="s">
        <v>137</v>
      </c>
      <c r="B183" s="110" t="str">
        <f>HYPERLINK("#'Data_Analysis_nonBNF'!A1315", "legal_status_overall_D_4_by_refugee")</f>
        <v>legal_status_overall_D_4_by_refugee</v>
      </c>
      <c r="C183" t="s">
        <v>7305</v>
      </c>
    </row>
    <row r="184" spans="1:3" x14ac:dyDescent="0.25">
      <c r="A184" t="s">
        <v>779</v>
      </c>
      <c r="B184" s="110" t="str">
        <f>HYPERLINK("#'Data_Analysis_nonBNF'!A1321", "meet_needs_overall_D_369_by_hh_type")</f>
        <v>meet_needs_overall_D_369_by_hh_type</v>
      </c>
      <c r="C184" t="s">
        <v>7306</v>
      </c>
    </row>
    <row r="185" spans="1:3" x14ac:dyDescent="0.25">
      <c r="A185" t="s">
        <v>779</v>
      </c>
      <c r="B185" s="110" t="str">
        <f>HYPERLINK("#'Data_Analysis_nonBNF'!A1327", "meet_needs_overall_D_371_by_hh_size_range")</f>
        <v>meet_needs_overall_D_371_by_hh_size_range</v>
      </c>
      <c r="C185" t="s">
        <v>7307</v>
      </c>
    </row>
    <row r="186" spans="1:3" x14ac:dyDescent="0.25">
      <c r="A186" t="s">
        <v>779</v>
      </c>
      <c r="B186" s="110" t="str">
        <f>HYPERLINK("#'Data_Analysis_nonBNF'!A1334", "meet_needs_overall_D_372_by_hh_composition")</f>
        <v>meet_needs_overall_D_372_by_hh_composition</v>
      </c>
      <c r="C186" t="s">
        <v>7308</v>
      </c>
    </row>
    <row r="187" spans="1:3" x14ac:dyDescent="0.25">
      <c r="A187" t="s">
        <v>779</v>
      </c>
      <c r="B187" s="110" t="str">
        <f>HYPERLINK("#'Data_Analysis_nonBNF'!A1345", "meet_needs_overall_D_373_by_hh_with_pwd")</f>
        <v>meet_needs_overall_D_373_by_hh_with_pwd</v>
      </c>
      <c r="C187" t="s">
        <v>7309</v>
      </c>
    </row>
    <row r="188" spans="1:3" x14ac:dyDescent="0.25">
      <c r="A188" t="s">
        <v>779</v>
      </c>
      <c r="B188" s="110" t="str">
        <f>HYPERLINK("#'Data_Analysis_nonBNF'!A1351", "meet_needs_overall_D_374_by_accommodation_ownership")</f>
        <v>meet_needs_overall_D_374_by_accommodation_ownership</v>
      </c>
      <c r="C188" t="s">
        <v>7310</v>
      </c>
    </row>
    <row r="189" spans="1:3" x14ac:dyDescent="0.25">
      <c r="A189" t="s">
        <v>779</v>
      </c>
      <c r="B189" s="110" t="str">
        <f>HYPERLINK("#'Data_Analysis_nonBNF'!A1360", "meet_needs_overall_D_375_by_aver_monthly_income_range")</f>
        <v>meet_needs_overall_D_375_by_aver_monthly_income_range</v>
      </c>
      <c r="C189" t="s">
        <v>7311</v>
      </c>
    </row>
    <row r="190" spans="1:3" x14ac:dyDescent="0.25">
      <c r="A190" t="s">
        <v>779</v>
      </c>
      <c r="B190" s="110" t="str">
        <f>HYPERLINK("#'Data_Analysis_nonBNF'!A1371", "meet_needs_overall_D_376_by_perc_expenditure_spent_on_energy_nov")</f>
        <v>meet_needs_overall_D_376_by_perc_expenditure_spent_on_energy_nov</v>
      </c>
      <c r="C190" t="s">
        <v>7312</v>
      </c>
    </row>
    <row r="191" spans="1:3" x14ac:dyDescent="0.25">
      <c r="A191" t="s">
        <v>779</v>
      </c>
      <c r="B191" s="110" t="str">
        <f>HYPERLINK("#'Data_Analysis_nonBNF'!A1381", "meet_needs_overall_D_377_by_perc_expenditure_spent_on_energy_dec")</f>
        <v>meet_needs_overall_D_377_by_perc_expenditure_spent_on_energy_dec</v>
      </c>
      <c r="C191" t="s">
        <v>7313</v>
      </c>
    </row>
    <row r="192" spans="1:3" x14ac:dyDescent="0.25">
      <c r="A192" t="s">
        <v>779</v>
      </c>
      <c r="B192" s="110" t="str">
        <f>HYPERLINK("#'Data_Analysis_nonBNF'!A1390", "meet_needs_overall_D_378_by_perc_income_spent_on_energy_nov")</f>
        <v>meet_needs_overall_D_378_by_perc_income_spent_on_energy_nov</v>
      </c>
      <c r="C192" t="s">
        <v>7314</v>
      </c>
    </row>
    <row r="193" spans="1:3" x14ac:dyDescent="0.25">
      <c r="A193" t="s">
        <v>779</v>
      </c>
      <c r="B193" s="110" t="str">
        <f>HYPERLINK("#'Data_Analysis_nonBNF'!A1400", "meet_needs_overall_D_379_by_perc_income_spent_on_energy_dec")</f>
        <v>meet_needs_overall_D_379_by_perc_income_spent_on_energy_dec</v>
      </c>
      <c r="C193" t="s">
        <v>7315</v>
      </c>
    </row>
    <row r="194" spans="1:3" x14ac:dyDescent="0.25">
      <c r="A194" t="s">
        <v>779</v>
      </c>
      <c r="B194" s="110" t="str">
        <f>HYPERLINK("#'Data_Analysis_nonBNF'!A1410", "meet_needs_rural_urban_370")</f>
        <v>meet_needs_rural_urban_370</v>
      </c>
      <c r="C194" t="s">
        <v>7316</v>
      </c>
    </row>
    <row r="195" spans="1:3" x14ac:dyDescent="0.25">
      <c r="A195" t="s">
        <v>6521</v>
      </c>
      <c r="B195" s="110" t="str">
        <f>HYPERLINK("#'Data_Analysis_nonBNF'!A1416", "nonbnf_applied_evrf_overall_D_201_by_hh_type")</f>
        <v>nonbnf_applied_evrf_overall_D_201_by_hh_type</v>
      </c>
      <c r="C195" t="s">
        <v>7317</v>
      </c>
    </row>
    <row r="196" spans="1:3" x14ac:dyDescent="0.25">
      <c r="A196" t="s">
        <v>6521</v>
      </c>
      <c r="B196" s="110" t="str">
        <f>HYPERLINK("#'Data_Analysis_nonBNF'!A1422", "nonbnf_applied_evrf_overall_D_203_by_hh_with_pwd")</f>
        <v>nonbnf_applied_evrf_overall_D_203_by_hh_with_pwd</v>
      </c>
      <c r="C196" t="s">
        <v>7318</v>
      </c>
    </row>
    <row r="197" spans="1:3" x14ac:dyDescent="0.25">
      <c r="A197" t="s">
        <v>6521</v>
      </c>
      <c r="B197" s="110" t="str">
        <f>HYPERLINK("#'Data_Analysis_nonBNF'!A1428", "nonbnf_applied_evrf_overall_D_204_by_accommodation_ownership")</f>
        <v>nonbnf_applied_evrf_overall_D_204_by_accommodation_ownership</v>
      </c>
      <c r="C197" t="s">
        <v>7319</v>
      </c>
    </row>
    <row r="198" spans="1:3" x14ac:dyDescent="0.25">
      <c r="A198" t="s">
        <v>6521</v>
      </c>
      <c r="B198" s="110" t="str">
        <f>HYPERLINK("#'Data_Analysis_nonBNF'!A1437", "nonbnf_applied_evrf_overall_D_205_by_aver_monthly_income_range")</f>
        <v>nonbnf_applied_evrf_overall_D_205_by_aver_monthly_income_range</v>
      </c>
      <c r="C198" t="s">
        <v>7320</v>
      </c>
    </row>
    <row r="199" spans="1:3" x14ac:dyDescent="0.25">
      <c r="A199" t="s">
        <v>6521</v>
      </c>
      <c r="B199" s="110" t="str">
        <f>HYPERLINK("#'Data_Analysis_nonBNF'!A1448", "nonbnf_applied_evrf_overall_D_206_by_heat_system_primary")</f>
        <v>nonbnf_applied_evrf_overall_D_206_by_heat_system_primary</v>
      </c>
      <c r="C199" t="s">
        <v>7321</v>
      </c>
    </row>
    <row r="200" spans="1:3" x14ac:dyDescent="0.25">
      <c r="A200" t="s">
        <v>6521</v>
      </c>
      <c r="B200" s="110" t="str">
        <f>HYPERLINK("#'Data_Analysis_nonBNF'!A1456", "nonbnf_applied_evrf_overall_D_207_by_hh_heating_systems")</f>
        <v>nonbnf_applied_evrf_overall_D_207_by_hh_heating_systems</v>
      </c>
      <c r="C200" t="s">
        <v>7322</v>
      </c>
    </row>
    <row r="201" spans="1:3" x14ac:dyDescent="0.25">
      <c r="A201" t="s">
        <v>6521</v>
      </c>
      <c r="B201" s="110" t="str">
        <f>HYPERLINK("#'Data_Analysis_nonBNF'!A1465", "nonbnf_applied_evrf_overall_D_208_by_legal_status")</f>
        <v>nonbnf_applied_evrf_overall_D_208_by_legal_status</v>
      </c>
      <c r="C201" t="s">
        <v>7323</v>
      </c>
    </row>
    <row r="202" spans="1:3" x14ac:dyDescent="0.25">
      <c r="A202" t="s">
        <v>6521</v>
      </c>
      <c r="B202" s="110" t="str">
        <f>HYPERLINK("#'Data_Analysis_nonBNF'!A1472", "nonbnf_applied_evrf_overall_D_209_by_time_in_mda")</f>
        <v>nonbnf_applied_evrf_overall_D_209_by_time_in_mda</v>
      </c>
      <c r="C202" t="s">
        <v>7324</v>
      </c>
    </row>
    <row r="203" spans="1:3" x14ac:dyDescent="0.25">
      <c r="A203" t="s">
        <v>6521</v>
      </c>
      <c r="B203" s="110" t="str">
        <f>HYPERLINK("#'Data_Analysis_nonBNF'!A1478", "nonbnf_applied_evrf_overall_D_210_by_perc_expenditure_spent_on_energy_nov")</f>
        <v>nonbnf_applied_evrf_overall_D_210_by_perc_expenditure_spent_on_energy_nov</v>
      </c>
      <c r="C203" t="s">
        <v>7325</v>
      </c>
    </row>
    <row r="204" spans="1:3" x14ac:dyDescent="0.25">
      <c r="A204" t="s">
        <v>6521</v>
      </c>
      <c r="B204" s="110" t="str">
        <f>HYPERLINK("#'Data_Analysis_nonBNF'!A1488", "nonbnf_applied_evrf_overall_D_211_by_perc_expenditure_spent_on_energy_dec")</f>
        <v>nonbnf_applied_evrf_overall_D_211_by_perc_expenditure_spent_on_energy_dec</v>
      </c>
      <c r="C204" t="s">
        <v>7326</v>
      </c>
    </row>
    <row r="205" spans="1:3" x14ac:dyDescent="0.25">
      <c r="A205" t="s">
        <v>6521</v>
      </c>
      <c r="B205" s="110" t="str">
        <f>HYPERLINK("#'Data_Analysis_nonBNF'!A1497", "nonbnf_applied_evrf_overall_D_212_by_perc_income_spent_on_energy_nov")</f>
        <v>nonbnf_applied_evrf_overall_D_212_by_perc_income_spent_on_energy_nov</v>
      </c>
      <c r="C205" t="s">
        <v>7327</v>
      </c>
    </row>
    <row r="206" spans="1:3" x14ac:dyDescent="0.25">
      <c r="A206" t="s">
        <v>6521</v>
      </c>
      <c r="B206" s="110" t="str">
        <f>HYPERLINK("#'Data_Analysis_nonBNF'!A1507", "nonbnf_applied_evrf_overall_D_213_by_perc_income_spent_on_energy_dec")</f>
        <v>nonbnf_applied_evrf_overall_D_213_by_perc_income_spent_on_energy_dec</v>
      </c>
      <c r="C206" t="s">
        <v>7328</v>
      </c>
    </row>
    <row r="207" spans="1:3" x14ac:dyDescent="0.25">
      <c r="A207" t="s">
        <v>6521</v>
      </c>
      <c r="B207" s="110" t="str">
        <f>HYPERLINK("#'Data_Analysis_nonBNF'!A1517", "nonbnf_applied_evrf_overall_D_214_by_nonbnf_aware_of_evrf")</f>
        <v>nonbnf_applied_evrf_overall_D_214_by_nonbnf_aware_of_evrf</v>
      </c>
      <c r="C207" t="s">
        <v>7329</v>
      </c>
    </row>
    <row r="208" spans="1:3" x14ac:dyDescent="0.25">
      <c r="A208" t="s">
        <v>6521</v>
      </c>
      <c r="B208" s="110" t="str">
        <f>HYPERLINK("#'Data_Analysis_nonBNF'!A1523", "nonbnf_applied_evrf_rural_urban_202")</f>
        <v>nonbnf_applied_evrf_rural_urban_202</v>
      </c>
      <c r="C208" t="s">
        <v>7330</v>
      </c>
    </row>
    <row r="209" spans="1:3" x14ac:dyDescent="0.25">
      <c r="A209" t="s">
        <v>6521</v>
      </c>
      <c r="B209" s="110" t="str">
        <f>HYPERLINK("#'Data_Analysis_nonBNF'!A1529", "nonbnf_aware_of_evrf_overall_D_189_by_hh_type")</f>
        <v>nonbnf_aware_of_evrf_overall_D_189_by_hh_type</v>
      </c>
      <c r="C209" t="s">
        <v>7331</v>
      </c>
    </row>
    <row r="210" spans="1:3" x14ac:dyDescent="0.25">
      <c r="A210" t="s">
        <v>6521</v>
      </c>
      <c r="B210" s="110" t="str">
        <f>HYPERLINK("#'Data_Analysis_nonBNF'!A1535", "nonbnf_aware_of_evrf_overall_D_191_by_hh_with_pwd")</f>
        <v>nonbnf_aware_of_evrf_overall_D_191_by_hh_with_pwd</v>
      </c>
      <c r="C210" t="s">
        <v>7332</v>
      </c>
    </row>
    <row r="211" spans="1:3" x14ac:dyDescent="0.25">
      <c r="A211" t="s">
        <v>6521</v>
      </c>
      <c r="B211" s="110" t="str">
        <f>HYPERLINK("#'Data_Analysis_nonBNF'!A1541", "nonbnf_aware_of_evrf_overall_D_192_by_accommodation_ownership")</f>
        <v>nonbnf_aware_of_evrf_overall_D_192_by_accommodation_ownership</v>
      </c>
      <c r="C211" t="s">
        <v>7333</v>
      </c>
    </row>
    <row r="212" spans="1:3" x14ac:dyDescent="0.25">
      <c r="A212" t="s">
        <v>6521</v>
      </c>
      <c r="B212" s="110" t="str">
        <f>HYPERLINK("#'Data_Analysis_nonBNF'!A1550", "nonbnf_aware_of_evrf_overall_D_193_by_legal_status")</f>
        <v>nonbnf_aware_of_evrf_overall_D_193_by_legal_status</v>
      </c>
      <c r="C212" t="s">
        <v>7334</v>
      </c>
    </row>
    <row r="213" spans="1:3" x14ac:dyDescent="0.25">
      <c r="A213" t="s">
        <v>6521</v>
      </c>
      <c r="B213" s="110" t="str">
        <f>HYPERLINK("#'Data_Analysis_nonBNF'!A1557", "nonbnf_aware_of_evrf_overall_D_194_by_time_in_mda")</f>
        <v>nonbnf_aware_of_evrf_overall_D_194_by_time_in_mda</v>
      </c>
      <c r="C213" t="s">
        <v>7335</v>
      </c>
    </row>
    <row r="214" spans="1:3" x14ac:dyDescent="0.25">
      <c r="A214" t="s">
        <v>6521</v>
      </c>
      <c r="B214" s="110" t="str">
        <f>HYPERLINK("#'Data_Analysis_nonBNF'!A1563", "nonbnf_aware_of_evrf_overall_D_195_by_nonbnf_applied_evrf")</f>
        <v>nonbnf_aware_of_evrf_overall_D_195_by_nonbnf_applied_evrf</v>
      </c>
      <c r="C214" t="s">
        <v>7336</v>
      </c>
    </row>
    <row r="215" spans="1:3" x14ac:dyDescent="0.25">
      <c r="A215" t="s">
        <v>6521</v>
      </c>
      <c r="B215" s="110" t="str">
        <f>HYPERLINK("#'Data_Analysis_nonBNF'!A1569", "nonbnf_aware_of_evrf_overall_D_196_by_aware_of_evrf_how")</f>
        <v>nonbnf_aware_of_evrf_overall_D_196_by_aware_of_evrf_how</v>
      </c>
      <c r="C215" t="s">
        <v>7337</v>
      </c>
    </row>
    <row r="216" spans="1:3" x14ac:dyDescent="0.25">
      <c r="A216" t="s">
        <v>6521</v>
      </c>
      <c r="B216" s="110" t="str">
        <f>HYPERLINK("#'Data_Analysis_nonBNF'!A1581", "nonbnf_aware_of_evrf_rural_urban_190")</f>
        <v>nonbnf_aware_of_evrf_rural_urban_190</v>
      </c>
      <c r="C216" t="s">
        <v>7338</v>
      </c>
    </row>
    <row r="217" spans="1:3" x14ac:dyDescent="0.25">
      <c r="A217" t="s">
        <v>6521</v>
      </c>
      <c r="B217" s="110" t="str">
        <f>HYPERLINK("#'Data_Analysis_nonBNF'!A1587", "nonbnf_not_applied_evrf_overall_D_241_by_hh_type")</f>
        <v>nonbnf_not_applied_evrf_overall_D_241_by_hh_type</v>
      </c>
      <c r="C217" t="s">
        <v>7339</v>
      </c>
    </row>
    <row r="218" spans="1:3" x14ac:dyDescent="0.25">
      <c r="A218" t="s">
        <v>6521</v>
      </c>
      <c r="B218" s="110" t="str">
        <f>HYPERLINK("#'Data_Analysis_nonBNF'!A1593", "nonbnf_not_applied_evrf_overall_D_243_by_hh_composition")</f>
        <v>nonbnf_not_applied_evrf_overall_D_243_by_hh_composition</v>
      </c>
      <c r="C218" t="s">
        <v>7340</v>
      </c>
    </row>
    <row r="219" spans="1:3" x14ac:dyDescent="0.25">
      <c r="A219" t="s">
        <v>6521</v>
      </c>
      <c r="B219" s="110" t="str">
        <f>HYPERLINK("#'Data_Analysis_nonBNF'!A1604", "nonbnf_not_applied_evrf_overall_D_244_by_hh_with_pwd")</f>
        <v>nonbnf_not_applied_evrf_overall_D_244_by_hh_with_pwd</v>
      </c>
      <c r="C219" t="s">
        <v>7341</v>
      </c>
    </row>
    <row r="220" spans="1:3" x14ac:dyDescent="0.25">
      <c r="A220" t="s">
        <v>6521</v>
      </c>
      <c r="B220" s="110" t="str">
        <f>HYPERLINK("#'Data_Analysis_nonBNF'!A1610", "nonbnf_not_applied_evrf_overall_D_245_by_accommodation_ownership")</f>
        <v>nonbnf_not_applied_evrf_overall_D_245_by_accommodation_ownership</v>
      </c>
      <c r="C220" t="s">
        <v>7342</v>
      </c>
    </row>
    <row r="221" spans="1:3" x14ac:dyDescent="0.25">
      <c r="A221" t="s">
        <v>6521</v>
      </c>
      <c r="B221" s="110" t="str">
        <f>HYPERLINK("#'Data_Analysis_nonBNF'!A1618", "nonbnf_not_applied_evrf_overall_D_246_by_aver_monthly_income_range")</f>
        <v>nonbnf_not_applied_evrf_overall_D_246_by_aver_monthly_income_range</v>
      </c>
      <c r="C221" t="s">
        <v>7343</v>
      </c>
    </row>
    <row r="222" spans="1:3" x14ac:dyDescent="0.25">
      <c r="A222" t="s">
        <v>6521</v>
      </c>
      <c r="B222" s="110" t="str">
        <f>HYPERLINK("#'Data_Analysis_nonBNF'!A1629", "nonbnf_not_applied_evrf_overall_D_247_by_legal_status")</f>
        <v>nonbnf_not_applied_evrf_overall_D_247_by_legal_status</v>
      </c>
      <c r="C222" t="s">
        <v>7344</v>
      </c>
    </row>
    <row r="223" spans="1:3" x14ac:dyDescent="0.25">
      <c r="A223" t="s">
        <v>6521</v>
      </c>
      <c r="B223" s="110" t="str">
        <f>HYPERLINK("#'Data_Analysis_nonBNF'!A1636", "nonbnf_not_applied_evrf_overall_D_248_by_time_in_mda")</f>
        <v>nonbnf_not_applied_evrf_overall_D_248_by_time_in_mda</v>
      </c>
      <c r="C223" t="s">
        <v>7345</v>
      </c>
    </row>
    <row r="224" spans="1:3" x14ac:dyDescent="0.25">
      <c r="A224" t="s">
        <v>6521</v>
      </c>
      <c r="B224" s="110" t="str">
        <f>HYPERLINK("#'Data_Analysis_nonBNF'!A1642", "nonbnf_not_applied_evrf_overall_D_249_by_perc_expenditure_spent_on_energy_nov")</f>
        <v>nonbnf_not_applied_evrf_overall_D_249_by_perc_expenditure_spent_on_energy_nov</v>
      </c>
      <c r="C224" t="s">
        <v>7346</v>
      </c>
    </row>
    <row r="225" spans="1:3" x14ac:dyDescent="0.25">
      <c r="A225" t="s">
        <v>6521</v>
      </c>
      <c r="B225" s="110" t="str">
        <f>HYPERLINK("#'Data_Analysis_nonBNF'!A1652", "nonbnf_not_applied_evrf_overall_D_250_by_perc_expenditure_spent_on_energy_dec")</f>
        <v>nonbnf_not_applied_evrf_overall_D_250_by_perc_expenditure_spent_on_energy_dec</v>
      </c>
      <c r="C225" t="s">
        <v>7347</v>
      </c>
    </row>
    <row r="226" spans="1:3" x14ac:dyDescent="0.25">
      <c r="A226" t="s">
        <v>6521</v>
      </c>
      <c r="B226" s="110" t="str">
        <f>HYPERLINK("#'Data_Analysis_nonBNF'!A1661", "nonbnf_not_applied_evrf_overall_D_251_by_perc_income_spent_on_energy_nov")</f>
        <v>nonbnf_not_applied_evrf_overall_D_251_by_perc_income_spent_on_energy_nov</v>
      </c>
      <c r="C226" t="s">
        <v>7348</v>
      </c>
    </row>
    <row r="227" spans="1:3" x14ac:dyDescent="0.25">
      <c r="A227" t="s">
        <v>6521</v>
      </c>
      <c r="B227" s="110" t="str">
        <f>HYPERLINK("#'Data_Analysis_nonBNF'!A1671", "nonbnf_not_applied_evrf_overall_D_252_by_perc_income_spent_on_energy_dec")</f>
        <v>nonbnf_not_applied_evrf_overall_D_252_by_perc_income_spent_on_energy_dec</v>
      </c>
      <c r="C227" t="s">
        <v>7349</v>
      </c>
    </row>
    <row r="228" spans="1:3" x14ac:dyDescent="0.25">
      <c r="A228" t="s">
        <v>6521</v>
      </c>
      <c r="B228" s="110" t="str">
        <f>HYPERLINK("#'Data_Analysis_nonBNF'!A1681", "nonbnf_not_applied_evrf_overall_D_253_by_nonbnf_aware_of_evrf")</f>
        <v>nonbnf_not_applied_evrf_overall_D_253_by_nonbnf_aware_of_evrf</v>
      </c>
      <c r="C228" t="s">
        <v>7350</v>
      </c>
    </row>
    <row r="229" spans="1:3" x14ac:dyDescent="0.25">
      <c r="A229" t="s">
        <v>6521</v>
      </c>
      <c r="B229" s="110" t="str">
        <f>HYPERLINK("#'Data_Analysis_nonBNF'!A1687", "nonbnf_not_applied_evrf_rural_urban_242")</f>
        <v>nonbnf_not_applied_evrf_rural_urban_242</v>
      </c>
      <c r="C229" t="s">
        <v>7351</v>
      </c>
    </row>
    <row r="230" spans="1:3" x14ac:dyDescent="0.25">
      <c r="A230" t="s">
        <v>6521</v>
      </c>
      <c r="B230" s="110" t="str">
        <f>HYPERLINK("#'Data_Analysis_nonBNF'!A1693", "nonbnf_reason_no_evrf_overall_D_227_by_hh_type")</f>
        <v>nonbnf_reason_no_evrf_overall_D_227_by_hh_type</v>
      </c>
      <c r="C230" t="s">
        <v>7352</v>
      </c>
    </row>
    <row r="231" spans="1:3" x14ac:dyDescent="0.25">
      <c r="A231" t="s">
        <v>6521</v>
      </c>
      <c r="B231" s="110" t="str">
        <f>HYPERLINK("#'Data_Analysis_nonBNF'!A1699", "nonbnf_reason_no_evrf_overall_D_229_by_hh_composition")</f>
        <v>nonbnf_reason_no_evrf_overall_D_229_by_hh_composition</v>
      </c>
      <c r="C231" t="s">
        <v>7353</v>
      </c>
    </row>
    <row r="232" spans="1:3" x14ac:dyDescent="0.25">
      <c r="A232" t="s">
        <v>6521</v>
      </c>
      <c r="B232" s="110" t="str">
        <f>HYPERLINK("#'Data_Analysis_nonBNF'!A1710", "nonbnf_reason_no_evrf_overall_D_230_by_hh_with_pwd")</f>
        <v>nonbnf_reason_no_evrf_overall_D_230_by_hh_with_pwd</v>
      </c>
      <c r="C232" t="s">
        <v>7354</v>
      </c>
    </row>
    <row r="233" spans="1:3" x14ac:dyDescent="0.25">
      <c r="A233" t="s">
        <v>6521</v>
      </c>
      <c r="B233" s="110" t="str">
        <f>HYPERLINK("#'Data_Analysis_nonBNF'!A1716", "nonbnf_reason_no_evrf_overall_D_231_by_accommodation_ownership")</f>
        <v>nonbnf_reason_no_evrf_overall_D_231_by_accommodation_ownership</v>
      </c>
      <c r="C233" t="s">
        <v>7355</v>
      </c>
    </row>
    <row r="234" spans="1:3" x14ac:dyDescent="0.25">
      <c r="A234" t="s">
        <v>6521</v>
      </c>
      <c r="B234" s="110" t="str">
        <f>HYPERLINK("#'Data_Analysis_nonBNF'!A1725", "nonbnf_reason_no_evrf_overall_D_232_by_aver_monthly_income_range")</f>
        <v>nonbnf_reason_no_evrf_overall_D_232_by_aver_monthly_income_range</v>
      </c>
      <c r="C234" t="s">
        <v>7356</v>
      </c>
    </row>
    <row r="235" spans="1:3" x14ac:dyDescent="0.25">
      <c r="A235" t="s">
        <v>6521</v>
      </c>
      <c r="B235" s="110" t="str">
        <f>HYPERLINK("#'Data_Analysis_nonBNF'!A1735", "nonbnf_reason_no_evrf_overall_D_233_by_heat_system_primary")</f>
        <v>nonbnf_reason_no_evrf_overall_D_233_by_heat_system_primary</v>
      </c>
      <c r="C235" t="s">
        <v>7357</v>
      </c>
    </row>
    <row r="236" spans="1:3" x14ac:dyDescent="0.25">
      <c r="A236" t="s">
        <v>6521</v>
      </c>
      <c r="B236" s="110" t="str">
        <f>HYPERLINK("#'Data_Analysis_nonBNF'!A1743", "nonbnf_reason_no_evrf_overall_D_234_by_hh_heating_systems")</f>
        <v>nonbnf_reason_no_evrf_overall_D_234_by_hh_heating_systems</v>
      </c>
      <c r="C236" t="s">
        <v>7358</v>
      </c>
    </row>
    <row r="237" spans="1:3" x14ac:dyDescent="0.25">
      <c r="A237" t="s">
        <v>6521</v>
      </c>
      <c r="B237" s="110" t="str">
        <f>HYPERLINK("#'Data_Analysis_nonBNF'!A1752", "nonbnf_reason_no_evrf_overall_D_235_by_legal_status")</f>
        <v>nonbnf_reason_no_evrf_overall_D_235_by_legal_status</v>
      </c>
      <c r="C237" t="s">
        <v>7359</v>
      </c>
    </row>
    <row r="238" spans="1:3" x14ac:dyDescent="0.25">
      <c r="A238" t="s">
        <v>6521</v>
      </c>
      <c r="B238" s="110" t="str">
        <f>HYPERLINK("#'Data_Analysis_nonBNF'!A1759", "nonbnf_reason_no_evrf_overall_D_236_by_time_in_mda")</f>
        <v>nonbnf_reason_no_evrf_overall_D_236_by_time_in_mda</v>
      </c>
      <c r="C238" t="s">
        <v>7360</v>
      </c>
    </row>
    <row r="239" spans="1:3" x14ac:dyDescent="0.25">
      <c r="A239" t="s">
        <v>6521</v>
      </c>
      <c r="B239" s="110" t="str">
        <f>HYPERLINK("#'Data_Analysis_nonBNF'!A1764", "nonbnf_reason_no_evrf_overall_D_237_by_perc_expenditure_spent_on_energy_nov")</f>
        <v>nonbnf_reason_no_evrf_overall_D_237_by_perc_expenditure_spent_on_energy_nov</v>
      </c>
      <c r="C239" t="s">
        <v>7361</v>
      </c>
    </row>
    <row r="240" spans="1:3" x14ac:dyDescent="0.25">
      <c r="A240" t="s">
        <v>6521</v>
      </c>
      <c r="B240" s="110" t="str">
        <f>HYPERLINK("#'Data_Analysis_nonBNF'!A1772", "nonbnf_reason_no_evrf_overall_D_238_by_perc_expenditure_spent_on_energy_dec")</f>
        <v>nonbnf_reason_no_evrf_overall_D_238_by_perc_expenditure_spent_on_energy_dec</v>
      </c>
      <c r="C240" t="s">
        <v>7362</v>
      </c>
    </row>
    <row r="241" spans="1:3" x14ac:dyDescent="0.25">
      <c r="A241" t="s">
        <v>6521</v>
      </c>
      <c r="B241" s="110" t="str">
        <f>HYPERLINK("#'Data_Analysis_nonBNF'!A1781", "nonbnf_reason_no_evrf_overall_D_239_by_perc_income_spent_on_energy_nov")</f>
        <v>nonbnf_reason_no_evrf_overall_D_239_by_perc_income_spent_on_energy_nov</v>
      </c>
      <c r="C241" t="s">
        <v>7363</v>
      </c>
    </row>
    <row r="242" spans="1:3" x14ac:dyDescent="0.25">
      <c r="A242" t="s">
        <v>6521</v>
      </c>
      <c r="B242" s="110" t="str">
        <f>HYPERLINK("#'Data_Analysis_nonBNF'!A1791", "nonbnf_reason_no_evrf_overall_D_240_by_perc_income_spent_on_energy_dec")</f>
        <v>nonbnf_reason_no_evrf_overall_D_240_by_perc_income_spent_on_energy_dec</v>
      </c>
      <c r="C242" t="s">
        <v>7364</v>
      </c>
    </row>
    <row r="243" spans="1:3" x14ac:dyDescent="0.25">
      <c r="A243" t="s">
        <v>6521</v>
      </c>
      <c r="B243" s="110" t="str">
        <f>HYPERLINK("#'Data_Analysis_nonBNF'!A1801", "nonbnf_reason_no_evrf_rural_urban_228")</f>
        <v>nonbnf_reason_no_evrf_rural_urban_228</v>
      </c>
      <c r="C243" t="s">
        <v>7365</v>
      </c>
    </row>
    <row r="244" spans="1:3" x14ac:dyDescent="0.25">
      <c r="A244" t="s">
        <v>137</v>
      </c>
      <c r="B244" s="110" t="str">
        <f>HYPERLINK("#'Data_Analysis_nonBNF'!A1807", "nr_children_overall_D_26_by_hh_type")</f>
        <v>nr_children_overall_D_26_by_hh_type</v>
      </c>
      <c r="C244" t="s">
        <v>7366</v>
      </c>
    </row>
    <row r="245" spans="1:3" x14ac:dyDescent="0.25">
      <c r="A245" t="s">
        <v>137</v>
      </c>
      <c r="B245" s="110" t="str">
        <f>HYPERLINK("#'Data_Analysis_nonBNF'!A1812", "nr_ppl_disability_certificate_overall_D_29_by_hh_type")</f>
        <v>nr_ppl_disability_certificate_overall_D_29_by_hh_type</v>
      </c>
      <c r="C245" t="s">
        <v>7367</v>
      </c>
    </row>
    <row r="246" spans="1:3" x14ac:dyDescent="0.25">
      <c r="A246" t="s">
        <v>137</v>
      </c>
      <c r="B246" s="110" t="str">
        <f>HYPERLINK("#'Data_Analysis_nonBNF'!A1817", "nr_ppl_disability_support_cat_overall_D_32_by_hh_type")</f>
        <v>nr_ppl_disability_support_cat_overall_D_32_by_hh_type</v>
      </c>
      <c r="C246" t="s">
        <v>7368</v>
      </c>
    </row>
    <row r="247" spans="1:3" x14ac:dyDescent="0.25">
      <c r="A247" t="s">
        <v>6522</v>
      </c>
      <c r="B247" s="110" t="str">
        <f>HYPERLINK("#'Data_Analysis_nonBNF'!A1823", "nr_ppl_earning_income_range_overall_D_38_by_hh_type")</f>
        <v>nr_ppl_earning_income_range_overall_D_38_by_hh_type</v>
      </c>
      <c r="C247" t="s">
        <v>7369</v>
      </c>
    </row>
    <row r="248" spans="1:3" x14ac:dyDescent="0.25">
      <c r="A248" t="s">
        <v>6522</v>
      </c>
      <c r="B248" s="110" t="str">
        <f>HYPERLINK("#'Data_Analysis_nonBNF'!A1829", "nr_ppl_earning_income_range_overall_D_40_by_hh_size_range")</f>
        <v>nr_ppl_earning_income_range_overall_D_40_by_hh_size_range</v>
      </c>
      <c r="C248" t="s">
        <v>7370</v>
      </c>
    </row>
    <row r="249" spans="1:3" x14ac:dyDescent="0.25">
      <c r="A249" t="s">
        <v>6522</v>
      </c>
      <c r="B249" s="110" t="str">
        <f>HYPERLINK("#'Data_Analysis_nonBNF'!A1836", "nr_ppl_earning_income_range_overall_D_41_by_hh_composition")</f>
        <v>nr_ppl_earning_income_range_overall_D_41_by_hh_composition</v>
      </c>
      <c r="C249" t="s">
        <v>7371</v>
      </c>
    </row>
    <row r="250" spans="1:3" x14ac:dyDescent="0.25">
      <c r="A250" t="s">
        <v>6522</v>
      </c>
      <c r="B250" s="110" t="str">
        <f>HYPERLINK("#'Data_Analysis_nonBNF'!A1847", "nr_ppl_earning_income_range_rural_urban_39")</f>
        <v>nr_ppl_earning_income_range_rural_urban_39</v>
      </c>
      <c r="C250" t="s">
        <v>7372</v>
      </c>
    </row>
    <row r="251" spans="1:3" x14ac:dyDescent="0.25">
      <c r="A251" t="s">
        <v>6523</v>
      </c>
      <c r="B251" s="110" t="str">
        <f>HYPERLINK("#'Data_Analysis_nonBNF'!A1853", "perc_expenditure_spent_on_energy_dec_overall_D_141_by_hh_type")</f>
        <v>perc_expenditure_spent_on_energy_dec_overall_D_141_by_hh_type</v>
      </c>
      <c r="C251" t="s">
        <v>7373</v>
      </c>
    </row>
    <row r="252" spans="1:3" x14ac:dyDescent="0.25">
      <c r="A252" t="s">
        <v>6523</v>
      </c>
      <c r="B252" s="110" t="str">
        <f>HYPERLINK("#'Data_Analysis_nonBNF'!A1859", "perc_expenditure_spent_on_energy_dec_overall_D_143_by_hh_size_range")</f>
        <v>perc_expenditure_spent_on_energy_dec_overall_D_143_by_hh_size_range</v>
      </c>
      <c r="C252" t="s">
        <v>7374</v>
      </c>
    </row>
    <row r="253" spans="1:3" x14ac:dyDescent="0.25">
      <c r="A253" t="s">
        <v>6523</v>
      </c>
      <c r="B253" s="110" t="str">
        <f>HYPERLINK("#'Data_Analysis_nonBNF'!A1866", "perc_expenditure_spent_on_energy_dec_overall_D_144_by_hh_composition")</f>
        <v>perc_expenditure_spent_on_energy_dec_overall_D_144_by_hh_composition</v>
      </c>
      <c r="C253" t="s">
        <v>7375</v>
      </c>
    </row>
    <row r="254" spans="1:3" x14ac:dyDescent="0.25">
      <c r="A254" t="s">
        <v>6523</v>
      </c>
      <c r="B254" s="110" t="str">
        <f>HYPERLINK("#'Data_Analysis_nonBNF'!A1877", "perc_expenditure_spent_on_energy_dec_overall_D_145_by_hh_with_pwd")</f>
        <v>perc_expenditure_spent_on_energy_dec_overall_D_145_by_hh_with_pwd</v>
      </c>
      <c r="C254" t="s">
        <v>7376</v>
      </c>
    </row>
    <row r="255" spans="1:3" x14ac:dyDescent="0.25">
      <c r="A255" t="s">
        <v>6523</v>
      </c>
      <c r="B255" s="110" t="str">
        <f>HYPERLINK("#'Data_Analysis_nonBNF'!A1883", "perc_expenditure_spent_on_energy_dec_overall_D_146_by_accommodation_ownership")</f>
        <v>perc_expenditure_spent_on_energy_dec_overall_D_146_by_accommodation_ownership</v>
      </c>
      <c r="C255" t="s">
        <v>7377</v>
      </c>
    </row>
    <row r="256" spans="1:3" x14ac:dyDescent="0.25">
      <c r="A256" t="s">
        <v>6523</v>
      </c>
      <c r="B256" s="110" t="str">
        <f>HYPERLINK("#'Data_Analysis_nonBNF'!A1892", "perc_expenditure_spent_on_energy_dec_overall_D_147_by_aver_monthly_income_range")</f>
        <v>perc_expenditure_spent_on_energy_dec_overall_D_147_by_aver_monthly_income_range</v>
      </c>
      <c r="C256" t="s">
        <v>7378</v>
      </c>
    </row>
    <row r="257" spans="1:3" x14ac:dyDescent="0.25">
      <c r="A257" t="s">
        <v>6523</v>
      </c>
      <c r="B257" s="110" t="str">
        <f>HYPERLINK("#'Data_Analysis_nonBNF'!A1903", "perc_expenditure_spent_on_energy_dec_overall_D_148_by_perc_expenditure_spent_on_energy_nov")</f>
        <v>perc_expenditure_spent_on_energy_dec_overall_D_148_by_perc_expenditure_spent_on_energy_nov</v>
      </c>
      <c r="C257" t="s">
        <v>7379</v>
      </c>
    </row>
    <row r="258" spans="1:3" x14ac:dyDescent="0.25">
      <c r="A258" t="s">
        <v>6523</v>
      </c>
      <c r="B258" s="110" t="str">
        <f>HYPERLINK("#'Data_Analysis_nonBNF'!A1913", "perc_expenditure_spent_on_energy_dec_rural_urban_142")</f>
        <v>perc_expenditure_spent_on_energy_dec_rural_urban_142</v>
      </c>
      <c r="C258" t="s">
        <v>7380</v>
      </c>
    </row>
    <row r="259" spans="1:3" x14ac:dyDescent="0.25">
      <c r="A259" t="s">
        <v>6524</v>
      </c>
      <c r="B259" s="110" t="str">
        <f>HYPERLINK("#'Data_Analysis_nonBNF'!A1919", "perc_expenditure_spent_on_energy_nov_overall_D_92_by_hh_type")</f>
        <v>perc_expenditure_spent_on_energy_nov_overall_D_92_by_hh_type</v>
      </c>
      <c r="C259" t="s">
        <v>7381</v>
      </c>
    </row>
    <row r="260" spans="1:3" x14ac:dyDescent="0.25">
      <c r="A260" t="s">
        <v>6524</v>
      </c>
      <c r="B260" s="110" t="str">
        <f>HYPERLINK("#'Data_Analysis_nonBNF'!A1925", "perc_expenditure_spent_on_energy_nov_overall_D_94_by_hh_size_range")</f>
        <v>perc_expenditure_spent_on_energy_nov_overall_D_94_by_hh_size_range</v>
      </c>
      <c r="C260" t="s">
        <v>7382</v>
      </c>
    </row>
    <row r="261" spans="1:3" x14ac:dyDescent="0.25">
      <c r="A261" t="s">
        <v>6524</v>
      </c>
      <c r="B261" s="110" t="str">
        <f>HYPERLINK("#'Data_Analysis_nonBNF'!A1932", "perc_expenditure_spent_on_energy_nov_overall_D_95_by_hh_composition")</f>
        <v>perc_expenditure_spent_on_energy_nov_overall_D_95_by_hh_composition</v>
      </c>
      <c r="C261" t="s">
        <v>7383</v>
      </c>
    </row>
    <row r="262" spans="1:3" x14ac:dyDescent="0.25">
      <c r="A262" t="s">
        <v>6524</v>
      </c>
      <c r="B262" s="110" t="str">
        <f>HYPERLINK("#'Data_Analysis_nonBNF'!A1943", "perc_expenditure_spent_on_energy_nov_overall_D_96_by_hh_with_pwd")</f>
        <v>perc_expenditure_spent_on_energy_nov_overall_D_96_by_hh_with_pwd</v>
      </c>
      <c r="C262" t="s">
        <v>7384</v>
      </c>
    </row>
    <row r="263" spans="1:3" x14ac:dyDescent="0.25">
      <c r="A263" t="s">
        <v>6524</v>
      </c>
      <c r="B263" s="110" t="str">
        <f>HYPERLINK("#'Data_Analysis_nonBNF'!A1949", "perc_expenditure_spent_on_energy_nov_overall_D_97_by_accommodation_ownership")</f>
        <v>perc_expenditure_spent_on_energy_nov_overall_D_97_by_accommodation_ownership</v>
      </c>
      <c r="C263" t="s">
        <v>7385</v>
      </c>
    </row>
    <row r="264" spans="1:3" x14ac:dyDescent="0.25">
      <c r="A264" t="s">
        <v>6524</v>
      </c>
      <c r="B264" s="110" t="str">
        <f>HYPERLINK("#'Data_Analysis_nonBNF'!A1958", "perc_expenditure_spent_on_energy_nov_overall_D_98_by_aver_monthly_income_range")</f>
        <v>perc_expenditure_spent_on_energy_nov_overall_D_98_by_aver_monthly_income_range</v>
      </c>
      <c r="C264" t="s">
        <v>7386</v>
      </c>
    </row>
    <row r="265" spans="1:3" x14ac:dyDescent="0.25">
      <c r="A265" t="s">
        <v>6524</v>
      </c>
      <c r="B265" s="110" t="str">
        <f>HYPERLINK("#'Data_Analysis_nonBNF'!A1969", "perc_expenditure_spent_on_energy_nov_rural_urban_93")</f>
        <v>perc_expenditure_spent_on_energy_nov_rural_urban_93</v>
      </c>
      <c r="C265" t="s">
        <v>7387</v>
      </c>
    </row>
    <row r="266" spans="1:3" x14ac:dyDescent="0.25">
      <c r="A266" t="s">
        <v>6523</v>
      </c>
      <c r="B266" s="110" t="str">
        <f>HYPERLINK("#'Data_Analysis_nonBNF'!A1975", "perc_income_spent_on_energy_dec_overall_D_149_by_hh_type")</f>
        <v>perc_income_spent_on_energy_dec_overall_D_149_by_hh_type</v>
      </c>
      <c r="C266" t="s">
        <v>7388</v>
      </c>
    </row>
    <row r="267" spans="1:3" x14ac:dyDescent="0.25">
      <c r="A267" t="s">
        <v>6523</v>
      </c>
      <c r="B267" s="110" t="str">
        <f>HYPERLINK("#'Data_Analysis_nonBNF'!A1981", "perc_income_spent_on_energy_dec_overall_D_151_by_hh_size_range")</f>
        <v>perc_income_spent_on_energy_dec_overall_D_151_by_hh_size_range</v>
      </c>
      <c r="C267" t="s">
        <v>7389</v>
      </c>
    </row>
    <row r="268" spans="1:3" x14ac:dyDescent="0.25">
      <c r="A268" t="s">
        <v>6523</v>
      </c>
      <c r="B268" s="110" t="str">
        <f>HYPERLINK("#'Data_Analysis_nonBNF'!A1988", "perc_income_spent_on_energy_dec_overall_D_152_by_hh_composition")</f>
        <v>perc_income_spent_on_energy_dec_overall_D_152_by_hh_composition</v>
      </c>
      <c r="C268" t="s">
        <v>7390</v>
      </c>
    </row>
    <row r="269" spans="1:3" x14ac:dyDescent="0.25">
      <c r="A269" t="s">
        <v>6523</v>
      </c>
      <c r="B269" s="110" t="str">
        <f>HYPERLINK("#'Data_Analysis_nonBNF'!A1999", "perc_income_spent_on_energy_dec_overall_D_153_by_hh_with_pwd")</f>
        <v>perc_income_spent_on_energy_dec_overall_D_153_by_hh_with_pwd</v>
      </c>
      <c r="C269" t="s">
        <v>7391</v>
      </c>
    </row>
    <row r="270" spans="1:3" x14ac:dyDescent="0.25">
      <c r="A270" t="s">
        <v>6523</v>
      </c>
      <c r="B270" s="110" t="str">
        <f>HYPERLINK("#'Data_Analysis_nonBNF'!A2005", "perc_income_spent_on_energy_dec_overall_D_154_by_accommodation_ownership")</f>
        <v>perc_income_spent_on_energy_dec_overall_D_154_by_accommodation_ownership</v>
      </c>
      <c r="C270" t="s">
        <v>7392</v>
      </c>
    </row>
    <row r="271" spans="1:3" x14ac:dyDescent="0.25">
      <c r="A271" t="s">
        <v>6523</v>
      </c>
      <c r="B271" s="110" t="str">
        <f>HYPERLINK("#'Data_Analysis_nonBNF'!A2014", "perc_income_spent_on_energy_dec_overall_D_155_by_aver_monthly_income_range")</f>
        <v>perc_income_spent_on_energy_dec_overall_D_155_by_aver_monthly_income_range</v>
      </c>
      <c r="C271" t="s">
        <v>7393</v>
      </c>
    </row>
    <row r="272" spans="1:3" x14ac:dyDescent="0.25">
      <c r="A272" t="s">
        <v>6523</v>
      </c>
      <c r="B272" s="110" t="str">
        <f>HYPERLINK("#'Data_Analysis_nonBNF'!A2025", "perc_income_spent_on_energy_dec_rural_urban_150")</f>
        <v>perc_income_spent_on_energy_dec_rural_urban_150</v>
      </c>
      <c r="C272" t="s">
        <v>7394</v>
      </c>
    </row>
    <row r="273" spans="1:3" x14ac:dyDescent="0.25">
      <c r="A273" t="s">
        <v>6524</v>
      </c>
      <c r="B273" s="110" t="str">
        <f>HYPERLINK("#'Data_Analysis_nonBNF'!A2031", "perc_income_spent_on_energy_nov_overall_D_101_by_hh_size_range")</f>
        <v>perc_income_spent_on_energy_nov_overall_D_101_by_hh_size_range</v>
      </c>
      <c r="C273" t="s">
        <v>7395</v>
      </c>
    </row>
    <row r="274" spans="1:3" x14ac:dyDescent="0.25">
      <c r="A274" t="s">
        <v>6524</v>
      </c>
      <c r="B274" s="110" t="str">
        <f>HYPERLINK("#'Data_Analysis_nonBNF'!A2038", "perc_income_spent_on_energy_nov_overall_D_102_by_hh_composition")</f>
        <v>perc_income_spent_on_energy_nov_overall_D_102_by_hh_composition</v>
      </c>
      <c r="C274" t="s">
        <v>7396</v>
      </c>
    </row>
    <row r="275" spans="1:3" x14ac:dyDescent="0.25">
      <c r="A275" t="s">
        <v>6524</v>
      </c>
      <c r="B275" s="110" t="str">
        <f>HYPERLINK("#'Data_Analysis_nonBNF'!A2049", "perc_income_spent_on_energy_nov_overall_D_103_by_hh_with_pwd")</f>
        <v>perc_income_spent_on_energy_nov_overall_D_103_by_hh_with_pwd</v>
      </c>
      <c r="C275" t="s">
        <v>7397</v>
      </c>
    </row>
    <row r="276" spans="1:3" x14ac:dyDescent="0.25">
      <c r="A276" t="s">
        <v>6524</v>
      </c>
      <c r="B276" s="110" t="str">
        <f>HYPERLINK("#'Data_Analysis_nonBNF'!A2055", "perc_income_spent_on_energy_nov_overall_D_104_by_accommodation_ownership")</f>
        <v>perc_income_spent_on_energy_nov_overall_D_104_by_accommodation_ownership</v>
      </c>
      <c r="C276" t="s">
        <v>7398</v>
      </c>
    </row>
    <row r="277" spans="1:3" x14ac:dyDescent="0.25">
      <c r="A277" t="s">
        <v>6524</v>
      </c>
      <c r="B277" s="110" t="str">
        <f>HYPERLINK("#'Data_Analysis_nonBNF'!A2064", "perc_income_spent_on_energy_nov_overall_D_105_by_aver_monthly_income_range")</f>
        <v>perc_income_spent_on_energy_nov_overall_D_105_by_aver_monthly_income_range</v>
      </c>
      <c r="C277" t="s">
        <v>7399</v>
      </c>
    </row>
    <row r="278" spans="1:3" x14ac:dyDescent="0.25">
      <c r="A278" t="s">
        <v>6524</v>
      </c>
      <c r="B278" s="110" t="str">
        <f>HYPERLINK("#'Data_Analysis_nonBNF'!A2075", "perc_income_spent_on_energy_nov_overall_D_99_by_hh_type")</f>
        <v>perc_income_spent_on_energy_nov_overall_D_99_by_hh_type</v>
      </c>
      <c r="C278" t="s">
        <v>7400</v>
      </c>
    </row>
    <row r="279" spans="1:3" x14ac:dyDescent="0.25">
      <c r="A279" t="s">
        <v>6524</v>
      </c>
      <c r="B279" s="110" t="str">
        <f>HYPERLINK("#'Data_Analysis_nonBNF'!A2081", "perc_income_spent_on_energy_nov_rural_urban_100")</f>
        <v>perc_income_spent_on_energy_nov_rural_urban_100</v>
      </c>
      <c r="C279" t="s">
        <v>7401</v>
      </c>
    </row>
    <row r="280" spans="1:3" x14ac:dyDescent="0.25">
      <c r="A280" t="s">
        <v>6527</v>
      </c>
      <c r="B280" s="110" t="str">
        <f>HYPERLINK("#'Data_Analysis_nonBNF'!A2087", "reduce_electricity_overall_D_315_by_hh_type")</f>
        <v>reduce_electricity_overall_D_315_by_hh_type</v>
      </c>
      <c r="C280" t="s">
        <v>7402</v>
      </c>
    </row>
    <row r="281" spans="1:3" x14ac:dyDescent="0.25">
      <c r="A281" t="s">
        <v>6527</v>
      </c>
      <c r="B281" s="110" t="str">
        <f>HYPERLINK("#'Data_Analysis_nonBNF'!A2093", "reduce_electricity_overall_D_317_by_hh_size_range")</f>
        <v>reduce_electricity_overall_D_317_by_hh_size_range</v>
      </c>
      <c r="C281" t="s">
        <v>7403</v>
      </c>
    </row>
    <row r="282" spans="1:3" x14ac:dyDescent="0.25">
      <c r="A282" t="s">
        <v>6527</v>
      </c>
      <c r="B282" s="110" t="str">
        <f>HYPERLINK("#'Data_Analysis_nonBNF'!A2100", "reduce_electricity_overall_D_318_by_hh_composition")</f>
        <v>reduce_electricity_overall_D_318_by_hh_composition</v>
      </c>
      <c r="C282" t="s">
        <v>7404</v>
      </c>
    </row>
    <row r="283" spans="1:3" x14ac:dyDescent="0.25">
      <c r="A283" t="s">
        <v>6527</v>
      </c>
      <c r="B283" s="110" t="str">
        <f>HYPERLINK("#'Data_Analysis_nonBNF'!A2111", "reduce_electricity_overall_D_319_by_hh_with_pwd")</f>
        <v>reduce_electricity_overall_D_319_by_hh_with_pwd</v>
      </c>
      <c r="C283" t="s">
        <v>7405</v>
      </c>
    </row>
    <row r="284" spans="1:3" x14ac:dyDescent="0.25">
      <c r="A284" t="s">
        <v>6527</v>
      </c>
      <c r="B284" s="110" t="str">
        <f>HYPERLINK("#'Data_Analysis_nonBNF'!A2117", "reduce_electricity_overall_D_320_by_aver_monthly_income_range")</f>
        <v>reduce_electricity_overall_D_320_by_aver_monthly_income_range</v>
      </c>
      <c r="C284" t="s">
        <v>7406</v>
      </c>
    </row>
    <row r="285" spans="1:3" x14ac:dyDescent="0.25">
      <c r="A285" t="s">
        <v>6527</v>
      </c>
      <c r="B285" s="110" t="str">
        <f>HYPERLINK("#'Data_Analysis_nonBNF'!A2128", "reduce_electricity_overall_D_321_by_perc_expenditure_spent_on_energy_nov")</f>
        <v>reduce_electricity_overall_D_321_by_perc_expenditure_spent_on_energy_nov</v>
      </c>
      <c r="C285" t="s">
        <v>7407</v>
      </c>
    </row>
    <row r="286" spans="1:3" x14ac:dyDescent="0.25">
      <c r="A286" t="s">
        <v>6527</v>
      </c>
      <c r="B286" s="110" t="str">
        <f>HYPERLINK("#'Data_Analysis_nonBNF'!A2138", "reduce_electricity_overall_D_322_by_perc_expenditure_spent_on_energy_dec")</f>
        <v>reduce_electricity_overall_D_322_by_perc_expenditure_spent_on_energy_dec</v>
      </c>
      <c r="C286" t="s">
        <v>7408</v>
      </c>
    </row>
    <row r="287" spans="1:3" x14ac:dyDescent="0.25">
      <c r="A287" t="s">
        <v>6527</v>
      </c>
      <c r="B287" s="110" t="str">
        <f>HYPERLINK("#'Data_Analysis_nonBNF'!A2147", "reduce_electricity_overall_D_323_by_perc_income_spent_on_energy_nov")</f>
        <v>reduce_electricity_overall_D_323_by_perc_income_spent_on_energy_nov</v>
      </c>
      <c r="C287" t="s">
        <v>7409</v>
      </c>
    </row>
    <row r="288" spans="1:3" x14ac:dyDescent="0.25">
      <c r="A288" t="s">
        <v>6527</v>
      </c>
      <c r="B288" s="110" t="str">
        <f>HYPERLINK("#'Data_Analysis_nonBNF'!A2157", "reduce_electricity_overall_D_324_by_perc_income_spent_on_energy_dec")</f>
        <v>reduce_electricity_overall_D_324_by_perc_income_spent_on_energy_dec</v>
      </c>
      <c r="C288" t="s">
        <v>7410</v>
      </c>
    </row>
    <row r="289" spans="1:3" x14ac:dyDescent="0.25">
      <c r="A289" t="s">
        <v>6527</v>
      </c>
      <c r="B289" s="110" t="str">
        <f>HYPERLINK("#'Data_Analysis_nonBNF'!A2167", "reduce_electricity_rural_urban_316")</f>
        <v>reduce_electricity_rural_urban_316</v>
      </c>
      <c r="C289" t="s">
        <v>7411</v>
      </c>
    </row>
    <row r="290" spans="1:3" x14ac:dyDescent="0.25">
      <c r="A290" t="s">
        <v>6527</v>
      </c>
      <c r="B290" s="110" t="str">
        <f>HYPERLINK("#'Data_Analysis_nonBNF'!A2173", "reduce_expenses_list_overall_350")</f>
        <v>reduce_expenses_list_overall_350</v>
      </c>
      <c r="C290" t="s">
        <v>7412</v>
      </c>
    </row>
    <row r="291" spans="1:3" x14ac:dyDescent="0.25">
      <c r="A291" t="s">
        <v>6527</v>
      </c>
      <c r="B291" s="110" t="str">
        <f>HYPERLINK("#'Data_Analysis_nonBNF'!A2177", "reduce_expenses_list_overall_D_351_by_hh_type")</f>
        <v>reduce_expenses_list_overall_D_351_by_hh_type</v>
      </c>
      <c r="C291" t="s">
        <v>7413</v>
      </c>
    </row>
    <row r="292" spans="1:3" x14ac:dyDescent="0.25">
      <c r="A292" t="s">
        <v>6527</v>
      </c>
      <c r="B292" s="110" t="str">
        <f>HYPERLINK("#'Data_Analysis_nonBNF'!A2183", "reduce_expenses_list_overall_D_353_by_hh_with_pwd")</f>
        <v>reduce_expenses_list_overall_D_353_by_hh_with_pwd</v>
      </c>
      <c r="C292" t="s">
        <v>7414</v>
      </c>
    </row>
    <row r="293" spans="1:3" x14ac:dyDescent="0.25">
      <c r="A293" t="s">
        <v>6527</v>
      </c>
      <c r="B293" s="110" t="str">
        <f>HYPERLINK("#'Data_Analysis_nonBNF'!A2189", "reduce_expenses_list_rural_urban_352")</f>
        <v>reduce_expenses_list_rural_urban_352</v>
      </c>
      <c r="C293" t="s">
        <v>7415</v>
      </c>
    </row>
    <row r="294" spans="1:3" x14ac:dyDescent="0.25">
      <c r="A294" t="s">
        <v>6527</v>
      </c>
      <c r="B294" s="110" t="str">
        <f>HYPERLINK("#'Data_Analysis_nonBNF'!A2195", "reduce_expenses_overall_D_341_by_hh_type")</f>
        <v>reduce_expenses_overall_D_341_by_hh_type</v>
      </c>
      <c r="C294" t="s">
        <v>7416</v>
      </c>
    </row>
    <row r="295" spans="1:3" x14ac:dyDescent="0.25">
      <c r="A295" t="s">
        <v>6527</v>
      </c>
      <c r="B295" s="110" t="str">
        <f>HYPERLINK("#'Data_Analysis_nonBNF'!A2201", "reduce_expenses_overall_D_343_by_hh_size_range")</f>
        <v>reduce_expenses_overall_D_343_by_hh_size_range</v>
      </c>
      <c r="C295" t="s">
        <v>7417</v>
      </c>
    </row>
    <row r="296" spans="1:3" x14ac:dyDescent="0.25">
      <c r="A296" t="s">
        <v>6527</v>
      </c>
      <c r="B296" s="110" t="str">
        <f>HYPERLINK("#'Data_Analysis_nonBNF'!A2208", "reduce_expenses_overall_D_344_by_hh_with_pwd")</f>
        <v>reduce_expenses_overall_D_344_by_hh_with_pwd</v>
      </c>
      <c r="C296" t="s">
        <v>7418</v>
      </c>
    </row>
    <row r="297" spans="1:3" x14ac:dyDescent="0.25">
      <c r="A297" t="s">
        <v>6527</v>
      </c>
      <c r="B297" s="110" t="str">
        <f>HYPERLINK("#'Data_Analysis_nonBNF'!A2214", "reduce_expenses_overall_D_345_by_aver_monthly_income_range")</f>
        <v>reduce_expenses_overall_D_345_by_aver_monthly_income_range</v>
      </c>
      <c r="C297" t="s">
        <v>7419</v>
      </c>
    </row>
    <row r="298" spans="1:3" x14ac:dyDescent="0.25">
      <c r="A298" t="s">
        <v>6527</v>
      </c>
      <c r="B298" s="110" t="str">
        <f>HYPERLINK("#'Data_Analysis_nonBNF'!A2225", "reduce_expenses_overall_D_346_by_perc_expenditure_spent_on_energy_nov")</f>
        <v>reduce_expenses_overall_D_346_by_perc_expenditure_spent_on_energy_nov</v>
      </c>
      <c r="C298" t="s">
        <v>7420</v>
      </c>
    </row>
    <row r="299" spans="1:3" x14ac:dyDescent="0.25">
      <c r="A299" t="s">
        <v>6527</v>
      </c>
      <c r="B299" s="110" t="str">
        <f>HYPERLINK("#'Data_Analysis_nonBNF'!A2235", "reduce_expenses_overall_D_347_by_perc_expenditure_spent_on_energy_dec")</f>
        <v>reduce_expenses_overall_D_347_by_perc_expenditure_spent_on_energy_dec</v>
      </c>
      <c r="C299" t="s">
        <v>7421</v>
      </c>
    </row>
    <row r="300" spans="1:3" x14ac:dyDescent="0.25">
      <c r="A300" t="s">
        <v>6527</v>
      </c>
      <c r="B300" s="110" t="str">
        <f>HYPERLINK("#'Data_Analysis_nonBNF'!A2244", "reduce_expenses_overall_D_348_by_perc_income_spent_on_energy_nov")</f>
        <v>reduce_expenses_overall_D_348_by_perc_income_spent_on_energy_nov</v>
      </c>
      <c r="C300" t="s">
        <v>7422</v>
      </c>
    </row>
    <row r="301" spans="1:3" x14ac:dyDescent="0.25">
      <c r="A301" t="s">
        <v>6527</v>
      </c>
      <c r="B301" s="110" t="str">
        <f>HYPERLINK("#'Data_Analysis_nonBNF'!A2254", "reduce_expenses_overall_D_349_by_perc_income_spent_on_energy_dec")</f>
        <v>reduce_expenses_overall_D_349_by_perc_income_spent_on_energy_dec</v>
      </c>
      <c r="C301" t="s">
        <v>7423</v>
      </c>
    </row>
    <row r="302" spans="1:3" x14ac:dyDescent="0.25">
      <c r="A302" t="s">
        <v>6527</v>
      </c>
      <c r="B302" s="110" t="str">
        <f>HYPERLINK("#'Data_Analysis_nonBNF'!A2264", "reduce_expenses_rural_urban_342")</f>
        <v>reduce_expenses_rural_urban_342</v>
      </c>
      <c r="C302" t="s">
        <v>7424</v>
      </c>
    </row>
    <row r="303" spans="1:3" x14ac:dyDescent="0.25">
      <c r="A303" t="s">
        <v>6527</v>
      </c>
      <c r="B303" s="110" t="str">
        <f>HYPERLINK("#'Data_Analysis_nonBNF'!A2270", "reduce_gas_overall_D_325_by_hh_type")</f>
        <v>reduce_gas_overall_D_325_by_hh_type</v>
      </c>
      <c r="C303" t="s">
        <v>7425</v>
      </c>
    </row>
    <row r="304" spans="1:3" x14ac:dyDescent="0.25">
      <c r="A304" t="s">
        <v>6527</v>
      </c>
      <c r="B304" s="110" t="str">
        <f>HYPERLINK("#'Data_Analysis_nonBNF'!A2276", "reduce_gas_overall_D_327_by_hh_size_range")</f>
        <v>reduce_gas_overall_D_327_by_hh_size_range</v>
      </c>
      <c r="C304" t="s">
        <v>7403</v>
      </c>
    </row>
    <row r="305" spans="1:3" x14ac:dyDescent="0.25">
      <c r="A305" t="s">
        <v>6527</v>
      </c>
      <c r="B305" s="110" t="str">
        <f>HYPERLINK("#'Data_Analysis_nonBNF'!A2283", "reduce_gas_overall_D_328_by_hh_composition")</f>
        <v>reduce_gas_overall_D_328_by_hh_composition</v>
      </c>
      <c r="C305" t="s">
        <v>7426</v>
      </c>
    </row>
    <row r="306" spans="1:3" x14ac:dyDescent="0.25">
      <c r="A306" t="s">
        <v>6527</v>
      </c>
      <c r="B306" s="110" t="str">
        <f>HYPERLINK("#'Data_Analysis_nonBNF'!A2294", "reduce_gas_overall_D_329_by_hh_with_pwd")</f>
        <v>reduce_gas_overall_D_329_by_hh_with_pwd</v>
      </c>
      <c r="C306" t="s">
        <v>7427</v>
      </c>
    </row>
    <row r="307" spans="1:3" x14ac:dyDescent="0.25">
      <c r="A307" t="s">
        <v>6527</v>
      </c>
      <c r="B307" s="110" t="str">
        <f>HYPERLINK("#'Data_Analysis_nonBNF'!A2300", "reduce_gas_overall_D_330_by_aver_monthly_income_range")</f>
        <v>reduce_gas_overall_D_330_by_aver_monthly_income_range</v>
      </c>
      <c r="C307" t="s">
        <v>7428</v>
      </c>
    </row>
    <row r="308" spans="1:3" x14ac:dyDescent="0.25">
      <c r="A308" t="s">
        <v>6527</v>
      </c>
      <c r="B308" s="110" t="str">
        <f>HYPERLINK("#'Data_Analysis_nonBNF'!A2311", "reduce_gas_overall_D_331_by_perc_expenditure_spent_on_energy_nov")</f>
        <v>reduce_gas_overall_D_331_by_perc_expenditure_spent_on_energy_nov</v>
      </c>
      <c r="C308" t="s">
        <v>7407</v>
      </c>
    </row>
    <row r="309" spans="1:3" x14ac:dyDescent="0.25">
      <c r="A309" t="s">
        <v>6527</v>
      </c>
      <c r="B309" s="110" t="str">
        <f>HYPERLINK("#'Data_Analysis_nonBNF'!A2321", "reduce_gas_overall_D_332_by_perc_expenditure_spent_on_energy_dec")</f>
        <v>reduce_gas_overall_D_332_by_perc_expenditure_spent_on_energy_dec</v>
      </c>
      <c r="C309" t="s">
        <v>7408</v>
      </c>
    </row>
    <row r="310" spans="1:3" x14ac:dyDescent="0.25">
      <c r="A310" t="s">
        <v>6527</v>
      </c>
      <c r="B310" s="110" t="str">
        <f>HYPERLINK("#'Data_Analysis_nonBNF'!A2330", "reduce_gas_overall_D_333_by_perc_income_spent_on_energy_nov")</f>
        <v>reduce_gas_overall_D_333_by_perc_income_spent_on_energy_nov</v>
      </c>
      <c r="C310" t="s">
        <v>7410</v>
      </c>
    </row>
    <row r="311" spans="1:3" x14ac:dyDescent="0.25">
      <c r="A311" t="s">
        <v>6527</v>
      </c>
      <c r="B311" s="110" t="str">
        <f>HYPERLINK("#'Data_Analysis_nonBNF'!A2340", "reduce_gas_overall_D_334_by_perc_income_spent_on_energy_dec")</f>
        <v>reduce_gas_overall_D_334_by_perc_income_spent_on_energy_dec</v>
      </c>
      <c r="C311" t="s">
        <v>7410</v>
      </c>
    </row>
    <row r="312" spans="1:3" x14ac:dyDescent="0.25">
      <c r="A312" t="s">
        <v>6527</v>
      </c>
      <c r="B312" s="110" t="str">
        <f>HYPERLINK("#'Data_Analysis_nonBNF'!A2350", "reduce_gas_rural_urban_326")</f>
        <v>reduce_gas_rural_urban_326</v>
      </c>
      <c r="C312" t="s">
        <v>7429</v>
      </c>
    </row>
    <row r="313" spans="1:3" x14ac:dyDescent="0.25">
      <c r="A313" t="s">
        <v>6527</v>
      </c>
      <c r="B313" s="110" t="str">
        <f>HYPERLINK("#'Data_Analysis_nonBNF'!A2356", "reduce_heat_overall_D_335_by_hh_type")</f>
        <v>reduce_heat_overall_D_335_by_hh_type</v>
      </c>
      <c r="C313" t="s">
        <v>7430</v>
      </c>
    </row>
    <row r="314" spans="1:3" x14ac:dyDescent="0.25">
      <c r="A314" t="s">
        <v>6527</v>
      </c>
      <c r="B314" s="110" t="str">
        <f>HYPERLINK("#'Data_Analysis_nonBNF'!A2362", "reduce_heat_overall_D_337_by_hh_with_pwd")</f>
        <v>reduce_heat_overall_D_337_by_hh_with_pwd</v>
      </c>
      <c r="C314" t="s">
        <v>7431</v>
      </c>
    </row>
    <row r="315" spans="1:3" x14ac:dyDescent="0.25">
      <c r="A315" t="s">
        <v>6527</v>
      </c>
      <c r="B315" s="110" t="str">
        <f>HYPERLINK("#'Data_Analysis_nonBNF'!A2368", "reduce_heat_rural_urban_336")</f>
        <v>reduce_heat_rural_urban_336</v>
      </c>
      <c r="C315" t="s">
        <v>7432</v>
      </c>
    </row>
    <row r="316" spans="1:3" x14ac:dyDescent="0.25">
      <c r="A316" t="s">
        <v>6527</v>
      </c>
      <c r="B316" s="110" t="str">
        <f>HYPERLINK("#'Data_Analysis_nonBNF'!A2374", "reduce_measures_overall_D_338_by_hh_type")</f>
        <v>reduce_measures_overall_D_338_by_hh_type</v>
      </c>
      <c r="C316" t="s">
        <v>7433</v>
      </c>
    </row>
    <row r="317" spans="1:3" x14ac:dyDescent="0.25">
      <c r="A317" t="s">
        <v>6527</v>
      </c>
      <c r="B317" s="110" t="str">
        <f>HYPERLINK("#'Data_Analysis_nonBNF'!A2380", "reduce_measures_overall_D_340_by_hh_with_pwd")</f>
        <v>reduce_measures_overall_D_340_by_hh_with_pwd</v>
      </c>
      <c r="C317" t="s">
        <v>7434</v>
      </c>
    </row>
    <row r="318" spans="1:3" x14ac:dyDescent="0.25">
      <c r="A318" t="s">
        <v>6527</v>
      </c>
      <c r="B318" s="110" t="str">
        <f>HYPERLINK("#'Data_Analysis_nonBNF'!A2386", "reduce_measures_rural_urban_339")</f>
        <v>reduce_measures_rural_urban_339</v>
      </c>
      <c r="C318" t="s">
        <v>7435</v>
      </c>
    </row>
    <row r="319" spans="1:3" x14ac:dyDescent="0.25">
      <c r="A319" t="s">
        <v>137</v>
      </c>
      <c r="B319" s="110" t="str">
        <f>HYPERLINK("#'Data_Analysis_nonBNF'!A2392", "refugee_overall_1")</f>
        <v>refugee_overall_1</v>
      </c>
      <c r="C319" t="s">
        <v>7436</v>
      </c>
    </row>
    <row r="320" spans="1:3" x14ac:dyDescent="0.25">
      <c r="A320" t="s">
        <v>137</v>
      </c>
      <c r="B320" s="110" t="str">
        <f>HYPERLINK("#'Data_Analysis_nonBNF'!A2396", "region_overall_D_15_by_hh_type")</f>
        <v>region_overall_D_15_by_hh_type</v>
      </c>
      <c r="C320" t="s">
        <v>7437</v>
      </c>
    </row>
    <row r="321" spans="1:3" x14ac:dyDescent="0.25">
      <c r="A321" t="s">
        <v>6520</v>
      </c>
      <c r="B321" s="110" t="str">
        <f>HYPERLINK("#'Data_Analysis_nonBNF'!A2402", "resources_for_bills_overall_D_291_by_hh_type")</f>
        <v>resources_for_bills_overall_D_291_by_hh_type</v>
      </c>
      <c r="C321" t="s">
        <v>7438</v>
      </c>
    </row>
    <row r="322" spans="1:3" x14ac:dyDescent="0.25">
      <c r="A322" t="s">
        <v>6520</v>
      </c>
      <c r="B322" s="110" t="str">
        <f>HYPERLINK("#'Data_Analysis_nonBNF'!A2408", "resources_for_bills_overall_D_293_by_hh_composition")</f>
        <v>resources_for_bills_overall_D_293_by_hh_composition</v>
      </c>
      <c r="C322" t="s">
        <v>7439</v>
      </c>
    </row>
    <row r="323" spans="1:3" x14ac:dyDescent="0.25">
      <c r="A323" t="s">
        <v>6520</v>
      </c>
      <c r="B323" s="110" t="str">
        <f>HYPERLINK("#'Data_Analysis_nonBNF'!A2419", "resources_for_bills_overall_D_294_by_hh_with_pwd")</f>
        <v>resources_for_bills_overall_D_294_by_hh_with_pwd</v>
      </c>
      <c r="C323" t="s">
        <v>7440</v>
      </c>
    </row>
    <row r="324" spans="1:3" x14ac:dyDescent="0.25">
      <c r="A324" t="s">
        <v>6520</v>
      </c>
      <c r="B324" s="110" t="str">
        <f>HYPERLINK("#'Data_Analysis_nonBNF'!A2425", "resources_for_bills_overall_D_295_by_accommodation_ownership")</f>
        <v>resources_for_bills_overall_D_295_by_accommodation_ownership</v>
      </c>
      <c r="C324" t="s">
        <v>7441</v>
      </c>
    </row>
    <row r="325" spans="1:3" x14ac:dyDescent="0.25">
      <c r="A325" t="s">
        <v>6520</v>
      </c>
      <c r="B325" s="110" t="str">
        <f>HYPERLINK("#'Data_Analysis_nonBNF'!A2434", "resources_for_bills_rural_urban_292")</f>
        <v>resources_for_bills_rural_urban_292</v>
      </c>
      <c r="C325" t="s">
        <v>7442</v>
      </c>
    </row>
    <row r="326" spans="1:3" x14ac:dyDescent="0.25">
      <c r="A326" t="s">
        <v>137</v>
      </c>
      <c r="B326" s="110" t="str">
        <f>HYPERLINK("#'Data_Analysis_nonBNF'!A2440", "resp_age_range_overall_D_3_by_hh_type")</f>
        <v>resp_age_range_overall_D_3_by_hh_type</v>
      </c>
      <c r="C326" t="s">
        <v>7443</v>
      </c>
    </row>
    <row r="327" spans="1:3" x14ac:dyDescent="0.25">
      <c r="A327" t="s">
        <v>137</v>
      </c>
      <c r="B327" s="110" t="str">
        <f>HYPERLINK("#'Data_Analysis_nonBNF'!A2446", "resp_gender_overall_2")</f>
        <v>resp_gender_overall_2</v>
      </c>
      <c r="C327" t="s">
        <v>7444</v>
      </c>
    </row>
    <row r="328" spans="1:3" x14ac:dyDescent="0.25">
      <c r="A328" t="s">
        <v>137</v>
      </c>
      <c r="B328" s="110" t="str">
        <f>HYPERLINK("#'Data_Analysis_nonBNF'!A2450", "rural_urban_overall_D_18_by_hh_type")</f>
        <v>rural_urban_overall_D_18_by_hh_type</v>
      </c>
      <c r="C328" t="s">
        <v>7445</v>
      </c>
    </row>
    <row r="329" spans="1:3" x14ac:dyDescent="0.25">
      <c r="A329" t="s">
        <v>6527</v>
      </c>
      <c r="B329" s="110" t="str">
        <f>HYPERLINK("#'Data_Analysis_nonBNF'!A2456", "strategies_high_costs_overall_D_354_by_hh_type")</f>
        <v>strategies_high_costs_overall_D_354_by_hh_type</v>
      </c>
      <c r="C329" t="s">
        <v>7446</v>
      </c>
    </row>
    <row r="330" spans="1:3" x14ac:dyDescent="0.25">
      <c r="A330" t="s">
        <v>6527</v>
      </c>
      <c r="B330" s="110" t="str">
        <f>HYPERLINK("#'Data_Analysis_nonBNF'!A2462", "strategies_high_costs_overall_D_356_by_hh_size_range")</f>
        <v>strategies_high_costs_overall_D_356_by_hh_size_range</v>
      </c>
      <c r="C330" t="s">
        <v>7447</v>
      </c>
    </row>
    <row r="331" spans="1:3" x14ac:dyDescent="0.25">
      <c r="A331" t="s">
        <v>6527</v>
      </c>
      <c r="B331" s="110" t="str">
        <f>HYPERLINK("#'Data_Analysis_nonBNF'!A2469", "strategies_high_costs_overall_D_357_by_hh_composition")</f>
        <v>strategies_high_costs_overall_D_357_by_hh_composition</v>
      </c>
      <c r="C331" t="s">
        <v>7448</v>
      </c>
    </row>
    <row r="332" spans="1:3" x14ac:dyDescent="0.25">
      <c r="A332" t="s">
        <v>6527</v>
      </c>
      <c r="B332" s="110" t="str">
        <f>HYPERLINK("#'Data_Analysis_nonBNF'!A2480", "strategies_high_costs_overall_D_358_by_hh_with_pwd")</f>
        <v>strategies_high_costs_overall_D_358_by_hh_with_pwd</v>
      </c>
      <c r="C332" t="s">
        <v>7449</v>
      </c>
    </row>
    <row r="333" spans="1:3" x14ac:dyDescent="0.25">
      <c r="A333" t="s">
        <v>6527</v>
      </c>
      <c r="B333" s="110" t="str">
        <f>HYPERLINK("#'Data_Analysis_nonBNF'!A2486", "strategies_high_costs_overall_D_359_by_aver_monthly_income_range")</f>
        <v>strategies_high_costs_overall_D_359_by_aver_monthly_income_range</v>
      </c>
      <c r="C333" t="s">
        <v>7450</v>
      </c>
    </row>
    <row r="334" spans="1:3" x14ac:dyDescent="0.25">
      <c r="A334" t="s">
        <v>6527</v>
      </c>
      <c r="B334" s="110" t="str">
        <f>HYPERLINK("#'Data_Analysis_nonBNF'!A2497", "strategies_high_costs_overall_D_360_by_heat_system_primary")</f>
        <v>strategies_high_costs_overall_D_360_by_heat_system_primary</v>
      </c>
      <c r="C334" t="s">
        <v>7451</v>
      </c>
    </row>
    <row r="335" spans="1:3" x14ac:dyDescent="0.25">
      <c r="A335" t="s">
        <v>6527</v>
      </c>
      <c r="B335" s="110" t="str">
        <f>HYPERLINK("#'Data_Analysis_nonBNF'!A2505", "strategies_high_costs_overall_D_361_by_perc_expenditure_spent_on_energy_nov")</f>
        <v>strategies_high_costs_overall_D_361_by_perc_expenditure_spent_on_energy_nov</v>
      </c>
      <c r="C335" t="s">
        <v>7452</v>
      </c>
    </row>
    <row r="336" spans="1:3" x14ac:dyDescent="0.25">
      <c r="A336" t="s">
        <v>6527</v>
      </c>
      <c r="B336" s="110" t="str">
        <f>HYPERLINK("#'Data_Analysis_nonBNF'!A2515", "strategies_high_costs_overall_D_362_by_perc_expenditure_spent_on_energy_dec")</f>
        <v>strategies_high_costs_overall_D_362_by_perc_expenditure_spent_on_energy_dec</v>
      </c>
      <c r="C336" t="s">
        <v>7453</v>
      </c>
    </row>
    <row r="337" spans="1:3" x14ac:dyDescent="0.25">
      <c r="A337" t="s">
        <v>6527</v>
      </c>
      <c r="B337" s="110" t="str">
        <f>HYPERLINK("#'Data_Analysis_nonBNF'!A2524", "strategies_high_costs_overall_D_363_by_perc_income_spent_on_energy_nov")</f>
        <v>strategies_high_costs_overall_D_363_by_perc_income_spent_on_energy_nov</v>
      </c>
      <c r="C337" t="s">
        <v>7454</v>
      </c>
    </row>
    <row r="338" spans="1:3" x14ac:dyDescent="0.25">
      <c r="A338" t="s">
        <v>6527</v>
      </c>
      <c r="B338" s="110" t="str">
        <f>HYPERLINK("#'Data_Analysis_nonBNF'!A2534", "strategies_high_costs_overall_D_364_by_perc_income_spent_on_energy_dec")</f>
        <v>strategies_high_costs_overall_D_364_by_perc_income_spent_on_energy_dec</v>
      </c>
      <c r="C338" t="s">
        <v>7455</v>
      </c>
    </row>
    <row r="339" spans="1:3" x14ac:dyDescent="0.25">
      <c r="A339" t="s">
        <v>6527</v>
      </c>
      <c r="B339" s="110" t="str">
        <f>HYPERLINK("#'Data_Analysis_nonBNF'!A2544", "strategies_high_costs_rural_urban_355")</f>
        <v>strategies_high_costs_rural_urban_355</v>
      </c>
      <c r="C339" t="s">
        <v>7456</v>
      </c>
    </row>
    <row r="340" spans="1:3" x14ac:dyDescent="0.25">
      <c r="A340" t="s">
        <v>6527</v>
      </c>
      <c r="B340" s="110" t="str">
        <f>HYPERLINK("#'Data_Analysis_nonBNF'!A2550", "strategies_list_overall_D_365_by_hh_type")</f>
        <v>strategies_list_overall_D_365_by_hh_type</v>
      </c>
      <c r="C340" t="s">
        <v>7457</v>
      </c>
    </row>
    <row r="341" spans="1:3" x14ac:dyDescent="0.25">
      <c r="A341" t="s">
        <v>6527</v>
      </c>
      <c r="B341" s="110" t="str">
        <f>HYPERLINK("#'Data_Analysis_nonBNF'!A2556", "strategies_list_overall_D_367_by_hh_with_pwd")</f>
        <v>strategies_list_overall_D_367_by_hh_with_pwd</v>
      </c>
      <c r="C341" t="s">
        <v>7458</v>
      </c>
    </row>
    <row r="342" spans="1:3" x14ac:dyDescent="0.25">
      <c r="A342" t="s">
        <v>6527</v>
      </c>
      <c r="B342" s="110" t="str">
        <f>HYPERLINK("#'Data_Analysis_nonBNF'!A2562", "strategies_list_overall_D_368_by_heat_system_primary")</f>
        <v>strategies_list_overall_D_368_by_heat_system_primary</v>
      </c>
      <c r="C342" t="s">
        <v>7459</v>
      </c>
    </row>
    <row r="343" spans="1:3" x14ac:dyDescent="0.25">
      <c r="A343" t="s">
        <v>6527</v>
      </c>
      <c r="B343" s="110" t="str">
        <f>HYPERLINK("#'Data_Analysis_nonBNF'!A2570", "strategies_list_rural_urban_366")</f>
        <v>strategies_list_rural_urban_366</v>
      </c>
      <c r="C343" t="s">
        <v>7460</v>
      </c>
    </row>
    <row r="344" spans="1:3" x14ac:dyDescent="0.25">
      <c r="A344" t="s">
        <v>6521</v>
      </c>
      <c r="B344" s="110" t="str">
        <f>HYPERLINK("#'Data_Analysis_nonBNF'!A2576", "sw_support_satisfaction_overall_D_225_by_hh_type")</f>
        <v>sw_support_satisfaction_overall_D_225_by_hh_type</v>
      </c>
      <c r="C344" t="s">
        <v>7461</v>
      </c>
    </row>
    <row r="345" spans="1:3" x14ac:dyDescent="0.25">
      <c r="A345" t="s">
        <v>6521</v>
      </c>
      <c r="B345" s="110" t="str">
        <f>HYPERLINK("#'Data_Analysis_nonBNF'!A2582", "sw_support_satisfaction_rural_urban_226")</f>
        <v>sw_support_satisfaction_rural_urban_226</v>
      </c>
      <c r="C345" t="s">
        <v>7462</v>
      </c>
    </row>
    <row r="346" spans="1:3" x14ac:dyDescent="0.25">
      <c r="A346" t="s">
        <v>6520</v>
      </c>
      <c r="B346" s="110" t="str">
        <f>HYPERLINK("#'Data_Analysis_nonBNF'!A2588", "temp_dec_overall_D_304_by_hh_type")</f>
        <v>temp_dec_overall_D_304_by_hh_type</v>
      </c>
      <c r="C346" t="s">
        <v>7463</v>
      </c>
    </row>
    <row r="347" spans="1:3" x14ac:dyDescent="0.25">
      <c r="A347" t="s">
        <v>6520</v>
      </c>
      <c r="B347" s="110" t="str">
        <f>HYPERLINK("#'Data_Analysis_nonBNF'!A2594", "temp_dec_overall_D_306_by_hh_size_range")</f>
        <v>temp_dec_overall_D_306_by_hh_size_range</v>
      </c>
      <c r="C347" t="s">
        <v>7464</v>
      </c>
    </row>
    <row r="348" spans="1:3" x14ac:dyDescent="0.25">
      <c r="A348" t="s">
        <v>6520</v>
      </c>
      <c r="B348" s="110" t="str">
        <f>HYPERLINK("#'Data_Analysis_nonBNF'!A2601", "temp_dec_overall_D_307_by_hh_composition")</f>
        <v>temp_dec_overall_D_307_by_hh_composition</v>
      </c>
      <c r="C348" t="s">
        <v>7465</v>
      </c>
    </row>
    <row r="349" spans="1:3" x14ac:dyDescent="0.25">
      <c r="A349" t="s">
        <v>6520</v>
      </c>
      <c r="B349" s="110" t="str">
        <f>HYPERLINK("#'Data_Analysis_nonBNF'!A2612", "temp_dec_overall_D_308_by_hh_with_pwd")</f>
        <v>temp_dec_overall_D_308_by_hh_with_pwd</v>
      </c>
      <c r="C349" t="s">
        <v>7466</v>
      </c>
    </row>
    <row r="350" spans="1:3" x14ac:dyDescent="0.25">
      <c r="A350" t="s">
        <v>6520</v>
      </c>
      <c r="B350" s="110" t="str">
        <f>HYPERLINK("#'Data_Analysis_nonBNF'!A2618", "temp_dec_overall_D_309_by_aver_monthly_income_range")</f>
        <v>temp_dec_overall_D_309_by_aver_monthly_income_range</v>
      </c>
      <c r="C350" t="s">
        <v>7467</v>
      </c>
    </row>
    <row r="351" spans="1:3" x14ac:dyDescent="0.25">
      <c r="A351" t="s">
        <v>6520</v>
      </c>
      <c r="B351" s="110" t="str">
        <f>HYPERLINK("#'Data_Analysis_nonBNF'!A2629", "temp_dec_overall_D_310_by_perc_expenditure_spent_on_energy_dec")</f>
        <v>temp_dec_overall_D_310_by_perc_expenditure_spent_on_energy_dec</v>
      </c>
      <c r="C351" t="s">
        <v>7468</v>
      </c>
    </row>
    <row r="352" spans="1:3" x14ac:dyDescent="0.25">
      <c r="A352" t="s">
        <v>6520</v>
      </c>
      <c r="B352" s="110" t="str">
        <f>HYPERLINK("#'Data_Analysis_nonBNF'!A2638", "temp_dec_overall_D_311_by_perc_income_spent_on_energy_dec")</f>
        <v>temp_dec_overall_D_311_by_perc_income_spent_on_energy_dec</v>
      </c>
      <c r="C352" t="s">
        <v>7469</v>
      </c>
    </row>
    <row r="353" spans="1:3" x14ac:dyDescent="0.25">
      <c r="A353" t="s">
        <v>6520</v>
      </c>
      <c r="B353" s="110" t="str">
        <f>HYPERLINK("#'Data_Analysis_nonBNF'!A2648", "temp_dec_rural_urban_305")</f>
        <v>temp_dec_rural_urban_305</v>
      </c>
      <c r="C353" t="s">
        <v>7470</v>
      </c>
    </row>
    <row r="354" spans="1:3" x14ac:dyDescent="0.25">
      <c r="A354" t="s">
        <v>6520</v>
      </c>
      <c r="B354" s="110" t="str">
        <f>HYPERLINK("#'Data_Analysis_nonBNF'!A2654", "temp_nov_overall_D_296_by_hh_type")</f>
        <v>temp_nov_overall_D_296_by_hh_type</v>
      </c>
      <c r="C354" t="s">
        <v>7471</v>
      </c>
    </row>
    <row r="355" spans="1:3" x14ac:dyDescent="0.25">
      <c r="A355" t="s">
        <v>6520</v>
      </c>
      <c r="B355" s="110" t="str">
        <f>HYPERLINK("#'Data_Analysis_nonBNF'!A2660", "temp_nov_overall_D_298_by_hh_size_range")</f>
        <v>temp_nov_overall_D_298_by_hh_size_range</v>
      </c>
      <c r="C355" t="s">
        <v>7472</v>
      </c>
    </row>
    <row r="356" spans="1:3" x14ac:dyDescent="0.25">
      <c r="A356" t="s">
        <v>6520</v>
      </c>
      <c r="B356" s="110" t="str">
        <f>HYPERLINK("#'Data_Analysis_nonBNF'!A2667", "temp_nov_overall_D_299_by_hh_composition")</f>
        <v>temp_nov_overall_D_299_by_hh_composition</v>
      </c>
      <c r="C356" t="s">
        <v>7473</v>
      </c>
    </row>
    <row r="357" spans="1:3" x14ac:dyDescent="0.25">
      <c r="A357" t="s">
        <v>6520</v>
      </c>
      <c r="B357" s="110" t="str">
        <f>HYPERLINK("#'Data_Analysis_nonBNF'!A2678", "temp_nov_overall_D_300_by_hh_with_pwd")</f>
        <v>temp_nov_overall_D_300_by_hh_with_pwd</v>
      </c>
      <c r="C357" t="s">
        <v>7474</v>
      </c>
    </row>
    <row r="358" spans="1:3" x14ac:dyDescent="0.25">
      <c r="A358" t="s">
        <v>6520</v>
      </c>
      <c r="B358" s="110" t="str">
        <f>HYPERLINK("#'Data_Analysis_nonBNF'!A2684", "temp_nov_overall_D_301_by_aver_monthly_income_range")</f>
        <v>temp_nov_overall_D_301_by_aver_monthly_income_range</v>
      </c>
      <c r="C358" t="s">
        <v>7475</v>
      </c>
    </row>
    <row r="359" spans="1:3" x14ac:dyDescent="0.25">
      <c r="A359" t="s">
        <v>6520</v>
      </c>
      <c r="B359" s="110" t="str">
        <f>HYPERLINK("#'Data_Analysis_nonBNF'!A2695", "temp_nov_overall_D_302_by_perc_expenditure_spent_on_energy_nov")</f>
        <v>temp_nov_overall_D_302_by_perc_expenditure_spent_on_energy_nov</v>
      </c>
      <c r="C359" t="s">
        <v>7476</v>
      </c>
    </row>
    <row r="360" spans="1:3" x14ac:dyDescent="0.25">
      <c r="A360" t="s">
        <v>6520</v>
      </c>
      <c r="B360" s="110" t="str">
        <f>HYPERLINK("#'Data_Analysis_nonBNF'!A2705", "temp_nov_overall_D_303_by_perc_income_spent_on_energy_nov")</f>
        <v>temp_nov_overall_D_303_by_perc_income_spent_on_energy_nov</v>
      </c>
      <c r="C360" t="s">
        <v>7477</v>
      </c>
    </row>
    <row r="361" spans="1:3" x14ac:dyDescent="0.25">
      <c r="A361" t="s">
        <v>6520</v>
      </c>
      <c r="B361" s="110" t="str">
        <f>HYPERLINK("#'Data_Analysis_nonBNF'!A2715", "temp_nov_rural_urban_297")</f>
        <v>temp_nov_rural_urban_297</v>
      </c>
      <c r="C361" t="s">
        <v>7478</v>
      </c>
    </row>
    <row r="362" spans="1:3" x14ac:dyDescent="0.25">
      <c r="A362" t="s">
        <v>137</v>
      </c>
      <c r="B362" s="110" t="str">
        <f>HYPERLINK("#'Data_Analysis_nonBNF'!A2721", "time_in_mda_overall_D_10_by_aver_monthly_income_range")</f>
        <v>time_in_mda_overall_D_10_by_aver_monthly_income_range</v>
      </c>
      <c r="C362" t="s">
        <v>7479</v>
      </c>
    </row>
    <row r="363" spans="1:3" x14ac:dyDescent="0.25">
      <c r="A363" t="s">
        <v>137</v>
      </c>
      <c r="B363" s="110" t="str">
        <f>HYPERLINK("#'Data_Analysis_nonBNF'!A2732", "time_in_mda_overall_D_11_by_perc_expenditure_spent_on_energy_nov")</f>
        <v>time_in_mda_overall_D_11_by_perc_expenditure_spent_on_energy_nov</v>
      </c>
      <c r="C363" t="s">
        <v>7480</v>
      </c>
    </row>
    <row r="364" spans="1:3" x14ac:dyDescent="0.25">
      <c r="A364" t="s">
        <v>137</v>
      </c>
      <c r="B364" s="110" t="str">
        <f>HYPERLINK("#'Data_Analysis_nonBNF'!A2742", "time_in_mda_overall_D_12_by_perc_expenditure_spent_on_energy_dec")</f>
        <v>time_in_mda_overall_D_12_by_perc_expenditure_spent_on_energy_dec</v>
      </c>
      <c r="C364" t="s">
        <v>7481</v>
      </c>
    </row>
    <row r="365" spans="1:3" x14ac:dyDescent="0.25">
      <c r="A365" t="s">
        <v>137</v>
      </c>
      <c r="B365" s="110" t="str">
        <f>HYPERLINK("#'Data_Analysis_nonBNF'!A2751", "time_in_mda_overall_D_13_by_perc_income_spent_on_energy_nov")</f>
        <v>time_in_mda_overall_D_13_by_perc_income_spent_on_energy_nov</v>
      </c>
      <c r="C365" t="s">
        <v>7482</v>
      </c>
    </row>
    <row r="366" spans="1:3" x14ac:dyDescent="0.25">
      <c r="A366" t="s">
        <v>137</v>
      </c>
      <c r="B366" s="110" t="str">
        <f>HYPERLINK("#'Data_Analysis_nonBNF'!A2761", "time_in_mda_overall_D_14_by_perc_income_spent_on_energy_dec")</f>
        <v>time_in_mda_overall_D_14_by_perc_income_spent_on_energy_dec</v>
      </c>
      <c r="C366" t="s">
        <v>7483</v>
      </c>
    </row>
    <row r="367" spans="1:3" x14ac:dyDescent="0.25">
      <c r="A367" t="s">
        <v>137</v>
      </c>
      <c r="B367" s="110" t="str">
        <f>HYPERLINK("#'Data_Analysis_nonBNF'!A2771", "time_in_mda_overall_D_5_by_hh_type")</f>
        <v>time_in_mda_overall_D_5_by_hh_type</v>
      </c>
      <c r="C367" t="s">
        <v>7484</v>
      </c>
    </row>
    <row r="368" spans="1:3" x14ac:dyDescent="0.25">
      <c r="A368" t="s">
        <v>137</v>
      </c>
      <c r="B368" s="110" t="str">
        <f>HYPERLINK("#'Data_Analysis_nonBNF'!A2777", "time_in_mda_overall_D_6_by_legal_status")</f>
        <v>time_in_mda_overall_D_6_by_legal_status</v>
      </c>
      <c r="C368" t="s">
        <v>7485</v>
      </c>
    </row>
    <row r="369" spans="1:3" x14ac:dyDescent="0.25">
      <c r="A369" t="s">
        <v>137</v>
      </c>
      <c r="B369" s="110" t="str">
        <f>HYPERLINK("#'Data_Analysis_nonBNF'!A2784", "time_in_mda_overall_D_7_by_refugee")</f>
        <v>time_in_mda_overall_D_7_by_refugee</v>
      </c>
      <c r="C369" t="s">
        <v>7486</v>
      </c>
    </row>
    <row r="370" spans="1:3" x14ac:dyDescent="0.25">
      <c r="A370" t="s">
        <v>137</v>
      </c>
      <c r="B370" s="110" t="str">
        <f>HYPERLINK("#'Data_Analysis_nonBNF'!A2790", "time_in_mda_overall_D_8_by_hh_composition")</f>
        <v>time_in_mda_overall_D_8_by_hh_composition</v>
      </c>
      <c r="C370" t="s">
        <v>7487</v>
      </c>
    </row>
    <row r="371" spans="1:3" x14ac:dyDescent="0.25">
      <c r="A371" t="s">
        <v>137</v>
      </c>
      <c r="B371" s="110" t="str">
        <f>HYPERLINK("#'Data_Analysis_nonBNF'!A2801", "time_in_mda_overall_D_9_by_hh_with_pwd")</f>
        <v>time_in_mda_overall_D_9_by_hh_with_pwd</v>
      </c>
      <c r="C371" t="s">
        <v>7488</v>
      </c>
    </row>
    <row r="372" spans="1:3" x14ac:dyDescent="0.25">
      <c r="A372" t="s">
        <v>6523</v>
      </c>
      <c r="B372" s="110" t="str">
        <f>HYPERLINK("#'Data_Analysis_nonBNF'!A2807", "total_bills_dec_overall_D_180_by_hh_type")</f>
        <v>total_bills_dec_overall_D_180_by_hh_type</v>
      </c>
      <c r="C372" t="s">
        <v>7489</v>
      </c>
    </row>
    <row r="373" spans="1:3" x14ac:dyDescent="0.25">
      <c r="A373" t="s">
        <v>6523</v>
      </c>
      <c r="B373" s="110" t="str">
        <f>HYPERLINK("#'Data_Analysis_nonBNF'!A2812", "total_bills_dec_range_overall_D_182_by_hh_type")</f>
        <v>total_bills_dec_range_overall_D_182_by_hh_type</v>
      </c>
      <c r="C373" t="s">
        <v>7490</v>
      </c>
    </row>
    <row r="374" spans="1:3" x14ac:dyDescent="0.25">
      <c r="A374" t="s">
        <v>6523</v>
      </c>
      <c r="B374" s="110" t="str">
        <f>HYPERLINK("#'Data_Analysis_nonBNF'!A2818", "total_bills_dec_range_overall_D_184_by_hh_composition")</f>
        <v>total_bills_dec_range_overall_D_184_by_hh_composition</v>
      </c>
      <c r="C374" t="s">
        <v>7491</v>
      </c>
    </row>
    <row r="375" spans="1:3" x14ac:dyDescent="0.25">
      <c r="A375" t="s">
        <v>6523</v>
      </c>
      <c r="B375" s="110" t="str">
        <f>HYPERLINK("#'Data_Analysis_nonBNF'!A2829", "total_bills_dec_range_overall_D_185_by_hh_with_pwd")</f>
        <v>total_bills_dec_range_overall_D_185_by_hh_with_pwd</v>
      </c>
      <c r="C375" t="s">
        <v>7492</v>
      </c>
    </row>
    <row r="376" spans="1:3" x14ac:dyDescent="0.25">
      <c r="A376" t="s">
        <v>6523</v>
      </c>
      <c r="B376" s="110" t="str">
        <f>HYPERLINK("#'Data_Analysis_nonBNF'!A2835", "total_bills_dec_range_overall_D_186_by_aver_monthly_income_range")</f>
        <v>total_bills_dec_range_overall_D_186_by_aver_monthly_income_range</v>
      </c>
      <c r="C376" t="s">
        <v>7493</v>
      </c>
    </row>
    <row r="377" spans="1:3" x14ac:dyDescent="0.25">
      <c r="A377" t="s">
        <v>6523</v>
      </c>
      <c r="B377" s="110" t="str">
        <f>HYPERLINK("#'Data_Analysis_nonBNF'!A2846", "total_bills_dec_range_overall_D_187_by_heat_system_primary")</f>
        <v>total_bills_dec_range_overall_D_187_by_heat_system_primary</v>
      </c>
      <c r="C377" t="s">
        <v>7494</v>
      </c>
    </row>
    <row r="378" spans="1:3" x14ac:dyDescent="0.25">
      <c r="A378" t="s">
        <v>6523</v>
      </c>
      <c r="B378" s="110" t="str">
        <f>HYPERLINK("#'Data_Analysis_nonBNF'!A2854", "total_bills_dec_range_overall_D_188_by_hh_heating_systems")</f>
        <v>total_bills_dec_range_overall_D_188_by_hh_heating_systems</v>
      </c>
      <c r="C378" t="s">
        <v>7495</v>
      </c>
    </row>
    <row r="379" spans="1:3" x14ac:dyDescent="0.25">
      <c r="A379" t="s">
        <v>6523</v>
      </c>
      <c r="B379" s="110" t="str">
        <f>HYPERLINK("#'Data_Analysis_nonBNF'!A2863", "total_bills_dec_range_rural_urban_183")</f>
        <v>total_bills_dec_range_rural_urban_183</v>
      </c>
      <c r="C379" t="s">
        <v>7496</v>
      </c>
    </row>
    <row r="380" spans="1:3" x14ac:dyDescent="0.25">
      <c r="A380" t="s">
        <v>6523</v>
      </c>
      <c r="B380" s="110" t="str">
        <f>HYPERLINK("#'Data_Analysis_nonBNF'!A2869", "total_bills_dec_rural_urban_181")</f>
        <v>total_bills_dec_rural_urban_181</v>
      </c>
      <c r="C380" t="s">
        <v>7497</v>
      </c>
    </row>
    <row r="381" spans="1:3" x14ac:dyDescent="0.25">
      <c r="A381" t="s">
        <v>6524</v>
      </c>
      <c r="B381" s="110" t="str">
        <f>HYPERLINK("#'Data_Analysis_nonBNF'!A2875", "total_bills_nov_overall_D_132_by_hh_type")</f>
        <v>total_bills_nov_overall_D_132_by_hh_type</v>
      </c>
      <c r="C381" t="s">
        <v>7498</v>
      </c>
    </row>
    <row r="382" spans="1:3" x14ac:dyDescent="0.25">
      <c r="A382" t="s">
        <v>6524</v>
      </c>
      <c r="B382" s="110" t="str">
        <f>HYPERLINK("#'Data_Analysis_nonBNF'!A2880", "total_bills_nov_range_overall_D_134_by_hh_type")</f>
        <v>total_bills_nov_range_overall_D_134_by_hh_type</v>
      </c>
      <c r="C382" t="s">
        <v>7499</v>
      </c>
    </row>
    <row r="383" spans="1:3" x14ac:dyDescent="0.25">
      <c r="A383" t="s">
        <v>6524</v>
      </c>
      <c r="B383" s="110" t="str">
        <f>HYPERLINK("#'Data_Analysis_nonBNF'!A2886", "total_bills_nov_range_overall_D_136_by_hh_composition")</f>
        <v>total_bills_nov_range_overall_D_136_by_hh_composition</v>
      </c>
      <c r="C383" t="s">
        <v>7500</v>
      </c>
    </row>
    <row r="384" spans="1:3" x14ac:dyDescent="0.25">
      <c r="A384" t="s">
        <v>6524</v>
      </c>
      <c r="B384" s="110" t="str">
        <f>HYPERLINK("#'Data_Analysis_nonBNF'!A2897", "total_bills_nov_range_overall_D_137_by_hh_with_pwd")</f>
        <v>total_bills_nov_range_overall_D_137_by_hh_with_pwd</v>
      </c>
      <c r="C384" t="s">
        <v>6957</v>
      </c>
    </row>
    <row r="385" spans="1:3" x14ac:dyDescent="0.25">
      <c r="A385" t="s">
        <v>6524</v>
      </c>
      <c r="B385" s="110" t="str">
        <f>HYPERLINK("#'Data_Analysis_nonBNF'!A2903", "total_bills_nov_range_overall_D_138_by_aver_monthly_income_range")</f>
        <v>total_bills_nov_range_overall_D_138_by_aver_monthly_income_range</v>
      </c>
      <c r="C385" t="s">
        <v>7501</v>
      </c>
    </row>
    <row r="386" spans="1:3" x14ac:dyDescent="0.25">
      <c r="A386" t="s">
        <v>6524</v>
      </c>
      <c r="B386" s="110" t="str">
        <f>HYPERLINK("#'Data_Analysis_nonBNF'!A2914", "total_bills_nov_range_overall_D_139_by_heat_system_primary")</f>
        <v>total_bills_nov_range_overall_D_139_by_heat_system_primary</v>
      </c>
      <c r="C386" t="s">
        <v>7502</v>
      </c>
    </row>
    <row r="387" spans="1:3" x14ac:dyDescent="0.25">
      <c r="A387" t="s">
        <v>6524</v>
      </c>
      <c r="B387" s="110" t="str">
        <f>HYPERLINK("#'Data_Analysis_nonBNF'!A2922", "total_bills_nov_range_overall_D_140_by_hh_heating_systems")</f>
        <v>total_bills_nov_range_overall_D_140_by_hh_heating_systems</v>
      </c>
      <c r="C387" t="s">
        <v>7503</v>
      </c>
    </row>
    <row r="388" spans="1:3" x14ac:dyDescent="0.25">
      <c r="A388" t="s">
        <v>6524</v>
      </c>
      <c r="B388" s="110" t="str">
        <f>HYPERLINK("#'Data_Analysis_nonBNF'!A2931", "total_bills_nov_range_rural_urban_135")</f>
        <v>total_bills_nov_range_rural_urban_135</v>
      </c>
      <c r="C388" t="s">
        <v>7504</v>
      </c>
    </row>
    <row r="389" spans="1:3" x14ac:dyDescent="0.25">
      <c r="A389" t="s">
        <v>6524</v>
      </c>
      <c r="B389" s="110" t="str">
        <f>HYPERLINK("#'Data_Analysis_nonBNF'!A2937", "total_bills_nov_rural_urban_133")</f>
        <v>total_bills_nov_rural_urban_133</v>
      </c>
      <c r="C389" t="s">
        <v>7505</v>
      </c>
    </row>
    <row r="390" spans="1:3" x14ac:dyDescent="0.25">
      <c r="A390" t="s">
        <v>137</v>
      </c>
      <c r="B390" s="110" t="str">
        <f>HYPERLINK("#'Data_Analysis_nonBNF'!A2943", "vuln_groups_overall_D_22_by_hh_type")</f>
        <v>vuln_groups_overall_D_22_by_hh_type</v>
      </c>
      <c r="C390" t="s">
        <v>7506</v>
      </c>
    </row>
    <row r="391" spans="1:3" x14ac:dyDescent="0.25">
      <c r="A391" t="s">
        <v>137</v>
      </c>
      <c r="B391" s="110" t="str">
        <f>HYPERLINK("#'Data_Analysis_nonBNF'!A2949", "vuln_groups_rural_urban_23")</f>
        <v>vuln_groups_rural_urban_23</v>
      </c>
      <c r="C391" t="s">
        <v>7507</v>
      </c>
    </row>
  </sheetData>
  <autoFilter ref="A1:C391" xr:uid="{63ECBF13-957E-4BF9-9D2B-2460003EA36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16923-724C-4D83-89B7-CC2E7E443E4D}">
  <dimension ref="A1:S2953"/>
  <sheetViews>
    <sheetView workbookViewId="0"/>
  </sheetViews>
  <sheetFormatPr defaultColWidth="11.42578125" defaultRowHeight="15" x14ac:dyDescent="0.25"/>
  <sheetData>
    <row r="1" spans="1:7" x14ac:dyDescent="0.25">
      <c r="A1" t="s">
        <v>6142</v>
      </c>
    </row>
    <row r="2" spans="1:7" x14ac:dyDescent="0.25">
      <c r="A2" t="s">
        <v>2842</v>
      </c>
      <c r="B2" t="s">
        <v>4394</v>
      </c>
      <c r="C2" t="s">
        <v>4395</v>
      </c>
      <c r="D2" t="s">
        <v>4396</v>
      </c>
      <c r="E2" t="s">
        <v>4397</v>
      </c>
      <c r="F2" t="s">
        <v>4398</v>
      </c>
      <c r="G2" t="s">
        <v>4399</v>
      </c>
    </row>
    <row r="3" spans="1:7" x14ac:dyDescent="0.25">
      <c r="A3" t="s">
        <v>5549</v>
      </c>
      <c r="B3">
        <v>83</v>
      </c>
      <c r="C3" t="s">
        <v>5076</v>
      </c>
      <c r="D3" t="s">
        <v>5425</v>
      </c>
      <c r="E3" t="s">
        <v>4422</v>
      </c>
      <c r="F3" t="s">
        <v>4526</v>
      </c>
      <c r="G3" t="s">
        <v>4749</v>
      </c>
    </row>
    <row r="4" spans="1:7" x14ac:dyDescent="0.25">
      <c r="A4" t="s">
        <v>1397</v>
      </c>
      <c r="B4">
        <v>55</v>
      </c>
      <c r="C4" t="s">
        <v>4960</v>
      </c>
      <c r="D4" t="s">
        <v>4406</v>
      </c>
      <c r="E4" t="s">
        <v>4406</v>
      </c>
      <c r="F4" t="s">
        <v>5134</v>
      </c>
      <c r="G4" t="s">
        <v>4905</v>
      </c>
    </row>
    <row r="5" spans="1:7" x14ac:dyDescent="0.25">
      <c r="A5" t="s">
        <v>1296</v>
      </c>
      <c r="B5">
        <v>138</v>
      </c>
      <c r="C5" t="s">
        <v>4681</v>
      </c>
      <c r="D5" t="s">
        <v>4743</v>
      </c>
      <c r="E5" t="s">
        <v>4410</v>
      </c>
      <c r="F5" t="s">
        <v>5199</v>
      </c>
      <c r="G5" t="s">
        <v>5076</v>
      </c>
    </row>
    <row r="7" spans="1:7" x14ac:dyDescent="0.25">
      <c r="A7" t="s">
        <v>6143</v>
      </c>
    </row>
    <row r="8" spans="1:7" x14ac:dyDescent="0.25">
      <c r="A8" t="s">
        <v>1819</v>
      </c>
      <c r="B8" t="s">
        <v>4394</v>
      </c>
      <c r="C8" t="s">
        <v>4395</v>
      </c>
      <c r="D8" t="s">
        <v>4396</v>
      </c>
      <c r="E8" t="s">
        <v>4397</v>
      </c>
      <c r="F8" t="s">
        <v>4398</v>
      </c>
      <c r="G8" t="s">
        <v>4399</v>
      </c>
    </row>
    <row r="9" spans="1:7" x14ac:dyDescent="0.25">
      <c r="A9" t="s">
        <v>109</v>
      </c>
      <c r="B9">
        <v>78</v>
      </c>
      <c r="C9" t="s">
        <v>4659</v>
      </c>
      <c r="D9" t="s">
        <v>5068</v>
      </c>
      <c r="E9" t="s">
        <v>4406</v>
      </c>
      <c r="F9" t="s">
        <v>4704</v>
      </c>
      <c r="G9" t="s">
        <v>4864</v>
      </c>
    </row>
    <row r="10" spans="1:7" x14ac:dyDescent="0.25">
      <c r="A10" t="s">
        <v>192</v>
      </c>
      <c r="B10">
        <v>60</v>
      </c>
      <c r="C10" t="s">
        <v>5039</v>
      </c>
      <c r="D10" t="s">
        <v>4406</v>
      </c>
      <c r="E10" t="s">
        <v>4419</v>
      </c>
      <c r="F10" t="s">
        <v>4782</v>
      </c>
      <c r="G10" t="s">
        <v>4758</v>
      </c>
    </row>
    <row r="11" spans="1:7" x14ac:dyDescent="0.25">
      <c r="A11" t="s">
        <v>1296</v>
      </c>
      <c r="B11">
        <v>138</v>
      </c>
      <c r="C11" t="s">
        <v>4681</v>
      </c>
      <c r="D11" t="s">
        <v>4743</v>
      </c>
      <c r="E11" t="s">
        <v>4410</v>
      </c>
      <c r="F11" t="s">
        <v>5199</v>
      </c>
      <c r="G11" t="s">
        <v>5076</v>
      </c>
    </row>
    <row r="13" spans="1:7" x14ac:dyDescent="0.25">
      <c r="A13" t="s">
        <v>6144</v>
      </c>
    </row>
    <row r="14" spans="1:7" x14ac:dyDescent="0.25">
      <c r="A14" t="s">
        <v>903</v>
      </c>
      <c r="B14" t="s">
        <v>4394</v>
      </c>
      <c r="C14" t="s">
        <v>4395</v>
      </c>
      <c r="D14" t="s">
        <v>4396</v>
      </c>
      <c r="E14" t="s">
        <v>4397</v>
      </c>
      <c r="F14" t="s">
        <v>4398</v>
      </c>
      <c r="G14" t="s">
        <v>4399</v>
      </c>
    </row>
    <row r="15" spans="1:7" x14ac:dyDescent="0.25">
      <c r="A15" t="s">
        <v>70</v>
      </c>
      <c r="B15">
        <v>37</v>
      </c>
      <c r="C15" t="s">
        <v>4625</v>
      </c>
      <c r="D15" t="s">
        <v>5225</v>
      </c>
      <c r="E15" t="s">
        <v>4406</v>
      </c>
      <c r="F15" t="s">
        <v>4553</v>
      </c>
      <c r="G15" t="s">
        <v>4746</v>
      </c>
    </row>
    <row r="16" spans="1:7" x14ac:dyDescent="0.25">
      <c r="A16" t="s">
        <v>71</v>
      </c>
      <c r="B16">
        <v>101</v>
      </c>
      <c r="C16" t="s">
        <v>4716</v>
      </c>
      <c r="D16" t="s">
        <v>5332</v>
      </c>
      <c r="E16" t="s">
        <v>4402</v>
      </c>
      <c r="F16" t="s">
        <v>5327</v>
      </c>
      <c r="G16" t="s">
        <v>4626</v>
      </c>
    </row>
    <row r="17" spans="1:10" x14ac:dyDescent="0.25">
      <c r="A17" t="s">
        <v>1296</v>
      </c>
      <c r="B17">
        <v>138</v>
      </c>
      <c r="C17" t="s">
        <v>4681</v>
      </c>
      <c r="D17" t="s">
        <v>4743</v>
      </c>
      <c r="E17" t="s">
        <v>4410</v>
      </c>
      <c r="F17" t="s">
        <v>5199</v>
      </c>
      <c r="G17" t="s">
        <v>5076</v>
      </c>
    </row>
    <row r="19" spans="1:10" x14ac:dyDescent="0.25">
      <c r="A19" t="s">
        <v>6145</v>
      </c>
    </row>
    <row r="20" spans="1:10" x14ac:dyDescent="0.25">
      <c r="A20" t="s">
        <v>2842</v>
      </c>
      <c r="B20" t="s">
        <v>4394</v>
      </c>
      <c r="C20" t="s">
        <v>4721</v>
      </c>
      <c r="D20" t="s">
        <v>4722</v>
      </c>
      <c r="E20" t="s">
        <v>4723</v>
      </c>
    </row>
    <row r="21" spans="1:10" x14ac:dyDescent="0.25">
      <c r="A21" t="s">
        <v>5549</v>
      </c>
      <c r="B21">
        <v>83</v>
      </c>
      <c r="C21" t="s">
        <v>5163</v>
      </c>
      <c r="D21" t="s">
        <v>4406</v>
      </c>
      <c r="E21" t="s">
        <v>4690</v>
      </c>
    </row>
    <row r="22" spans="1:10" x14ac:dyDescent="0.25">
      <c r="A22" t="s">
        <v>1397</v>
      </c>
      <c r="B22">
        <v>55</v>
      </c>
      <c r="C22" t="s">
        <v>5508</v>
      </c>
      <c r="D22" t="s">
        <v>5076</v>
      </c>
      <c r="E22" t="s">
        <v>5252</v>
      </c>
    </row>
    <row r="23" spans="1:10" x14ac:dyDescent="0.25">
      <c r="A23" t="s">
        <v>1296</v>
      </c>
      <c r="B23">
        <v>138</v>
      </c>
      <c r="C23" t="s">
        <v>4912</v>
      </c>
      <c r="D23" t="s">
        <v>4750</v>
      </c>
      <c r="E23" t="s">
        <v>4465</v>
      </c>
    </row>
    <row r="25" spans="1:10" x14ac:dyDescent="0.25">
      <c r="A25" t="s">
        <v>6146</v>
      </c>
    </row>
    <row r="26" spans="1:10" x14ac:dyDescent="0.25">
      <c r="A26" t="s">
        <v>903</v>
      </c>
      <c r="B26" t="s">
        <v>4394</v>
      </c>
      <c r="C26" t="s">
        <v>4721</v>
      </c>
      <c r="D26" t="s">
        <v>4722</v>
      </c>
      <c r="E26" t="s">
        <v>4723</v>
      </c>
    </row>
    <row r="27" spans="1:10" x14ac:dyDescent="0.25">
      <c r="A27" t="s">
        <v>70</v>
      </c>
      <c r="B27">
        <v>37</v>
      </c>
      <c r="C27" t="s">
        <v>4625</v>
      </c>
      <c r="D27" t="s">
        <v>4746</v>
      </c>
      <c r="E27" t="s">
        <v>5426</v>
      </c>
    </row>
    <row r="28" spans="1:10" x14ac:dyDescent="0.25">
      <c r="A28" t="s">
        <v>71</v>
      </c>
      <c r="B28">
        <v>101</v>
      </c>
      <c r="C28" t="s">
        <v>5399</v>
      </c>
      <c r="D28" t="s">
        <v>4406</v>
      </c>
      <c r="E28" t="s">
        <v>5318</v>
      </c>
    </row>
    <row r="29" spans="1:10" x14ac:dyDescent="0.25">
      <c r="A29" t="s">
        <v>1296</v>
      </c>
      <c r="B29">
        <v>138</v>
      </c>
      <c r="C29" t="s">
        <v>4912</v>
      </c>
      <c r="D29" t="s">
        <v>4750</v>
      </c>
      <c r="E29" t="s">
        <v>4465</v>
      </c>
    </row>
    <row r="31" spans="1:10" x14ac:dyDescent="0.25">
      <c r="A31" t="s">
        <v>6147</v>
      </c>
    </row>
    <row r="32" spans="1:10" x14ac:dyDescent="0.25">
      <c r="A32" t="s">
        <v>2842</v>
      </c>
      <c r="B32" t="s">
        <v>4394</v>
      </c>
      <c r="C32" t="s">
        <v>4732</v>
      </c>
      <c r="D32" t="s">
        <v>4733</v>
      </c>
      <c r="E32" t="s">
        <v>4734</v>
      </c>
      <c r="F32" t="s">
        <v>4735</v>
      </c>
      <c r="G32" t="s">
        <v>4736</v>
      </c>
      <c r="H32" t="s">
        <v>4737</v>
      </c>
      <c r="I32" t="s">
        <v>4738</v>
      </c>
      <c r="J32" t="s">
        <v>4739</v>
      </c>
    </row>
    <row r="33" spans="1:10" x14ac:dyDescent="0.25">
      <c r="A33" t="s">
        <v>5549</v>
      </c>
      <c r="B33">
        <v>83</v>
      </c>
      <c r="C33" t="s">
        <v>4591</v>
      </c>
      <c r="D33" t="s">
        <v>4707</v>
      </c>
      <c r="E33" t="s">
        <v>4904</v>
      </c>
      <c r="F33" t="s">
        <v>4719</v>
      </c>
      <c r="G33" t="s">
        <v>4406</v>
      </c>
      <c r="H33" t="s">
        <v>4406</v>
      </c>
      <c r="I33" t="s">
        <v>4526</v>
      </c>
      <c r="J33" t="s">
        <v>4598</v>
      </c>
    </row>
    <row r="34" spans="1:10" x14ac:dyDescent="0.25">
      <c r="A34" t="s">
        <v>1397</v>
      </c>
      <c r="B34">
        <v>55</v>
      </c>
      <c r="C34" t="s">
        <v>4452</v>
      </c>
      <c r="D34" t="s">
        <v>4905</v>
      </c>
      <c r="E34" t="s">
        <v>4500</v>
      </c>
      <c r="F34" t="s">
        <v>4591</v>
      </c>
      <c r="G34" t="s">
        <v>4406</v>
      </c>
      <c r="H34" t="s">
        <v>4406</v>
      </c>
      <c r="I34" t="s">
        <v>5467</v>
      </c>
      <c r="J34" t="s">
        <v>4573</v>
      </c>
    </row>
    <row r="35" spans="1:10" x14ac:dyDescent="0.25">
      <c r="A35" t="s">
        <v>1296</v>
      </c>
      <c r="B35">
        <v>138</v>
      </c>
      <c r="C35" t="s">
        <v>5154</v>
      </c>
      <c r="D35" t="s">
        <v>4709</v>
      </c>
      <c r="E35" t="s">
        <v>5158</v>
      </c>
      <c r="F35" t="s">
        <v>4509</v>
      </c>
      <c r="G35" t="s">
        <v>4406</v>
      </c>
      <c r="H35" t="s">
        <v>4406</v>
      </c>
      <c r="I35" t="s">
        <v>5474</v>
      </c>
      <c r="J35" t="s">
        <v>4606</v>
      </c>
    </row>
    <row r="37" spans="1:10" x14ac:dyDescent="0.25">
      <c r="A37" t="s">
        <v>6148</v>
      </c>
    </row>
    <row r="38" spans="1:10" x14ac:dyDescent="0.25">
      <c r="A38" t="s">
        <v>995</v>
      </c>
      <c r="B38" t="s">
        <v>4394</v>
      </c>
      <c r="C38" t="s">
        <v>4732</v>
      </c>
      <c r="D38" t="s">
        <v>4733</v>
      </c>
      <c r="E38" t="s">
        <v>4734</v>
      </c>
      <c r="F38" t="s">
        <v>4735</v>
      </c>
      <c r="G38" t="s">
        <v>4736</v>
      </c>
      <c r="H38" t="s">
        <v>4737</v>
      </c>
      <c r="I38" t="s">
        <v>4738</v>
      </c>
      <c r="J38" t="s">
        <v>4739</v>
      </c>
    </row>
    <row r="39" spans="1:10" x14ac:dyDescent="0.25">
      <c r="A39" t="s">
        <v>1338</v>
      </c>
      <c r="B39">
        <v>43</v>
      </c>
      <c r="C39">
        <v>11</v>
      </c>
      <c r="D39">
        <v>5</v>
      </c>
      <c r="E39">
        <v>20</v>
      </c>
      <c r="F39">
        <v>13</v>
      </c>
      <c r="G39">
        <v>0</v>
      </c>
      <c r="H39">
        <v>0</v>
      </c>
      <c r="I39">
        <v>8</v>
      </c>
      <c r="J39">
        <v>11</v>
      </c>
    </row>
    <row r="40" spans="1:10" x14ac:dyDescent="0.25">
      <c r="A40" t="s">
        <v>1370</v>
      </c>
      <c r="B40">
        <v>10</v>
      </c>
      <c r="C40">
        <v>5</v>
      </c>
      <c r="D40">
        <v>0</v>
      </c>
      <c r="E40">
        <v>5</v>
      </c>
      <c r="F40">
        <v>1</v>
      </c>
      <c r="G40">
        <v>0</v>
      </c>
      <c r="H40">
        <v>0</v>
      </c>
      <c r="I40">
        <v>0</v>
      </c>
      <c r="J40">
        <v>1</v>
      </c>
    </row>
    <row r="41" spans="1:10" x14ac:dyDescent="0.25">
      <c r="A41" t="s">
        <v>1439</v>
      </c>
      <c r="B41">
        <v>7</v>
      </c>
      <c r="C41">
        <v>0</v>
      </c>
      <c r="D41">
        <v>1</v>
      </c>
      <c r="E41">
        <v>5</v>
      </c>
      <c r="F41">
        <v>2</v>
      </c>
      <c r="G41">
        <v>0</v>
      </c>
      <c r="H41">
        <v>0</v>
      </c>
      <c r="I41">
        <v>2</v>
      </c>
      <c r="J41">
        <v>2</v>
      </c>
    </row>
    <row r="42" spans="1:10" x14ac:dyDescent="0.25">
      <c r="A42" t="s">
        <v>1476</v>
      </c>
      <c r="B42">
        <v>5</v>
      </c>
      <c r="C42">
        <v>3</v>
      </c>
      <c r="D42">
        <v>0</v>
      </c>
      <c r="E42">
        <v>1</v>
      </c>
      <c r="F42">
        <v>0</v>
      </c>
      <c r="G42">
        <v>0</v>
      </c>
      <c r="H42">
        <v>0</v>
      </c>
      <c r="I42">
        <v>0</v>
      </c>
      <c r="J42">
        <v>1</v>
      </c>
    </row>
    <row r="43" spans="1:10" x14ac:dyDescent="0.25">
      <c r="A43" t="s">
        <v>5476</v>
      </c>
      <c r="B43">
        <v>2</v>
      </c>
      <c r="C43">
        <v>0</v>
      </c>
      <c r="D43">
        <v>0</v>
      </c>
      <c r="E43">
        <v>1</v>
      </c>
      <c r="F43">
        <v>1</v>
      </c>
      <c r="G43">
        <v>0</v>
      </c>
      <c r="H43">
        <v>0</v>
      </c>
      <c r="I43">
        <v>0</v>
      </c>
      <c r="J43">
        <v>0</v>
      </c>
    </row>
    <row r="44" spans="1:10" x14ac:dyDescent="0.25">
      <c r="A44" t="s">
        <v>1399</v>
      </c>
      <c r="B44">
        <v>23</v>
      </c>
      <c r="C44">
        <v>7</v>
      </c>
      <c r="D44">
        <v>2</v>
      </c>
      <c r="E44">
        <v>9</v>
      </c>
      <c r="F44">
        <v>4</v>
      </c>
      <c r="G44">
        <v>0</v>
      </c>
      <c r="H44">
        <v>0</v>
      </c>
      <c r="I44">
        <v>3</v>
      </c>
      <c r="J44">
        <v>4</v>
      </c>
    </row>
    <row r="45" spans="1:10" x14ac:dyDescent="0.25">
      <c r="A45" t="s">
        <v>1415</v>
      </c>
      <c r="B45">
        <v>48</v>
      </c>
      <c r="C45">
        <v>11</v>
      </c>
      <c r="D45">
        <v>3</v>
      </c>
      <c r="E45">
        <v>16</v>
      </c>
      <c r="F45">
        <v>23</v>
      </c>
      <c r="G45">
        <v>0</v>
      </c>
      <c r="H45">
        <v>0</v>
      </c>
      <c r="I45">
        <v>12</v>
      </c>
      <c r="J45">
        <v>11</v>
      </c>
    </row>
    <row r="46" spans="1:10" x14ac:dyDescent="0.25">
      <c r="A46" t="s">
        <v>1296</v>
      </c>
      <c r="B46">
        <v>138</v>
      </c>
      <c r="C46">
        <v>37</v>
      </c>
      <c r="D46">
        <v>11</v>
      </c>
      <c r="E46">
        <v>57</v>
      </c>
      <c r="F46">
        <v>44</v>
      </c>
      <c r="G46">
        <v>0</v>
      </c>
      <c r="H46">
        <v>0</v>
      </c>
      <c r="I46">
        <v>25</v>
      </c>
      <c r="J46">
        <v>30</v>
      </c>
    </row>
    <row r="48" spans="1:10" x14ac:dyDescent="0.25">
      <c r="A48" t="s">
        <v>6149</v>
      </c>
    </row>
    <row r="49" spans="1:10" x14ac:dyDescent="0.25">
      <c r="A49" t="s">
        <v>998</v>
      </c>
      <c r="B49" t="s">
        <v>4394</v>
      </c>
      <c r="C49" t="s">
        <v>4732</v>
      </c>
      <c r="D49" t="s">
        <v>4733</v>
      </c>
      <c r="E49" t="s">
        <v>4734</v>
      </c>
      <c r="F49" t="s">
        <v>4735</v>
      </c>
      <c r="G49" t="s">
        <v>4736</v>
      </c>
      <c r="H49" t="s">
        <v>4737</v>
      </c>
      <c r="I49" t="s">
        <v>4738</v>
      </c>
      <c r="J49" t="s">
        <v>4739</v>
      </c>
    </row>
    <row r="50" spans="1:10" x14ac:dyDescent="0.25">
      <c r="A50" t="s">
        <v>109</v>
      </c>
      <c r="B50">
        <v>125</v>
      </c>
      <c r="C50" t="s">
        <v>5110</v>
      </c>
      <c r="D50" t="s">
        <v>4709</v>
      </c>
      <c r="E50" t="s">
        <v>4427</v>
      </c>
      <c r="F50" t="s">
        <v>4477</v>
      </c>
      <c r="G50" t="s">
        <v>4406</v>
      </c>
      <c r="H50" t="s">
        <v>4406</v>
      </c>
      <c r="I50" t="s">
        <v>4616</v>
      </c>
      <c r="J50" t="s">
        <v>4924</v>
      </c>
    </row>
    <row r="51" spans="1:10" x14ac:dyDescent="0.25">
      <c r="A51" t="s">
        <v>192</v>
      </c>
      <c r="B51">
        <v>13</v>
      </c>
      <c r="C51" t="s">
        <v>4474</v>
      </c>
      <c r="D51" t="s">
        <v>4705</v>
      </c>
      <c r="E51" t="s">
        <v>4582</v>
      </c>
      <c r="F51" t="s">
        <v>4705</v>
      </c>
      <c r="G51" t="s">
        <v>4406</v>
      </c>
      <c r="H51" t="s">
        <v>4406</v>
      </c>
      <c r="I51" t="s">
        <v>4566</v>
      </c>
      <c r="J51" t="s">
        <v>4566</v>
      </c>
    </row>
    <row r="52" spans="1:10" x14ac:dyDescent="0.25">
      <c r="A52" t="s">
        <v>1296</v>
      </c>
      <c r="B52">
        <v>138</v>
      </c>
      <c r="C52" t="s">
        <v>5154</v>
      </c>
      <c r="D52" t="s">
        <v>4709</v>
      </c>
      <c r="E52" t="s">
        <v>5158</v>
      </c>
      <c r="F52" t="s">
        <v>4509</v>
      </c>
      <c r="G52" t="s">
        <v>4406</v>
      </c>
      <c r="H52" t="s">
        <v>4406</v>
      </c>
      <c r="I52" t="s">
        <v>5474</v>
      </c>
      <c r="J52" t="s">
        <v>4606</v>
      </c>
    </row>
    <row r="54" spans="1:10" x14ac:dyDescent="0.25">
      <c r="A54" t="s">
        <v>6150</v>
      </c>
    </row>
    <row r="55" spans="1:10" x14ac:dyDescent="0.25">
      <c r="A55" t="s">
        <v>1013</v>
      </c>
      <c r="B55" t="s">
        <v>4394</v>
      </c>
      <c r="C55" t="s">
        <v>4732</v>
      </c>
      <c r="D55" t="s">
        <v>4733</v>
      </c>
      <c r="E55" t="s">
        <v>4734</v>
      </c>
      <c r="F55" t="s">
        <v>4735</v>
      </c>
      <c r="G55" t="s">
        <v>4736</v>
      </c>
      <c r="H55" t="s">
        <v>4737</v>
      </c>
      <c r="I55" t="s">
        <v>4738</v>
      </c>
      <c r="J55" t="s">
        <v>4739</v>
      </c>
    </row>
    <row r="56" spans="1:10" x14ac:dyDescent="0.25">
      <c r="A56" t="s">
        <v>1561</v>
      </c>
      <c r="B56">
        <v>4</v>
      </c>
      <c r="C56" t="s">
        <v>4462</v>
      </c>
      <c r="D56" t="s">
        <v>4462</v>
      </c>
      <c r="E56" t="s">
        <v>4793</v>
      </c>
      <c r="F56" t="s">
        <v>4468</v>
      </c>
      <c r="G56" t="s">
        <v>4406</v>
      </c>
      <c r="H56" t="s">
        <v>4406</v>
      </c>
      <c r="I56" t="s">
        <v>4468</v>
      </c>
      <c r="J56" t="s">
        <v>4462</v>
      </c>
    </row>
    <row r="57" spans="1:10" x14ac:dyDescent="0.25">
      <c r="A57" t="s">
        <v>1460</v>
      </c>
      <c r="B57">
        <v>32</v>
      </c>
      <c r="C57" t="s">
        <v>4462</v>
      </c>
      <c r="D57" t="s">
        <v>4917</v>
      </c>
      <c r="E57" t="s">
        <v>4665</v>
      </c>
      <c r="F57" t="s">
        <v>4916</v>
      </c>
      <c r="G57" t="s">
        <v>4406</v>
      </c>
      <c r="H57" t="s">
        <v>4406</v>
      </c>
      <c r="I57" t="s">
        <v>4944</v>
      </c>
      <c r="J57" t="s">
        <v>4950</v>
      </c>
    </row>
    <row r="58" spans="1:10" x14ac:dyDescent="0.25">
      <c r="A58" t="s">
        <v>1342</v>
      </c>
      <c r="B58">
        <v>44</v>
      </c>
      <c r="C58" t="s">
        <v>4462</v>
      </c>
      <c r="D58" t="s">
        <v>4852</v>
      </c>
      <c r="E58" t="s">
        <v>4613</v>
      </c>
      <c r="F58" t="s">
        <v>4462</v>
      </c>
      <c r="G58" t="s">
        <v>4406</v>
      </c>
      <c r="H58" t="s">
        <v>4406</v>
      </c>
      <c r="I58" t="s">
        <v>4589</v>
      </c>
      <c r="J58" t="s">
        <v>4852</v>
      </c>
    </row>
    <row r="59" spans="1:10" x14ac:dyDescent="0.25">
      <c r="A59" t="s">
        <v>1375</v>
      </c>
      <c r="B59">
        <v>38</v>
      </c>
      <c r="C59" t="s">
        <v>4523</v>
      </c>
      <c r="D59" t="s">
        <v>4600</v>
      </c>
      <c r="E59" t="s">
        <v>4490</v>
      </c>
      <c r="F59" t="s">
        <v>4529</v>
      </c>
      <c r="G59" t="s">
        <v>4406</v>
      </c>
      <c r="H59" t="s">
        <v>4406</v>
      </c>
      <c r="I59" t="s">
        <v>4511</v>
      </c>
      <c r="J59" t="s">
        <v>4524</v>
      </c>
    </row>
    <row r="60" spans="1:10" x14ac:dyDescent="0.25">
      <c r="A60" t="s">
        <v>1401</v>
      </c>
      <c r="B60">
        <v>20</v>
      </c>
      <c r="C60" t="s">
        <v>4646</v>
      </c>
      <c r="D60" t="s">
        <v>4406</v>
      </c>
      <c r="E60" t="s">
        <v>4472</v>
      </c>
      <c r="F60" t="s">
        <v>4489</v>
      </c>
      <c r="G60" t="s">
        <v>4406</v>
      </c>
      <c r="H60" t="s">
        <v>4406</v>
      </c>
      <c r="I60" t="s">
        <v>4646</v>
      </c>
      <c r="J60" t="s">
        <v>4782</v>
      </c>
    </row>
    <row r="61" spans="1:10" x14ac:dyDescent="0.25">
      <c r="A61" t="s">
        <v>1296</v>
      </c>
      <c r="B61">
        <v>138</v>
      </c>
      <c r="C61" t="s">
        <v>5154</v>
      </c>
      <c r="D61" t="s">
        <v>4709</v>
      </c>
      <c r="E61" t="s">
        <v>5158</v>
      </c>
      <c r="F61" t="s">
        <v>4509</v>
      </c>
      <c r="G61" t="s">
        <v>4406</v>
      </c>
      <c r="H61" t="s">
        <v>4406</v>
      </c>
      <c r="I61" t="s">
        <v>5474</v>
      </c>
      <c r="J61" t="s">
        <v>4606</v>
      </c>
    </row>
    <row r="63" spans="1:10" x14ac:dyDescent="0.25">
      <c r="A63" t="s">
        <v>6151</v>
      </c>
    </row>
    <row r="64" spans="1:10" x14ac:dyDescent="0.25">
      <c r="A64" t="s">
        <v>903</v>
      </c>
      <c r="B64" t="s">
        <v>4394</v>
      </c>
      <c r="C64" t="s">
        <v>4732</v>
      </c>
      <c r="D64" t="s">
        <v>4733</v>
      </c>
      <c r="E64" t="s">
        <v>4734</v>
      </c>
      <c r="F64" t="s">
        <v>4735</v>
      </c>
      <c r="G64" t="s">
        <v>4736</v>
      </c>
      <c r="H64" t="s">
        <v>4737</v>
      </c>
      <c r="I64" t="s">
        <v>4738</v>
      </c>
      <c r="J64" t="s">
        <v>4739</v>
      </c>
    </row>
    <row r="65" spans="1:10" x14ac:dyDescent="0.25">
      <c r="A65" t="s">
        <v>70</v>
      </c>
      <c r="B65">
        <v>37</v>
      </c>
      <c r="C65" t="s">
        <v>5182</v>
      </c>
      <c r="D65" t="s">
        <v>4931</v>
      </c>
      <c r="E65" t="s">
        <v>5157</v>
      </c>
      <c r="F65" t="s">
        <v>5222</v>
      </c>
      <c r="G65" t="s">
        <v>4406</v>
      </c>
      <c r="H65" t="s">
        <v>4406</v>
      </c>
      <c r="I65" t="s">
        <v>5157</v>
      </c>
      <c r="J65" t="s">
        <v>5225</v>
      </c>
    </row>
    <row r="66" spans="1:10" x14ac:dyDescent="0.25">
      <c r="A66" t="s">
        <v>71</v>
      </c>
      <c r="B66">
        <v>101</v>
      </c>
      <c r="C66" t="s">
        <v>4718</v>
      </c>
      <c r="D66" t="s">
        <v>4425</v>
      </c>
      <c r="E66" t="s">
        <v>4853</v>
      </c>
      <c r="F66" t="s">
        <v>4442</v>
      </c>
      <c r="G66" t="s">
        <v>4406</v>
      </c>
      <c r="H66" t="s">
        <v>4406</v>
      </c>
      <c r="I66" t="s">
        <v>4867</v>
      </c>
      <c r="J66" t="s">
        <v>4681</v>
      </c>
    </row>
    <row r="67" spans="1:10" x14ac:dyDescent="0.25">
      <c r="A67" t="s">
        <v>1296</v>
      </c>
      <c r="B67">
        <v>138</v>
      </c>
      <c r="C67" t="s">
        <v>5154</v>
      </c>
      <c r="D67" t="s">
        <v>4709</v>
      </c>
      <c r="E67" t="s">
        <v>5158</v>
      </c>
      <c r="F67" t="s">
        <v>4509</v>
      </c>
      <c r="G67" t="s">
        <v>4406</v>
      </c>
      <c r="H67" t="s">
        <v>4406</v>
      </c>
      <c r="I67" t="s">
        <v>5474</v>
      </c>
      <c r="J67" t="s">
        <v>4606</v>
      </c>
    </row>
    <row r="69" spans="1:10" x14ac:dyDescent="0.25">
      <c r="A69" t="s">
        <v>6152</v>
      </c>
    </row>
    <row r="70" spans="1:10" x14ac:dyDescent="0.25">
      <c r="A70" t="s">
        <v>2842</v>
      </c>
      <c r="B70" t="s">
        <v>4394</v>
      </c>
      <c r="C70" t="s">
        <v>4773</v>
      </c>
      <c r="D70" t="s">
        <v>4774</v>
      </c>
      <c r="E70" t="s">
        <v>4775</v>
      </c>
      <c r="F70" t="s">
        <v>4776</v>
      </c>
      <c r="G70" t="s">
        <v>4736</v>
      </c>
      <c r="H70" t="s">
        <v>4737</v>
      </c>
    </row>
    <row r="71" spans="1:10" x14ac:dyDescent="0.25">
      <c r="A71" t="s">
        <v>5549</v>
      </c>
      <c r="B71">
        <v>6</v>
      </c>
      <c r="C71">
        <v>1</v>
      </c>
      <c r="D71">
        <v>0</v>
      </c>
      <c r="E71">
        <v>6</v>
      </c>
      <c r="F71">
        <v>2</v>
      </c>
      <c r="G71">
        <v>0</v>
      </c>
      <c r="H71">
        <v>0</v>
      </c>
    </row>
    <row r="72" spans="1:10" x14ac:dyDescent="0.25">
      <c r="A72" t="s">
        <v>1397</v>
      </c>
      <c r="B72">
        <v>6</v>
      </c>
      <c r="C72">
        <v>0</v>
      </c>
      <c r="D72">
        <v>0</v>
      </c>
      <c r="E72">
        <v>6</v>
      </c>
      <c r="F72">
        <v>0</v>
      </c>
      <c r="G72">
        <v>0</v>
      </c>
      <c r="H72">
        <v>0</v>
      </c>
    </row>
    <row r="73" spans="1:10" x14ac:dyDescent="0.25">
      <c r="A73" t="s">
        <v>1296</v>
      </c>
      <c r="B73">
        <v>12</v>
      </c>
      <c r="C73">
        <v>1</v>
      </c>
      <c r="D73">
        <v>0</v>
      </c>
      <c r="E73">
        <v>12</v>
      </c>
      <c r="F73">
        <v>2</v>
      </c>
      <c r="G73">
        <v>0</v>
      </c>
      <c r="H73">
        <v>0</v>
      </c>
    </row>
    <row r="75" spans="1:10" x14ac:dyDescent="0.25">
      <c r="A75" t="s">
        <v>6153</v>
      </c>
    </row>
    <row r="76" spans="1:10" x14ac:dyDescent="0.25">
      <c r="A76" t="s">
        <v>2842</v>
      </c>
      <c r="B76" t="s">
        <v>4394</v>
      </c>
      <c r="C76" t="s">
        <v>109</v>
      </c>
      <c r="D76" t="s">
        <v>192</v>
      </c>
    </row>
    <row r="77" spans="1:10" x14ac:dyDescent="0.25">
      <c r="A77" t="s">
        <v>5549</v>
      </c>
      <c r="B77">
        <v>8</v>
      </c>
      <c r="C77">
        <v>2</v>
      </c>
      <c r="D77">
        <v>6</v>
      </c>
    </row>
    <row r="78" spans="1:10" x14ac:dyDescent="0.25">
      <c r="A78" t="s">
        <v>1397</v>
      </c>
      <c r="B78">
        <v>15</v>
      </c>
      <c r="C78">
        <v>9</v>
      </c>
      <c r="D78">
        <v>6</v>
      </c>
    </row>
    <row r="79" spans="1:10" x14ac:dyDescent="0.25">
      <c r="A79" t="s">
        <v>1296</v>
      </c>
      <c r="B79">
        <v>23</v>
      </c>
      <c r="C79">
        <v>11</v>
      </c>
      <c r="D79">
        <v>12</v>
      </c>
    </row>
    <row r="81" spans="1:14" x14ac:dyDescent="0.25">
      <c r="A81" t="s">
        <v>6154</v>
      </c>
    </row>
    <row r="82" spans="1:14" x14ac:dyDescent="0.25">
      <c r="A82" t="s">
        <v>903</v>
      </c>
      <c r="B82" t="s">
        <v>4394</v>
      </c>
      <c r="C82" t="s">
        <v>109</v>
      </c>
      <c r="D82" t="s">
        <v>192</v>
      </c>
    </row>
    <row r="83" spans="1:14" x14ac:dyDescent="0.25">
      <c r="A83" t="s">
        <v>70</v>
      </c>
      <c r="B83">
        <v>8</v>
      </c>
      <c r="C83">
        <v>3</v>
      </c>
      <c r="D83">
        <v>5</v>
      </c>
    </row>
    <row r="84" spans="1:14" x14ac:dyDescent="0.25">
      <c r="A84" t="s">
        <v>71</v>
      </c>
      <c r="B84">
        <v>15</v>
      </c>
      <c r="C84">
        <v>8</v>
      </c>
      <c r="D84">
        <v>7</v>
      </c>
    </row>
    <row r="85" spans="1:14" x14ac:dyDescent="0.25">
      <c r="A85" t="s">
        <v>1296</v>
      </c>
      <c r="B85">
        <v>23</v>
      </c>
      <c r="C85">
        <v>11</v>
      </c>
      <c r="D85">
        <v>12</v>
      </c>
    </row>
    <row r="87" spans="1:14" x14ac:dyDescent="0.25">
      <c r="A87" t="s">
        <v>6155</v>
      </c>
    </row>
    <row r="88" spans="1:14" x14ac:dyDescent="0.25">
      <c r="A88" t="s">
        <v>998</v>
      </c>
      <c r="B88" t="s">
        <v>4394</v>
      </c>
      <c r="C88" t="s">
        <v>4732</v>
      </c>
      <c r="D88" t="s">
        <v>4797</v>
      </c>
      <c r="E88" t="s">
        <v>4736</v>
      </c>
      <c r="F88" t="s">
        <v>4737</v>
      </c>
      <c r="G88" t="s">
        <v>4798</v>
      </c>
      <c r="H88" t="s">
        <v>4799</v>
      </c>
      <c r="I88" t="s">
        <v>4800</v>
      </c>
      <c r="J88" t="s">
        <v>4801</v>
      </c>
      <c r="K88" t="s">
        <v>4802</v>
      </c>
      <c r="L88" t="s">
        <v>4803</v>
      </c>
      <c r="M88" t="s">
        <v>4804</v>
      </c>
      <c r="N88" t="s">
        <v>4805</v>
      </c>
    </row>
    <row r="89" spans="1:14" x14ac:dyDescent="0.25">
      <c r="A89" t="s">
        <v>109</v>
      </c>
      <c r="B89">
        <v>1</v>
      </c>
      <c r="C89">
        <v>0</v>
      </c>
      <c r="D89">
        <v>0</v>
      </c>
      <c r="E89">
        <v>0</v>
      </c>
      <c r="F89">
        <v>0</v>
      </c>
      <c r="G89">
        <v>0</v>
      </c>
      <c r="H89">
        <v>0</v>
      </c>
      <c r="I89">
        <v>0</v>
      </c>
      <c r="J89">
        <v>0</v>
      </c>
      <c r="K89">
        <v>1</v>
      </c>
      <c r="L89">
        <v>0</v>
      </c>
      <c r="M89">
        <v>0</v>
      </c>
      <c r="N89">
        <v>1</v>
      </c>
    </row>
    <row r="90" spans="1:14" x14ac:dyDescent="0.25">
      <c r="A90" t="s">
        <v>192</v>
      </c>
      <c r="B90">
        <v>1</v>
      </c>
      <c r="C90">
        <v>0</v>
      </c>
      <c r="D90">
        <v>0</v>
      </c>
      <c r="E90">
        <v>0</v>
      </c>
      <c r="F90">
        <v>0</v>
      </c>
      <c r="G90">
        <v>0</v>
      </c>
      <c r="H90">
        <v>1</v>
      </c>
      <c r="I90">
        <v>0</v>
      </c>
      <c r="J90">
        <v>0</v>
      </c>
      <c r="K90">
        <v>0</v>
      </c>
      <c r="L90">
        <v>1</v>
      </c>
      <c r="M90">
        <v>1</v>
      </c>
      <c r="N90">
        <v>0</v>
      </c>
    </row>
    <row r="91" spans="1:14" x14ac:dyDescent="0.25">
      <c r="A91" t="s">
        <v>1296</v>
      </c>
      <c r="B91">
        <v>2</v>
      </c>
      <c r="C91">
        <v>0</v>
      </c>
      <c r="D91">
        <v>0</v>
      </c>
      <c r="E91">
        <v>0</v>
      </c>
      <c r="F91">
        <v>0</v>
      </c>
      <c r="G91">
        <v>0</v>
      </c>
      <c r="H91">
        <v>1</v>
      </c>
      <c r="I91">
        <v>0</v>
      </c>
      <c r="J91">
        <v>0</v>
      </c>
      <c r="K91">
        <v>1</v>
      </c>
      <c r="L91">
        <v>1</v>
      </c>
      <c r="M91">
        <v>1</v>
      </c>
      <c r="N91">
        <v>1</v>
      </c>
    </row>
    <row r="93" spans="1:14" x14ac:dyDescent="0.25">
      <c r="A93" t="s">
        <v>6156</v>
      </c>
    </row>
    <row r="94" spans="1:14" x14ac:dyDescent="0.25">
      <c r="A94" t="s">
        <v>2842</v>
      </c>
      <c r="B94" t="s">
        <v>4394</v>
      </c>
      <c r="C94" t="s">
        <v>4620</v>
      </c>
      <c r="D94" t="s">
        <v>4621</v>
      </c>
      <c r="E94" t="s">
        <v>4622</v>
      </c>
      <c r="F94" t="s">
        <v>4623</v>
      </c>
      <c r="G94" t="s">
        <v>4624</v>
      </c>
    </row>
    <row r="95" spans="1:14" x14ac:dyDescent="0.25">
      <c r="A95" t="s">
        <v>5549</v>
      </c>
      <c r="B95">
        <v>31</v>
      </c>
      <c r="C95" t="s">
        <v>4713</v>
      </c>
      <c r="D95" t="s">
        <v>4561</v>
      </c>
      <c r="E95" t="s">
        <v>4562</v>
      </c>
      <c r="F95" t="s">
        <v>4713</v>
      </c>
      <c r="G95" t="s">
        <v>4670</v>
      </c>
    </row>
    <row r="96" spans="1:14" x14ac:dyDescent="0.25">
      <c r="A96" t="s">
        <v>1397</v>
      </c>
      <c r="B96">
        <v>13</v>
      </c>
      <c r="C96" t="s">
        <v>4406</v>
      </c>
      <c r="D96" t="s">
        <v>4567</v>
      </c>
      <c r="E96" t="s">
        <v>4915</v>
      </c>
      <c r="F96" t="s">
        <v>4406</v>
      </c>
      <c r="G96" t="s">
        <v>4474</v>
      </c>
    </row>
    <row r="97" spans="1:7" x14ac:dyDescent="0.25">
      <c r="A97" t="s">
        <v>1296</v>
      </c>
      <c r="B97">
        <v>44</v>
      </c>
      <c r="C97" t="s">
        <v>4753</v>
      </c>
      <c r="D97" t="s">
        <v>4726</v>
      </c>
      <c r="E97" t="s">
        <v>5427</v>
      </c>
      <c r="F97" t="s">
        <v>4753</v>
      </c>
      <c r="G97" t="s">
        <v>4852</v>
      </c>
    </row>
    <row r="99" spans="1:7" x14ac:dyDescent="0.25">
      <c r="A99" t="s">
        <v>6157</v>
      </c>
    </row>
    <row r="100" spans="1:7" x14ac:dyDescent="0.25">
      <c r="A100" t="s">
        <v>995</v>
      </c>
      <c r="B100" t="s">
        <v>4394</v>
      </c>
      <c r="C100" t="s">
        <v>4620</v>
      </c>
      <c r="D100" t="s">
        <v>4621</v>
      </c>
      <c r="E100" t="s">
        <v>4622</v>
      </c>
      <c r="F100" t="s">
        <v>4623</v>
      </c>
      <c r="G100" t="s">
        <v>4624</v>
      </c>
    </row>
    <row r="101" spans="1:7" x14ac:dyDescent="0.25">
      <c r="A101" t="s">
        <v>1338</v>
      </c>
      <c r="B101">
        <v>10</v>
      </c>
      <c r="C101">
        <v>0</v>
      </c>
      <c r="D101">
        <v>4</v>
      </c>
      <c r="E101">
        <v>6</v>
      </c>
      <c r="F101">
        <v>0</v>
      </c>
      <c r="G101">
        <v>0</v>
      </c>
    </row>
    <row r="102" spans="1:7" x14ac:dyDescent="0.25">
      <c r="A102" t="s">
        <v>1370</v>
      </c>
      <c r="B102">
        <v>5</v>
      </c>
      <c r="C102">
        <v>0</v>
      </c>
      <c r="D102">
        <v>1</v>
      </c>
      <c r="E102">
        <v>4</v>
      </c>
      <c r="F102">
        <v>0</v>
      </c>
      <c r="G102">
        <v>0</v>
      </c>
    </row>
    <row r="103" spans="1:7" x14ac:dyDescent="0.25">
      <c r="A103" t="s">
        <v>1439</v>
      </c>
      <c r="B103">
        <v>4</v>
      </c>
      <c r="C103">
        <v>0</v>
      </c>
      <c r="D103">
        <v>1</v>
      </c>
      <c r="E103">
        <v>2</v>
      </c>
      <c r="F103">
        <v>0</v>
      </c>
      <c r="G103">
        <v>1</v>
      </c>
    </row>
    <row r="104" spans="1:7" x14ac:dyDescent="0.25">
      <c r="A104" t="s">
        <v>1476</v>
      </c>
      <c r="B104">
        <v>2</v>
      </c>
      <c r="C104">
        <v>0</v>
      </c>
      <c r="D104">
        <v>0</v>
      </c>
      <c r="E104">
        <v>2</v>
      </c>
      <c r="F104">
        <v>0</v>
      </c>
      <c r="G104">
        <v>0</v>
      </c>
    </row>
    <row r="105" spans="1:7" x14ac:dyDescent="0.25">
      <c r="A105" t="s">
        <v>5476</v>
      </c>
      <c r="B105">
        <v>1</v>
      </c>
      <c r="C105">
        <v>0</v>
      </c>
      <c r="D105">
        <v>0</v>
      </c>
      <c r="E105">
        <v>0</v>
      </c>
      <c r="F105">
        <v>0</v>
      </c>
      <c r="G105">
        <v>1</v>
      </c>
    </row>
    <row r="106" spans="1:7" x14ac:dyDescent="0.25">
      <c r="A106" t="s">
        <v>1399</v>
      </c>
      <c r="B106">
        <v>4</v>
      </c>
      <c r="C106">
        <v>0</v>
      </c>
      <c r="D106">
        <v>1</v>
      </c>
      <c r="E106">
        <v>2</v>
      </c>
      <c r="F106">
        <v>0</v>
      </c>
      <c r="G106">
        <v>1</v>
      </c>
    </row>
    <row r="107" spans="1:7" x14ac:dyDescent="0.25">
      <c r="A107" t="s">
        <v>1415</v>
      </c>
      <c r="B107">
        <v>18</v>
      </c>
      <c r="C107">
        <v>1</v>
      </c>
      <c r="D107">
        <v>5</v>
      </c>
      <c r="E107">
        <v>10</v>
      </c>
      <c r="F107">
        <v>1</v>
      </c>
      <c r="G107">
        <v>1</v>
      </c>
    </row>
    <row r="108" spans="1:7" x14ac:dyDescent="0.25">
      <c r="A108" t="s">
        <v>1296</v>
      </c>
      <c r="B108">
        <v>44</v>
      </c>
      <c r="C108">
        <v>1</v>
      </c>
      <c r="D108">
        <v>12</v>
      </c>
      <c r="E108">
        <v>26</v>
      </c>
      <c r="F108">
        <v>1</v>
      </c>
      <c r="G108">
        <v>4</v>
      </c>
    </row>
    <row r="110" spans="1:7" x14ac:dyDescent="0.25">
      <c r="A110" t="s">
        <v>6158</v>
      </c>
    </row>
    <row r="111" spans="1:7" x14ac:dyDescent="0.25">
      <c r="A111" t="s">
        <v>998</v>
      </c>
      <c r="B111" t="s">
        <v>4394</v>
      </c>
      <c r="C111" t="s">
        <v>4620</v>
      </c>
      <c r="D111" t="s">
        <v>4621</v>
      </c>
      <c r="E111" t="s">
        <v>4622</v>
      </c>
      <c r="F111" t="s">
        <v>4623</v>
      </c>
      <c r="G111" t="s">
        <v>4624</v>
      </c>
    </row>
    <row r="112" spans="1:7" x14ac:dyDescent="0.25">
      <c r="A112" t="s">
        <v>109</v>
      </c>
      <c r="B112">
        <v>37</v>
      </c>
      <c r="C112" t="s">
        <v>4406</v>
      </c>
      <c r="D112" t="s">
        <v>4553</v>
      </c>
      <c r="E112" t="s">
        <v>5301</v>
      </c>
      <c r="F112" t="s">
        <v>4931</v>
      </c>
      <c r="G112" t="s">
        <v>4408</v>
      </c>
    </row>
    <row r="113" spans="1:7" x14ac:dyDescent="0.25">
      <c r="A113" t="s">
        <v>192</v>
      </c>
      <c r="B113">
        <v>7</v>
      </c>
      <c r="C113" t="s">
        <v>4522</v>
      </c>
      <c r="D113" t="s">
        <v>4450</v>
      </c>
      <c r="E113" t="s">
        <v>4778</v>
      </c>
      <c r="F113" t="s">
        <v>4406</v>
      </c>
      <c r="G113" t="s">
        <v>4406</v>
      </c>
    </row>
    <row r="114" spans="1:7" x14ac:dyDescent="0.25">
      <c r="A114" t="s">
        <v>1296</v>
      </c>
      <c r="B114">
        <v>44</v>
      </c>
      <c r="C114" t="s">
        <v>4753</v>
      </c>
      <c r="D114" t="s">
        <v>4726</v>
      </c>
      <c r="E114" t="s">
        <v>5427</v>
      </c>
      <c r="F114" t="s">
        <v>4753</v>
      </c>
      <c r="G114" t="s">
        <v>4852</v>
      </c>
    </row>
    <row r="116" spans="1:7" x14ac:dyDescent="0.25">
      <c r="A116" t="s">
        <v>6159</v>
      </c>
    </row>
    <row r="117" spans="1:7" x14ac:dyDescent="0.25">
      <c r="A117" t="s">
        <v>2644</v>
      </c>
      <c r="B117" t="s">
        <v>4394</v>
      </c>
      <c r="C117" t="s">
        <v>4620</v>
      </c>
      <c r="D117" t="s">
        <v>4621</v>
      </c>
      <c r="E117" t="s">
        <v>4622</v>
      </c>
      <c r="F117" t="s">
        <v>4623</v>
      </c>
      <c r="G117" t="s">
        <v>4624</v>
      </c>
    </row>
    <row r="118" spans="1:7" x14ac:dyDescent="0.25">
      <c r="A118" t="s">
        <v>1315</v>
      </c>
      <c r="B118">
        <v>39</v>
      </c>
      <c r="C118" t="s">
        <v>4864</v>
      </c>
      <c r="D118" t="s">
        <v>4704</v>
      </c>
      <c r="E118" t="s">
        <v>4582</v>
      </c>
      <c r="F118" t="s">
        <v>4864</v>
      </c>
      <c r="G118" t="s">
        <v>4627</v>
      </c>
    </row>
    <row r="119" spans="1:7" x14ac:dyDescent="0.25">
      <c r="A119" t="s">
        <v>1353</v>
      </c>
      <c r="B119">
        <v>5</v>
      </c>
      <c r="C119" t="s">
        <v>4406</v>
      </c>
      <c r="D119" t="s">
        <v>4472</v>
      </c>
      <c r="E119" t="s">
        <v>4458</v>
      </c>
      <c r="F119" t="s">
        <v>4406</v>
      </c>
      <c r="G119" t="s">
        <v>4458</v>
      </c>
    </row>
    <row r="120" spans="1:7" x14ac:dyDescent="0.25">
      <c r="A120" t="s">
        <v>1296</v>
      </c>
      <c r="B120">
        <v>44</v>
      </c>
      <c r="C120" t="s">
        <v>4753</v>
      </c>
      <c r="D120" t="s">
        <v>4726</v>
      </c>
      <c r="E120" t="s">
        <v>5427</v>
      </c>
      <c r="F120" t="s">
        <v>4753</v>
      </c>
      <c r="G120" t="s">
        <v>4852</v>
      </c>
    </row>
    <row r="122" spans="1:7" x14ac:dyDescent="0.25">
      <c r="A122" t="s">
        <v>6160</v>
      </c>
    </row>
    <row r="123" spans="1:7" x14ac:dyDescent="0.25">
      <c r="A123" t="s">
        <v>903</v>
      </c>
      <c r="B123" t="s">
        <v>4394</v>
      </c>
      <c r="C123" t="s">
        <v>4620</v>
      </c>
      <c r="D123" t="s">
        <v>4621</v>
      </c>
      <c r="E123" t="s">
        <v>4622</v>
      </c>
      <c r="F123" t="s">
        <v>4623</v>
      </c>
      <c r="G123" t="s">
        <v>4624</v>
      </c>
    </row>
    <row r="124" spans="1:7" x14ac:dyDescent="0.25">
      <c r="A124" t="s">
        <v>70</v>
      </c>
      <c r="B124">
        <v>13</v>
      </c>
      <c r="C124" t="s">
        <v>4406</v>
      </c>
      <c r="D124" t="s">
        <v>4567</v>
      </c>
      <c r="E124" t="s">
        <v>4915</v>
      </c>
      <c r="F124" t="s">
        <v>4406</v>
      </c>
      <c r="G124" t="s">
        <v>4474</v>
      </c>
    </row>
    <row r="125" spans="1:7" x14ac:dyDescent="0.25">
      <c r="A125" t="s">
        <v>71</v>
      </c>
      <c r="B125">
        <v>31</v>
      </c>
      <c r="C125" t="s">
        <v>4713</v>
      </c>
      <c r="D125" t="s">
        <v>4561</v>
      </c>
      <c r="E125" t="s">
        <v>4562</v>
      </c>
      <c r="F125" t="s">
        <v>4713</v>
      </c>
      <c r="G125" t="s">
        <v>4670</v>
      </c>
    </row>
    <row r="126" spans="1:7" x14ac:dyDescent="0.25">
      <c r="A126" t="s">
        <v>1296</v>
      </c>
      <c r="B126">
        <v>44</v>
      </c>
      <c r="C126" t="s">
        <v>4753</v>
      </c>
      <c r="D126" t="s">
        <v>4726</v>
      </c>
      <c r="E126" t="s">
        <v>5427</v>
      </c>
      <c r="F126" t="s">
        <v>4753</v>
      </c>
      <c r="G126" t="s">
        <v>4852</v>
      </c>
    </row>
    <row r="128" spans="1:7" x14ac:dyDescent="0.25">
      <c r="A128" t="s">
        <v>6161</v>
      </c>
    </row>
    <row r="129" spans="1:4" x14ac:dyDescent="0.25">
      <c r="A129" t="s">
        <v>2842</v>
      </c>
      <c r="B129" t="s">
        <v>4394</v>
      </c>
      <c r="C129" t="s">
        <v>1315</v>
      </c>
      <c r="D129" t="s">
        <v>1353</v>
      </c>
    </row>
    <row r="130" spans="1:4" x14ac:dyDescent="0.25">
      <c r="A130" t="s">
        <v>5549</v>
      </c>
      <c r="B130">
        <v>31</v>
      </c>
      <c r="C130" t="s">
        <v>5089</v>
      </c>
      <c r="D130" t="s">
        <v>4564</v>
      </c>
    </row>
    <row r="131" spans="1:4" x14ac:dyDescent="0.25">
      <c r="A131" t="s">
        <v>1397</v>
      </c>
      <c r="B131">
        <v>13</v>
      </c>
      <c r="C131" t="s">
        <v>5021</v>
      </c>
      <c r="D131" t="s">
        <v>4474</v>
      </c>
    </row>
    <row r="132" spans="1:4" x14ac:dyDescent="0.25">
      <c r="A132" t="s">
        <v>1296</v>
      </c>
      <c r="B132">
        <v>44</v>
      </c>
      <c r="C132" t="s">
        <v>5096</v>
      </c>
      <c r="D132" t="s">
        <v>4637</v>
      </c>
    </row>
    <row r="134" spans="1:4" x14ac:dyDescent="0.25">
      <c r="A134" t="s">
        <v>6162</v>
      </c>
    </row>
    <row r="135" spans="1:4" x14ac:dyDescent="0.25">
      <c r="A135" t="s">
        <v>995</v>
      </c>
      <c r="B135" t="s">
        <v>4394</v>
      </c>
      <c r="C135" t="s">
        <v>1315</v>
      </c>
      <c r="D135" t="s">
        <v>1353</v>
      </c>
    </row>
    <row r="136" spans="1:4" x14ac:dyDescent="0.25">
      <c r="A136" t="s">
        <v>1338</v>
      </c>
      <c r="B136">
        <v>10</v>
      </c>
      <c r="C136">
        <v>10</v>
      </c>
      <c r="D136">
        <v>0</v>
      </c>
    </row>
    <row r="137" spans="1:4" x14ac:dyDescent="0.25">
      <c r="A137" t="s">
        <v>1370</v>
      </c>
      <c r="B137">
        <v>5</v>
      </c>
      <c r="C137">
        <v>5</v>
      </c>
      <c r="D137">
        <v>0</v>
      </c>
    </row>
    <row r="138" spans="1:4" x14ac:dyDescent="0.25">
      <c r="A138" t="s">
        <v>1439</v>
      </c>
      <c r="B138">
        <v>4</v>
      </c>
      <c r="C138">
        <v>1</v>
      </c>
      <c r="D138">
        <v>3</v>
      </c>
    </row>
    <row r="139" spans="1:4" x14ac:dyDescent="0.25">
      <c r="A139" t="s">
        <v>1476</v>
      </c>
      <c r="B139">
        <v>2</v>
      </c>
      <c r="C139">
        <v>2</v>
      </c>
      <c r="D139">
        <v>0</v>
      </c>
    </row>
    <row r="140" spans="1:4" x14ac:dyDescent="0.25">
      <c r="A140" t="s">
        <v>5476</v>
      </c>
      <c r="B140">
        <v>1</v>
      </c>
      <c r="C140">
        <v>0</v>
      </c>
      <c r="D140">
        <v>1</v>
      </c>
    </row>
    <row r="141" spans="1:4" x14ac:dyDescent="0.25">
      <c r="A141" t="s">
        <v>1399</v>
      </c>
      <c r="B141">
        <v>4</v>
      </c>
      <c r="C141">
        <v>3</v>
      </c>
      <c r="D141">
        <v>1</v>
      </c>
    </row>
    <row r="142" spans="1:4" x14ac:dyDescent="0.25">
      <c r="A142" t="s">
        <v>1415</v>
      </c>
      <c r="B142">
        <v>18</v>
      </c>
      <c r="C142">
        <v>18</v>
      </c>
      <c r="D142">
        <v>0</v>
      </c>
    </row>
    <row r="143" spans="1:4" x14ac:dyDescent="0.25">
      <c r="A143" t="s">
        <v>1296</v>
      </c>
      <c r="B143">
        <v>44</v>
      </c>
      <c r="C143">
        <v>39</v>
      </c>
      <c r="D143">
        <v>5</v>
      </c>
    </row>
    <row r="145" spans="1:7" x14ac:dyDescent="0.25">
      <c r="A145" t="s">
        <v>6163</v>
      </c>
    </row>
    <row r="146" spans="1:7" x14ac:dyDescent="0.25">
      <c r="A146" t="s">
        <v>998</v>
      </c>
      <c r="B146" t="s">
        <v>4394</v>
      </c>
      <c r="C146" t="s">
        <v>1315</v>
      </c>
      <c r="D146" t="s">
        <v>1353</v>
      </c>
    </row>
    <row r="147" spans="1:7" x14ac:dyDescent="0.25">
      <c r="A147" t="s">
        <v>109</v>
      </c>
      <c r="B147">
        <v>37</v>
      </c>
      <c r="C147">
        <v>33</v>
      </c>
      <c r="D147">
        <v>4</v>
      </c>
    </row>
    <row r="148" spans="1:7" x14ac:dyDescent="0.25">
      <c r="A148" t="s">
        <v>192</v>
      </c>
      <c r="B148">
        <v>7</v>
      </c>
      <c r="C148">
        <v>6</v>
      </c>
      <c r="D148">
        <v>1</v>
      </c>
    </row>
    <row r="149" spans="1:7" x14ac:dyDescent="0.25">
      <c r="A149" t="s">
        <v>1296</v>
      </c>
      <c r="B149">
        <v>44</v>
      </c>
      <c r="C149">
        <v>39</v>
      </c>
      <c r="D149">
        <v>5</v>
      </c>
    </row>
    <row r="151" spans="1:7" x14ac:dyDescent="0.25">
      <c r="A151" t="s">
        <v>6164</v>
      </c>
    </row>
    <row r="152" spans="1:7" x14ac:dyDescent="0.25">
      <c r="A152" t="s">
        <v>903</v>
      </c>
      <c r="B152" t="s">
        <v>4394</v>
      </c>
      <c r="C152" t="s">
        <v>1315</v>
      </c>
      <c r="D152" t="s">
        <v>1353</v>
      </c>
    </row>
    <row r="153" spans="1:7" x14ac:dyDescent="0.25">
      <c r="A153" t="s">
        <v>70</v>
      </c>
      <c r="B153">
        <v>13</v>
      </c>
      <c r="C153" t="s">
        <v>5021</v>
      </c>
      <c r="D153" t="s">
        <v>4474</v>
      </c>
    </row>
    <row r="154" spans="1:7" x14ac:dyDescent="0.25">
      <c r="A154" t="s">
        <v>71</v>
      </c>
      <c r="B154">
        <v>31</v>
      </c>
      <c r="C154" t="s">
        <v>5089</v>
      </c>
      <c r="D154" t="s">
        <v>4564</v>
      </c>
    </row>
    <row r="155" spans="1:7" x14ac:dyDescent="0.25">
      <c r="A155" t="s">
        <v>1296</v>
      </c>
      <c r="B155">
        <v>44</v>
      </c>
      <c r="C155" t="s">
        <v>5096</v>
      </c>
      <c r="D155" t="s">
        <v>4637</v>
      </c>
    </row>
    <row r="157" spans="1:7" x14ac:dyDescent="0.25">
      <c r="A157" t="s">
        <v>6165</v>
      </c>
    </row>
    <row r="158" spans="1:7" x14ac:dyDescent="0.25">
      <c r="A158" t="s">
        <v>2842</v>
      </c>
      <c r="B158" t="s">
        <v>4394</v>
      </c>
      <c r="C158" t="s">
        <v>4428</v>
      </c>
      <c r="D158" t="s">
        <v>4429</v>
      </c>
      <c r="E158" t="s">
        <v>4430</v>
      </c>
      <c r="F158" t="s">
        <v>4431</v>
      </c>
      <c r="G158" t="s">
        <v>4432</v>
      </c>
    </row>
    <row r="159" spans="1:7" x14ac:dyDescent="0.25">
      <c r="A159" t="s">
        <v>5549</v>
      </c>
      <c r="B159">
        <v>73</v>
      </c>
      <c r="C159">
        <v>14034.25</v>
      </c>
      <c r="D159">
        <v>12000</v>
      </c>
      <c r="E159">
        <v>4000</v>
      </c>
      <c r="F159">
        <v>30000</v>
      </c>
      <c r="G159">
        <v>1024500</v>
      </c>
    </row>
    <row r="160" spans="1:7" x14ac:dyDescent="0.25">
      <c r="A160" t="s">
        <v>1397</v>
      </c>
      <c r="B160">
        <v>54</v>
      </c>
      <c r="C160">
        <v>8435.19</v>
      </c>
      <c r="D160">
        <v>6000</v>
      </c>
      <c r="E160">
        <v>1500</v>
      </c>
      <c r="F160">
        <v>40000</v>
      </c>
      <c r="G160">
        <v>455500</v>
      </c>
    </row>
    <row r="162" spans="1:9" x14ac:dyDescent="0.25">
      <c r="A162" t="s">
        <v>6166</v>
      </c>
    </row>
    <row r="163" spans="1:9" x14ac:dyDescent="0.25">
      <c r="A163" t="s">
        <v>903</v>
      </c>
      <c r="B163" t="s">
        <v>4394</v>
      </c>
      <c r="C163" t="s">
        <v>4428</v>
      </c>
      <c r="D163" t="s">
        <v>4429</v>
      </c>
      <c r="E163" t="s">
        <v>4430</v>
      </c>
      <c r="F163" t="s">
        <v>4431</v>
      </c>
      <c r="G163" t="s">
        <v>4432</v>
      </c>
    </row>
    <row r="164" spans="1:9" x14ac:dyDescent="0.25">
      <c r="A164" t="s">
        <v>70</v>
      </c>
      <c r="B164">
        <v>33</v>
      </c>
      <c r="C164">
        <v>10257.58</v>
      </c>
      <c r="D164">
        <v>8000</v>
      </c>
      <c r="E164">
        <v>1500</v>
      </c>
      <c r="F164">
        <v>30000</v>
      </c>
      <c r="G164">
        <v>338500</v>
      </c>
    </row>
    <row r="165" spans="1:9" x14ac:dyDescent="0.25">
      <c r="A165" t="s">
        <v>71</v>
      </c>
      <c r="B165">
        <v>94</v>
      </c>
      <c r="C165">
        <v>12143.62</v>
      </c>
      <c r="D165">
        <v>10000</v>
      </c>
      <c r="E165">
        <v>1500</v>
      </c>
      <c r="F165">
        <v>40000</v>
      </c>
      <c r="G165">
        <v>1141500</v>
      </c>
    </row>
    <row r="166" spans="1:9" x14ac:dyDescent="0.25">
      <c r="A166" t="s">
        <v>1296</v>
      </c>
      <c r="B166">
        <v>127</v>
      </c>
      <c r="C166">
        <v>11653.54</v>
      </c>
      <c r="D166">
        <v>10000</v>
      </c>
      <c r="E166">
        <v>1500</v>
      </c>
      <c r="F166">
        <v>40000</v>
      </c>
      <c r="G166">
        <v>1480000</v>
      </c>
    </row>
    <row r="168" spans="1:9" x14ac:dyDescent="0.25">
      <c r="A168" t="s">
        <v>6167</v>
      </c>
    </row>
    <row r="169" spans="1:9" x14ac:dyDescent="0.25">
      <c r="A169" t="s">
        <v>2842</v>
      </c>
      <c r="B169" t="s">
        <v>4394</v>
      </c>
      <c r="C169" t="s">
        <v>4428</v>
      </c>
      <c r="D169" t="s">
        <v>4429</v>
      </c>
      <c r="E169" t="s">
        <v>4430</v>
      </c>
      <c r="F169" t="s">
        <v>4431</v>
      </c>
      <c r="G169" t="s">
        <v>4432</v>
      </c>
    </row>
    <row r="170" spans="1:9" x14ac:dyDescent="0.25">
      <c r="A170" t="s">
        <v>5549</v>
      </c>
      <c r="B170">
        <v>69</v>
      </c>
      <c r="C170">
        <v>19101.45</v>
      </c>
      <c r="D170">
        <v>17000</v>
      </c>
      <c r="E170">
        <v>1000</v>
      </c>
      <c r="F170">
        <v>40000</v>
      </c>
      <c r="G170">
        <v>1318000</v>
      </c>
    </row>
    <row r="171" spans="1:9" x14ac:dyDescent="0.25">
      <c r="A171" t="s">
        <v>1397</v>
      </c>
      <c r="B171">
        <v>48</v>
      </c>
      <c r="C171">
        <v>9052.08</v>
      </c>
      <c r="D171">
        <v>7000</v>
      </c>
      <c r="E171">
        <v>1000</v>
      </c>
      <c r="F171">
        <v>40000</v>
      </c>
      <c r="G171">
        <v>434500</v>
      </c>
    </row>
    <row r="173" spans="1:9" x14ac:dyDescent="0.25">
      <c r="A173" t="s">
        <v>6168</v>
      </c>
    </row>
    <row r="174" spans="1:9" x14ac:dyDescent="0.25">
      <c r="A174" t="s">
        <v>2842</v>
      </c>
      <c r="B174" t="s">
        <v>4394</v>
      </c>
      <c r="C174" t="s">
        <v>1371</v>
      </c>
      <c r="D174" t="s">
        <v>1452</v>
      </c>
      <c r="E174" t="s">
        <v>5560</v>
      </c>
      <c r="F174" t="s">
        <v>1424</v>
      </c>
      <c r="G174" t="s">
        <v>1340</v>
      </c>
      <c r="H174" t="s">
        <v>5561</v>
      </c>
      <c r="I174" t="s">
        <v>1416</v>
      </c>
    </row>
    <row r="175" spans="1:9" x14ac:dyDescent="0.25">
      <c r="A175" t="s">
        <v>5549</v>
      </c>
      <c r="B175">
        <v>83</v>
      </c>
      <c r="C175" t="s">
        <v>4606</v>
      </c>
      <c r="D175" t="s">
        <v>4541</v>
      </c>
      <c r="E175" t="s">
        <v>4422</v>
      </c>
      <c r="F175" t="s">
        <v>4965</v>
      </c>
      <c r="G175" t="s">
        <v>4541</v>
      </c>
      <c r="H175" t="s">
        <v>4422</v>
      </c>
      <c r="I175" t="s">
        <v>4526</v>
      </c>
    </row>
    <row r="176" spans="1:9" x14ac:dyDescent="0.25">
      <c r="A176" t="s">
        <v>1397</v>
      </c>
      <c r="B176">
        <v>55</v>
      </c>
      <c r="C176" t="s">
        <v>4591</v>
      </c>
      <c r="D176" t="s">
        <v>5467</v>
      </c>
      <c r="E176" t="s">
        <v>4747</v>
      </c>
      <c r="F176" t="s">
        <v>4500</v>
      </c>
      <c r="G176" t="s">
        <v>4599</v>
      </c>
      <c r="H176" t="s">
        <v>4852</v>
      </c>
      <c r="I176" t="s">
        <v>5076</v>
      </c>
    </row>
    <row r="177" spans="1:9" x14ac:dyDescent="0.25">
      <c r="A177" t="s">
        <v>1296</v>
      </c>
      <c r="B177">
        <v>138</v>
      </c>
      <c r="C177" t="s">
        <v>4944</v>
      </c>
      <c r="D177" t="s">
        <v>4772</v>
      </c>
      <c r="E177" t="s">
        <v>4940</v>
      </c>
      <c r="F177" t="s">
        <v>4606</v>
      </c>
      <c r="G177" t="s">
        <v>4863</v>
      </c>
      <c r="H177" t="s">
        <v>4667</v>
      </c>
      <c r="I177" t="s">
        <v>4549</v>
      </c>
    </row>
    <row r="179" spans="1:9" x14ac:dyDescent="0.25">
      <c r="A179" t="s">
        <v>6169</v>
      </c>
    </row>
    <row r="180" spans="1:9" x14ac:dyDescent="0.25">
      <c r="A180" t="s">
        <v>992</v>
      </c>
      <c r="B180" t="s">
        <v>4394</v>
      </c>
      <c r="C180" t="s">
        <v>1371</v>
      </c>
      <c r="D180" t="s">
        <v>1452</v>
      </c>
      <c r="E180" t="s">
        <v>5560</v>
      </c>
      <c r="F180" t="s">
        <v>1424</v>
      </c>
      <c r="G180" t="s">
        <v>1340</v>
      </c>
      <c r="H180" t="s">
        <v>5561</v>
      </c>
      <c r="I180" t="s">
        <v>1416</v>
      </c>
    </row>
    <row r="181" spans="1:9" x14ac:dyDescent="0.25">
      <c r="A181" t="s">
        <v>4844</v>
      </c>
      <c r="B181">
        <v>21</v>
      </c>
      <c r="C181" t="s">
        <v>4785</v>
      </c>
      <c r="D181" t="s">
        <v>4749</v>
      </c>
      <c r="E181" t="s">
        <v>4785</v>
      </c>
      <c r="F181" t="s">
        <v>4465</v>
      </c>
      <c r="G181" t="s">
        <v>4675</v>
      </c>
      <c r="H181" t="s">
        <v>4675</v>
      </c>
      <c r="I181" t="s">
        <v>4749</v>
      </c>
    </row>
    <row r="182" spans="1:9" x14ac:dyDescent="0.25">
      <c r="A182" t="s">
        <v>4845</v>
      </c>
      <c r="B182">
        <v>108</v>
      </c>
      <c r="C182" t="s">
        <v>4596</v>
      </c>
      <c r="D182" t="s">
        <v>4859</v>
      </c>
      <c r="E182" t="s">
        <v>4698</v>
      </c>
      <c r="F182" t="s">
        <v>4548</v>
      </c>
      <c r="G182" t="s">
        <v>4596</v>
      </c>
      <c r="H182" t="s">
        <v>4954</v>
      </c>
      <c r="I182" t="s">
        <v>5127</v>
      </c>
    </row>
    <row r="183" spans="1:9" x14ac:dyDescent="0.25">
      <c r="A183" t="s">
        <v>4846</v>
      </c>
      <c r="B183">
        <v>9</v>
      </c>
      <c r="C183" t="s">
        <v>4570</v>
      </c>
      <c r="D183" t="s">
        <v>4676</v>
      </c>
      <c r="E183" t="s">
        <v>4406</v>
      </c>
      <c r="F183" t="s">
        <v>4465</v>
      </c>
      <c r="G183" t="s">
        <v>4676</v>
      </c>
      <c r="H183" t="s">
        <v>4406</v>
      </c>
      <c r="I183" t="s">
        <v>4406</v>
      </c>
    </row>
    <row r="184" spans="1:9" x14ac:dyDescent="0.25">
      <c r="A184" t="s">
        <v>1296</v>
      </c>
      <c r="B184">
        <v>138</v>
      </c>
      <c r="C184" t="s">
        <v>4944</v>
      </c>
      <c r="D184" t="s">
        <v>4772</v>
      </c>
      <c r="E184" t="s">
        <v>4940</v>
      </c>
      <c r="F184" t="s">
        <v>4606</v>
      </c>
      <c r="G184" t="s">
        <v>4863</v>
      </c>
      <c r="H184" t="s">
        <v>4667</v>
      </c>
      <c r="I184" t="s">
        <v>4549</v>
      </c>
    </row>
    <row r="186" spans="1:9" x14ac:dyDescent="0.25">
      <c r="A186" t="s">
        <v>6170</v>
      </c>
    </row>
    <row r="187" spans="1:9" x14ac:dyDescent="0.25">
      <c r="A187" t="s">
        <v>995</v>
      </c>
      <c r="B187" t="s">
        <v>4394</v>
      </c>
      <c r="C187" t="s">
        <v>1371</v>
      </c>
      <c r="D187" t="s">
        <v>1452</v>
      </c>
      <c r="E187" t="s">
        <v>5560</v>
      </c>
      <c r="F187" t="s">
        <v>1424</v>
      </c>
      <c r="G187" t="s">
        <v>1340</v>
      </c>
      <c r="H187" t="s">
        <v>5561</v>
      </c>
      <c r="I187" t="s">
        <v>1416</v>
      </c>
    </row>
    <row r="188" spans="1:9" x14ac:dyDescent="0.25">
      <c r="A188" t="s">
        <v>1338</v>
      </c>
      <c r="B188">
        <v>43</v>
      </c>
      <c r="C188">
        <v>7</v>
      </c>
      <c r="D188">
        <v>5</v>
      </c>
      <c r="E188">
        <v>3</v>
      </c>
      <c r="F188">
        <v>8</v>
      </c>
      <c r="G188">
        <v>7</v>
      </c>
      <c r="H188">
        <v>2</v>
      </c>
      <c r="I188">
        <v>11</v>
      </c>
    </row>
    <row r="189" spans="1:9" x14ac:dyDescent="0.25">
      <c r="A189" t="s">
        <v>1370</v>
      </c>
      <c r="B189">
        <v>10</v>
      </c>
      <c r="C189">
        <v>2</v>
      </c>
      <c r="D189">
        <v>1</v>
      </c>
      <c r="E189">
        <v>2</v>
      </c>
      <c r="F189">
        <v>3</v>
      </c>
      <c r="G189">
        <v>1</v>
      </c>
      <c r="H189">
        <v>0</v>
      </c>
      <c r="I189">
        <v>1</v>
      </c>
    </row>
    <row r="190" spans="1:9" x14ac:dyDescent="0.25">
      <c r="A190" t="s">
        <v>1439</v>
      </c>
      <c r="B190">
        <v>7</v>
      </c>
      <c r="C190">
        <v>0</v>
      </c>
      <c r="D190">
        <v>0</v>
      </c>
      <c r="E190">
        <v>0</v>
      </c>
      <c r="F190">
        <v>4</v>
      </c>
      <c r="G190">
        <v>2</v>
      </c>
      <c r="H190">
        <v>0</v>
      </c>
      <c r="I190">
        <v>1</v>
      </c>
    </row>
    <row r="191" spans="1:9" x14ac:dyDescent="0.25">
      <c r="A191" t="s">
        <v>1476</v>
      </c>
      <c r="B191">
        <v>5</v>
      </c>
      <c r="C191">
        <v>0</v>
      </c>
      <c r="D191">
        <v>0</v>
      </c>
      <c r="E191">
        <v>3</v>
      </c>
      <c r="F191">
        <v>2</v>
      </c>
      <c r="G191">
        <v>0</v>
      </c>
      <c r="H191">
        <v>0</v>
      </c>
      <c r="I191">
        <v>0</v>
      </c>
    </row>
    <row r="192" spans="1:9" x14ac:dyDescent="0.25">
      <c r="A192" t="s">
        <v>5476</v>
      </c>
      <c r="B192">
        <v>2</v>
      </c>
      <c r="C192">
        <v>0</v>
      </c>
      <c r="D192">
        <v>0</v>
      </c>
      <c r="E192">
        <v>1</v>
      </c>
      <c r="F192">
        <v>1</v>
      </c>
      <c r="G192">
        <v>0</v>
      </c>
      <c r="H192">
        <v>0</v>
      </c>
      <c r="I192">
        <v>0</v>
      </c>
    </row>
    <row r="193" spans="1:9" x14ac:dyDescent="0.25">
      <c r="A193" t="s">
        <v>1399</v>
      </c>
      <c r="B193">
        <v>23</v>
      </c>
      <c r="C193">
        <v>4</v>
      </c>
      <c r="D193">
        <v>2</v>
      </c>
      <c r="E193">
        <v>4</v>
      </c>
      <c r="F193">
        <v>8</v>
      </c>
      <c r="G193">
        <v>3</v>
      </c>
      <c r="H193">
        <v>1</v>
      </c>
      <c r="I193">
        <v>1</v>
      </c>
    </row>
    <row r="194" spans="1:9" x14ac:dyDescent="0.25">
      <c r="A194" t="s">
        <v>1415</v>
      </c>
      <c r="B194">
        <v>48</v>
      </c>
      <c r="C194">
        <v>13</v>
      </c>
      <c r="D194">
        <v>9</v>
      </c>
      <c r="E194">
        <v>1</v>
      </c>
      <c r="F194">
        <v>4</v>
      </c>
      <c r="G194">
        <v>8</v>
      </c>
      <c r="H194">
        <v>3</v>
      </c>
      <c r="I194">
        <v>10</v>
      </c>
    </row>
    <row r="195" spans="1:9" x14ac:dyDescent="0.25">
      <c r="A195" t="s">
        <v>1296</v>
      </c>
      <c r="B195">
        <v>138</v>
      </c>
      <c r="C195">
        <v>26</v>
      </c>
      <c r="D195">
        <v>17</v>
      </c>
      <c r="E195">
        <v>14</v>
      </c>
      <c r="F195">
        <v>30</v>
      </c>
      <c r="G195">
        <v>21</v>
      </c>
      <c r="H195">
        <v>6</v>
      </c>
      <c r="I195">
        <v>24</v>
      </c>
    </row>
    <row r="197" spans="1:9" x14ac:dyDescent="0.25">
      <c r="A197" t="s">
        <v>6171</v>
      </c>
    </row>
    <row r="198" spans="1:9" x14ac:dyDescent="0.25">
      <c r="A198" t="s">
        <v>998</v>
      </c>
      <c r="B198" t="s">
        <v>4394</v>
      </c>
      <c r="C198" t="s">
        <v>1371</v>
      </c>
      <c r="D198" t="s">
        <v>1452</v>
      </c>
      <c r="E198" t="s">
        <v>5560</v>
      </c>
      <c r="F198" t="s">
        <v>1424</v>
      </c>
      <c r="G198" t="s">
        <v>1340</v>
      </c>
      <c r="H198" t="s">
        <v>5561</v>
      </c>
      <c r="I198" t="s">
        <v>1416</v>
      </c>
    </row>
    <row r="199" spans="1:9" x14ac:dyDescent="0.25">
      <c r="A199" t="s">
        <v>109</v>
      </c>
      <c r="B199">
        <v>125</v>
      </c>
      <c r="C199" t="s">
        <v>4909</v>
      </c>
      <c r="D199" t="s">
        <v>4589</v>
      </c>
      <c r="E199" t="s">
        <v>4631</v>
      </c>
      <c r="F199" t="s">
        <v>4472</v>
      </c>
      <c r="G199" t="s">
        <v>4863</v>
      </c>
      <c r="H199" t="s">
        <v>4749</v>
      </c>
      <c r="I199" t="s">
        <v>5318</v>
      </c>
    </row>
    <row r="200" spans="1:9" x14ac:dyDescent="0.25">
      <c r="A200" t="s">
        <v>192</v>
      </c>
      <c r="B200">
        <v>13</v>
      </c>
      <c r="C200" t="s">
        <v>4406</v>
      </c>
      <c r="D200" t="s">
        <v>4406</v>
      </c>
      <c r="E200" t="s">
        <v>4566</v>
      </c>
      <c r="F200" t="s">
        <v>4711</v>
      </c>
      <c r="G200" t="s">
        <v>4474</v>
      </c>
      <c r="H200" t="s">
        <v>4406</v>
      </c>
      <c r="I200" t="s">
        <v>4566</v>
      </c>
    </row>
    <row r="201" spans="1:9" x14ac:dyDescent="0.25">
      <c r="A201" t="s">
        <v>1296</v>
      </c>
      <c r="B201">
        <v>138</v>
      </c>
      <c r="C201" t="s">
        <v>4944</v>
      </c>
      <c r="D201" t="s">
        <v>4772</v>
      </c>
      <c r="E201" t="s">
        <v>4940</v>
      </c>
      <c r="F201" t="s">
        <v>4606</v>
      </c>
      <c r="G201" t="s">
        <v>4863</v>
      </c>
      <c r="H201" t="s">
        <v>4667</v>
      </c>
      <c r="I201" t="s">
        <v>4549</v>
      </c>
    </row>
    <row r="203" spans="1:9" x14ac:dyDescent="0.25">
      <c r="A203" t="s">
        <v>6172</v>
      </c>
    </row>
    <row r="204" spans="1:9" x14ac:dyDescent="0.25">
      <c r="A204" t="s">
        <v>1003</v>
      </c>
      <c r="B204" t="s">
        <v>4394</v>
      </c>
      <c r="C204" t="s">
        <v>1371</v>
      </c>
      <c r="D204" t="s">
        <v>1452</v>
      </c>
      <c r="E204" t="s">
        <v>5560</v>
      </c>
      <c r="F204" t="s">
        <v>1424</v>
      </c>
      <c r="G204" t="s">
        <v>1340</v>
      </c>
      <c r="H204" t="s">
        <v>5561</v>
      </c>
      <c r="I204" t="s">
        <v>1416</v>
      </c>
    </row>
    <row r="205" spans="1:9" x14ac:dyDescent="0.25">
      <c r="A205" t="s">
        <v>1309</v>
      </c>
      <c r="B205">
        <v>2</v>
      </c>
      <c r="C205" t="s">
        <v>4406</v>
      </c>
      <c r="D205" t="s">
        <v>4406</v>
      </c>
      <c r="E205" t="s">
        <v>4406</v>
      </c>
      <c r="F205" t="s">
        <v>4406</v>
      </c>
      <c r="G205" t="s">
        <v>4454</v>
      </c>
      <c r="H205" t="s">
        <v>4406</v>
      </c>
      <c r="I205" t="s">
        <v>4406</v>
      </c>
    </row>
    <row r="206" spans="1:9" x14ac:dyDescent="0.25">
      <c r="A206" t="s">
        <v>4844</v>
      </c>
      <c r="B206">
        <v>44</v>
      </c>
      <c r="C206" t="s">
        <v>4405</v>
      </c>
      <c r="D206" t="s">
        <v>4852</v>
      </c>
      <c r="E206" t="s">
        <v>4405</v>
      </c>
      <c r="F206" t="s">
        <v>5261</v>
      </c>
      <c r="G206" t="s">
        <v>4852</v>
      </c>
      <c r="H206" t="s">
        <v>4637</v>
      </c>
      <c r="I206" t="s">
        <v>4691</v>
      </c>
    </row>
    <row r="207" spans="1:9" x14ac:dyDescent="0.25">
      <c r="A207" t="s">
        <v>4847</v>
      </c>
      <c r="B207">
        <v>71</v>
      </c>
      <c r="C207" t="s">
        <v>4754</v>
      </c>
      <c r="D207" t="s">
        <v>4541</v>
      </c>
      <c r="E207" t="s">
        <v>4414</v>
      </c>
      <c r="F207" t="s">
        <v>4425</v>
      </c>
      <c r="G207" t="s">
        <v>4824</v>
      </c>
      <c r="H207" t="s">
        <v>4750</v>
      </c>
      <c r="I207" t="s">
        <v>4507</v>
      </c>
    </row>
    <row r="208" spans="1:9" x14ac:dyDescent="0.25">
      <c r="A208" t="s">
        <v>4848</v>
      </c>
      <c r="B208">
        <v>21</v>
      </c>
      <c r="C208" t="s">
        <v>4785</v>
      </c>
      <c r="D208" t="s">
        <v>4749</v>
      </c>
      <c r="E208" t="s">
        <v>4406</v>
      </c>
      <c r="F208" t="s">
        <v>4585</v>
      </c>
      <c r="G208" t="s">
        <v>4675</v>
      </c>
      <c r="H208" t="s">
        <v>4406</v>
      </c>
      <c r="I208" t="s">
        <v>4785</v>
      </c>
    </row>
    <row r="209" spans="1:10" x14ac:dyDescent="0.25">
      <c r="A209" t="s">
        <v>1296</v>
      </c>
      <c r="B209">
        <v>138</v>
      </c>
      <c r="C209" t="s">
        <v>4944</v>
      </c>
      <c r="D209" t="s">
        <v>4772</v>
      </c>
      <c r="E209" t="s">
        <v>4940</v>
      </c>
      <c r="F209" t="s">
        <v>4606</v>
      </c>
      <c r="G209" t="s">
        <v>4863</v>
      </c>
      <c r="H209" t="s">
        <v>4667</v>
      </c>
      <c r="I209" t="s">
        <v>4549</v>
      </c>
    </row>
    <row r="211" spans="1:10" x14ac:dyDescent="0.25">
      <c r="A211" t="s">
        <v>6173</v>
      </c>
    </row>
    <row r="212" spans="1:10" x14ac:dyDescent="0.25">
      <c r="A212" t="s">
        <v>903</v>
      </c>
      <c r="B212" t="s">
        <v>4394</v>
      </c>
      <c r="C212" t="s">
        <v>1371</v>
      </c>
      <c r="D212" t="s">
        <v>1452</v>
      </c>
      <c r="E212" t="s">
        <v>5560</v>
      </c>
      <c r="F212" t="s">
        <v>1424</v>
      </c>
      <c r="G212" t="s">
        <v>1340</v>
      </c>
      <c r="H212" t="s">
        <v>5561</v>
      </c>
      <c r="I212" t="s">
        <v>1416</v>
      </c>
    </row>
    <row r="213" spans="1:10" x14ac:dyDescent="0.25">
      <c r="A213" t="s">
        <v>70</v>
      </c>
      <c r="B213">
        <v>37</v>
      </c>
      <c r="C213" t="s">
        <v>4625</v>
      </c>
      <c r="D213" t="s">
        <v>4408</v>
      </c>
      <c r="E213" t="s">
        <v>4924</v>
      </c>
      <c r="F213" t="s">
        <v>4625</v>
      </c>
      <c r="G213" t="s">
        <v>4494</v>
      </c>
      <c r="H213" t="s">
        <v>4931</v>
      </c>
      <c r="I213" t="s">
        <v>5182</v>
      </c>
    </row>
    <row r="214" spans="1:10" x14ac:dyDescent="0.25">
      <c r="A214" t="s">
        <v>71</v>
      </c>
      <c r="B214">
        <v>101</v>
      </c>
      <c r="C214" t="s">
        <v>4874</v>
      </c>
      <c r="D214" t="s">
        <v>4420</v>
      </c>
      <c r="E214" t="s">
        <v>4699</v>
      </c>
      <c r="F214" t="s">
        <v>4556</v>
      </c>
      <c r="G214" t="s">
        <v>4867</v>
      </c>
      <c r="H214" t="s">
        <v>4758</v>
      </c>
      <c r="I214" t="s">
        <v>5318</v>
      </c>
    </row>
    <row r="215" spans="1:10" x14ac:dyDescent="0.25">
      <c r="A215" t="s">
        <v>1296</v>
      </c>
      <c r="B215">
        <v>138</v>
      </c>
      <c r="C215" t="s">
        <v>4944</v>
      </c>
      <c r="D215" t="s">
        <v>4772</v>
      </c>
      <c r="E215" t="s">
        <v>4940</v>
      </c>
      <c r="F215" t="s">
        <v>4606</v>
      </c>
      <c r="G215" t="s">
        <v>4863</v>
      </c>
      <c r="H215" t="s">
        <v>4667</v>
      </c>
      <c r="I215" t="s">
        <v>4549</v>
      </c>
    </row>
    <row r="217" spans="1:10" x14ac:dyDescent="0.25">
      <c r="A217" t="s">
        <v>6174</v>
      </c>
    </row>
    <row r="218" spans="1:10" x14ac:dyDescent="0.25">
      <c r="A218" t="s">
        <v>903</v>
      </c>
      <c r="B218" t="s">
        <v>4394</v>
      </c>
      <c r="C218" t="s">
        <v>4428</v>
      </c>
      <c r="D218" t="s">
        <v>4429</v>
      </c>
      <c r="E218" t="s">
        <v>4430</v>
      </c>
      <c r="F218" t="s">
        <v>4431</v>
      </c>
      <c r="G218" t="s">
        <v>4432</v>
      </c>
    </row>
    <row r="219" spans="1:10" x14ac:dyDescent="0.25">
      <c r="A219" t="s">
        <v>70</v>
      </c>
      <c r="B219">
        <v>32</v>
      </c>
      <c r="C219">
        <v>14625</v>
      </c>
      <c r="D219">
        <v>11000</v>
      </c>
      <c r="E219">
        <v>2500</v>
      </c>
      <c r="F219">
        <v>40000</v>
      </c>
      <c r="G219">
        <v>468000</v>
      </c>
    </row>
    <row r="220" spans="1:10" x14ac:dyDescent="0.25">
      <c r="A220" t="s">
        <v>71</v>
      </c>
      <c r="B220">
        <v>85</v>
      </c>
      <c r="C220">
        <v>15111.76</v>
      </c>
      <c r="D220">
        <v>12000</v>
      </c>
      <c r="E220">
        <v>1000</v>
      </c>
      <c r="F220">
        <v>40000</v>
      </c>
      <c r="G220">
        <v>1284500</v>
      </c>
    </row>
    <row r="221" spans="1:10" x14ac:dyDescent="0.25">
      <c r="A221" t="s">
        <v>1296</v>
      </c>
      <c r="B221">
        <v>117</v>
      </c>
      <c r="C221">
        <v>14978.63</v>
      </c>
      <c r="D221">
        <v>12000</v>
      </c>
      <c r="E221">
        <v>1000</v>
      </c>
      <c r="F221">
        <v>40000</v>
      </c>
      <c r="G221">
        <v>1752500</v>
      </c>
    </row>
    <row r="223" spans="1:10" x14ac:dyDescent="0.25">
      <c r="A223" t="s">
        <v>6175</v>
      </c>
    </row>
    <row r="224" spans="1:10" x14ac:dyDescent="0.25">
      <c r="A224" t="s">
        <v>2842</v>
      </c>
      <c r="B224" t="s">
        <v>4394</v>
      </c>
      <c r="C224" t="s">
        <v>4875</v>
      </c>
      <c r="D224" t="s">
        <v>4732</v>
      </c>
      <c r="E224" t="s">
        <v>4876</v>
      </c>
      <c r="F224" t="s">
        <v>4877</v>
      </c>
      <c r="G224" t="s">
        <v>4878</v>
      </c>
      <c r="H224" t="s">
        <v>30</v>
      </c>
      <c r="I224" t="s">
        <v>4879</v>
      </c>
      <c r="J224" t="s">
        <v>4880</v>
      </c>
    </row>
    <row r="225" spans="1:10" x14ac:dyDescent="0.25">
      <c r="A225" t="s">
        <v>5549</v>
      </c>
      <c r="B225">
        <v>83</v>
      </c>
      <c r="C225" t="s">
        <v>4422</v>
      </c>
      <c r="D225" t="s">
        <v>4406</v>
      </c>
      <c r="E225" t="s">
        <v>4526</v>
      </c>
      <c r="F225" t="s">
        <v>4422</v>
      </c>
      <c r="G225" t="s">
        <v>4749</v>
      </c>
      <c r="H225" t="s">
        <v>4422</v>
      </c>
      <c r="I225" t="s">
        <v>4829</v>
      </c>
      <c r="J225" t="s">
        <v>4424</v>
      </c>
    </row>
    <row r="226" spans="1:10" x14ac:dyDescent="0.25">
      <c r="A226" t="s">
        <v>1397</v>
      </c>
      <c r="B226">
        <v>55</v>
      </c>
      <c r="C226" t="s">
        <v>4905</v>
      </c>
      <c r="D226" t="s">
        <v>5206</v>
      </c>
      <c r="E226" t="s">
        <v>4405</v>
      </c>
      <c r="F226" t="s">
        <v>4905</v>
      </c>
      <c r="G226" t="s">
        <v>4905</v>
      </c>
      <c r="H226" t="s">
        <v>5076</v>
      </c>
      <c r="I226" t="s">
        <v>5073</v>
      </c>
      <c r="J226" t="s">
        <v>4406</v>
      </c>
    </row>
    <row r="227" spans="1:10" x14ac:dyDescent="0.25">
      <c r="A227" t="s">
        <v>1296</v>
      </c>
      <c r="B227">
        <v>138</v>
      </c>
      <c r="C227" t="s">
        <v>4750</v>
      </c>
      <c r="D227" t="s">
        <v>4697</v>
      </c>
      <c r="E227" t="s">
        <v>4443</v>
      </c>
      <c r="F227" t="s">
        <v>4750</v>
      </c>
      <c r="G227" t="s">
        <v>5076</v>
      </c>
      <c r="H227" t="s">
        <v>4581</v>
      </c>
      <c r="I227" t="s">
        <v>5378</v>
      </c>
      <c r="J227" t="s">
        <v>4750</v>
      </c>
    </row>
    <row r="229" spans="1:10" x14ac:dyDescent="0.25">
      <c r="A229" t="s">
        <v>6176</v>
      </c>
    </row>
    <row r="230" spans="1:10" x14ac:dyDescent="0.25">
      <c r="A230" t="s">
        <v>937</v>
      </c>
      <c r="B230" t="s">
        <v>4394</v>
      </c>
      <c r="C230" t="s">
        <v>4875</v>
      </c>
      <c r="D230" t="s">
        <v>4732</v>
      </c>
      <c r="E230" t="s">
        <v>4876</v>
      </c>
      <c r="F230" t="s">
        <v>4877</v>
      </c>
      <c r="G230" t="s">
        <v>4878</v>
      </c>
      <c r="H230" t="s">
        <v>30</v>
      </c>
      <c r="I230" t="s">
        <v>4879</v>
      </c>
      <c r="J230" t="s">
        <v>4880</v>
      </c>
    </row>
    <row r="231" spans="1:10" x14ac:dyDescent="0.25">
      <c r="A231" t="s">
        <v>1398</v>
      </c>
      <c r="B231">
        <v>49</v>
      </c>
      <c r="C231" t="s">
        <v>4406</v>
      </c>
      <c r="D231" t="s">
        <v>4406</v>
      </c>
      <c r="E231" t="s">
        <v>4440</v>
      </c>
      <c r="F231" t="s">
        <v>4406</v>
      </c>
      <c r="G231" t="s">
        <v>4934</v>
      </c>
      <c r="H231" t="s">
        <v>4744</v>
      </c>
      <c r="I231" t="s">
        <v>5253</v>
      </c>
      <c r="J231" t="s">
        <v>4406</v>
      </c>
    </row>
    <row r="232" spans="1:10" x14ac:dyDescent="0.25">
      <c r="A232" t="s">
        <v>1337</v>
      </c>
      <c r="B232">
        <v>78</v>
      </c>
      <c r="C232" t="s">
        <v>4659</v>
      </c>
      <c r="D232" t="s">
        <v>4720</v>
      </c>
      <c r="E232" t="s">
        <v>4583</v>
      </c>
      <c r="F232" t="s">
        <v>4864</v>
      </c>
      <c r="G232" t="s">
        <v>4720</v>
      </c>
      <c r="H232" t="s">
        <v>4864</v>
      </c>
      <c r="I232" t="s">
        <v>4938</v>
      </c>
      <c r="J232" t="s">
        <v>4864</v>
      </c>
    </row>
    <row r="233" spans="1:10" x14ac:dyDescent="0.25">
      <c r="A233" t="s">
        <v>1369</v>
      </c>
      <c r="B233">
        <v>11</v>
      </c>
      <c r="C233" t="s">
        <v>4852</v>
      </c>
      <c r="D233" t="s">
        <v>4852</v>
      </c>
      <c r="E233" t="s">
        <v>4492</v>
      </c>
      <c r="F233" t="s">
        <v>4406</v>
      </c>
      <c r="G233" t="s">
        <v>4406</v>
      </c>
      <c r="H233" t="s">
        <v>4406</v>
      </c>
      <c r="I233" t="s">
        <v>4452</v>
      </c>
      <c r="J233" t="s">
        <v>4406</v>
      </c>
    </row>
    <row r="234" spans="1:10" x14ac:dyDescent="0.25">
      <c r="A234" t="s">
        <v>1296</v>
      </c>
      <c r="B234">
        <v>138</v>
      </c>
      <c r="C234" t="s">
        <v>4750</v>
      </c>
      <c r="D234" t="s">
        <v>4697</v>
      </c>
      <c r="E234" t="s">
        <v>4443</v>
      </c>
      <c r="F234" t="s">
        <v>4750</v>
      </c>
      <c r="G234" t="s">
        <v>5076</v>
      </c>
      <c r="H234" t="s">
        <v>4581</v>
      </c>
      <c r="I234" t="s">
        <v>5378</v>
      </c>
      <c r="J234" t="s">
        <v>4750</v>
      </c>
    </row>
    <row r="236" spans="1:10" x14ac:dyDescent="0.25">
      <c r="A236" t="s">
        <v>6177</v>
      </c>
    </row>
    <row r="237" spans="1:10" x14ac:dyDescent="0.25">
      <c r="A237" t="s">
        <v>998</v>
      </c>
      <c r="B237" t="s">
        <v>4394</v>
      </c>
      <c r="C237" t="s">
        <v>4875</v>
      </c>
      <c r="D237" t="s">
        <v>4732</v>
      </c>
      <c r="E237" t="s">
        <v>4876</v>
      </c>
      <c r="F237" t="s">
        <v>4877</v>
      </c>
      <c r="G237" t="s">
        <v>4878</v>
      </c>
      <c r="H237" t="s">
        <v>30</v>
      </c>
      <c r="I237" t="s">
        <v>4879</v>
      </c>
      <c r="J237" t="s">
        <v>4880</v>
      </c>
    </row>
    <row r="238" spans="1:10" x14ac:dyDescent="0.25">
      <c r="A238" t="s">
        <v>109</v>
      </c>
      <c r="B238">
        <v>125</v>
      </c>
      <c r="C238" t="s">
        <v>4635</v>
      </c>
      <c r="D238" t="s">
        <v>4713</v>
      </c>
      <c r="E238" t="s">
        <v>4446</v>
      </c>
      <c r="F238" t="s">
        <v>4417</v>
      </c>
      <c r="G238" t="s">
        <v>4660</v>
      </c>
      <c r="H238" t="s">
        <v>4424</v>
      </c>
      <c r="I238" t="s">
        <v>4796</v>
      </c>
      <c r="J238" t="s">
        <v>4417</v>
      </c>
    </row>
    <row r="239" spans="1:10" x14ac:dyDescent="0.25">
      <c r="A239" t="s">
        <v>192</v>
      </c>
      <c r="B239">
        <v>13</v>
      </c>
      <c r="C239" t="s">
        <v>4406</v>
      </c>
      <c r="D239" t="s">
        <v>4406</v>
      </c>
      <c r="E239" t="s">
        <v>4474</v>
      </c>
      <c r="F239" t="s">
        <v>4705</v>
      </c>
      <c r="G239" t="s">
        <v>4406</v>
      </c>
      <c r="H239" t="s">
        <v>4406</v>
      </c>
      <c r="I239" t="s">
        <v>5419</v>
      </c>
      <c r="J239" t="s">
        <v>4705</v>
      </c>
    </row>
    <row r="240" spans="1:10" x14ac:dyDescent="0.25">
      <c r="A240" t="s">
        <v>1296</v>
      </c>
      <c r="B240">
        <v>138</v>
      </c>
      <c r="C240" t="s">
        <v>4750</v>
      </c>
      <c r="D240" t="s">
        <v>4697</v>
      </c>
      <c r="E240" t="s">
        <v>4443</v>
      </c>
      <c r="F240" t="s">
        <v>4750</v>
      </c>
      <c r="G240" t="s">
        <v>5076</v>
      </c>
      <c r="H240" t="s">
        <v>4581</v>
      </c>
      <c r="I240" t="s">
        <v>5378</v>
      </c>
      <c r="J240" t="s">
        <v>4750</v>
      </c>
    </row>
    <row r="242" spans="1:13" x14ac:dyDescent="0.25">
      <c r="A242" t="s">
        <v>6178</v>
      </c>
    </row>
    <row r="243" spans="1:13" x14ac:dyDescent="0.25">
      <c r="A243" t="s">
        <v>903</v>
      </c>
      <c r="B243" t="s">
        <v>4394</v>
      </c>
      <c r="C243" t="s">
        <v>4875</v>
      </c>
      <c r="D243" t="s">
        <v>4732</v>
      </c>
      <c r="E243" t="s">
        <v>4876</v>
      </c>
      <c r="F243" t="s">
        <v>4877</v>
      </c>
      <c r="G243" t="s">
        <v>4878</v>
      </c>
      <c r="H243" t="s">
        <v>30</v>
      </c>
      <c r="I243" t="s">
        <v>4879</v>
      </c>
      <c r="J243" t="s">
        <v>4880</v>
      </c>
    </row>
    <row r="244" spans="1:13" x14ac:dyDescent="0.25">
      <c r="A244" t="s">
        <v>70</v>
      </c>
      <c r="B244">
        <v>37</v>
      </c>
      <c r="C244" t="s">
        <v>4931</v>
      </c>
      <c r="D244" t="s">
        <v>4931</v>
      </c>
      <c r="E244" t="s">
        <v>5182</v>
      </c>
      <c r="F244" t="s">
        <v>4406</v>
      </c>
      <c r="G244" t="s">
        <v>4931</v>
      </c>
      <c r="H244" t="s">
        <v>4883</v>
      </c>
      <c r="I244" t="s">
        <v>5229</v>
      </c>
      <c r="J244" t="s">
        <v>4931</v>
      </c>
    </row>
    <row r="245" spans="1:13" x14ac:dyDescent="0.25">
      <c r="A245" t="s">
        <v>71</v>
      </c>
      <c r="B245">
        <v>101</v>
      </c>
      <c r="C245" t="s">
        <v>4402</v>
      </c>
      <c r="D245" t="s">
        <v>4626</v>
      </c>
      <c r="E245" t="s">
        <v>4486</v>
      </c>
      <c r="F245" t="s">
        <v>4744</v>
      </c>
      <c r="G245" t="s">
        <v>4660</v>
      </c>
      <c r="H245" t="s">
        <v>4406</v>
      </c>
      <c r="I245" t="s">
        <v>5515</v>
      </c>
      <c r="J245" t="s">
        <v>4402</v>
      </c>
    </row>
    <row r="246" spans="1:13" x14ac:dyDescent="0.25">
      <c r="A246" t="s">
        <v>1296</v>
      </c>
      <c r="B246">
        <v>138</v>
      </c>
      <c r="C246" t="s">
        <v>4750</v>
      </c>
      <c r="D246" t="s">
        <v>4697</v>
      </c>
      <c r="E246" t="s">
        <v>4443</v>
      </c>
      <c r="F246" t="s">
        <v>4750</v>
      </c>
      <c r="G246" t="s">
        <v>5076</v>
      </c>
      <c r="H246" t="s">
        <v>4581</v>
      </c>
      <c r="I246" t="s">
        <v>5378</v>
      </c>
      <c r="J246" t="s">
        <v>4750</v>
      </c>
    </row>
    <row r="248" spans="1:13" x14ac:dyDescent="0.25">
      <c r="A248" t="s">
        <v>6179</v>
      </c>
    </row>
    <row r="249" spans="1:13" x14ac:dyDescent="0.25">
      <c r="A249" t="s">
        <v>4394</v>
      </c>
      <c r="B249" t="s">
        <v>4892</v>
      </c>
      <c r="C249" t="s">
        <v>4893</v>
      </c>
      <c r="D249" t="s">
        <v>4894</v>
      </c>
      <c r="E249" t="s">
        <v>4895</v>
      </c>
      <c r="F249" t="s">
        <v>4896</v>
      </c>
      <c r="G249" t="s">
        <v>4897</v>
      </c>
      <c r="H249" t="s">
        <v>4898</v>
      </c>
      <c r="I249" t="s">
        <v>4899</v>
      </c>
      <c r="J249" t="s">
        <v>4732</v>
      </c>
      <c r="K249" t="s">
        <v>4736</v>
      </c>
      <c r="L249" t="s">
        <v>4737</v>
      </c>
    </row>
    <row r="250" spans="1:13" x14ac:dyDescent="0.25">
      <c r="A250">
        <v>38</v>
      </c>
      <c r="B250" t="s">
        <v>4600</v>
      </c>
      <c r="C250" t="s">
        <v>4601</v>
      </c>
      <c r="D250" t="s">
        <v>4600</v>
      </c>
      <c r="E250" t="s">
        <v>4864</v>
      </c>
      <c r="F250" t="s">
        <v>4406</v>
      </c>
      <c r="G250" t="s">
        <v>4523</v>
      </c>
      <c r="H250" t="s">
        <v>4523</v>
      </c>
      <c r="I250" t="s">
        <v>4529</v>
      </c>
      <c r="J250" t="s">
        <v>4406</v>
      </c>
      <c r="K250" t="s">
        <v>4714</v>
      </c>
      <c r="L250" t="s">
        <v>4406</v>
      </c>
    </row>
    <row r="252" spans="1:13" x14ac:dyDescent="0.25">
      <c r="A252" t="s">
        <v>6180</v>
      </c>
    </row>
    <row r="253" spans="1:13" x14ac:dyDescent="0.25">
      <c r="A253" t="s">
        <v>2842</v>
      </c>
      <c r="B253" t="s">
        <v>4394</v>
      </c>
      <c r="C253" t="s">
        <v>4892</v>
      </c>
      <c r="D253" t="s">
        <v>4893</v>
      </c>
      <c r="E253" t="s">
        <v>4894</v>
      </c>
      <c r="F253" t="s">
        <v>4895</v>
      </c>
      <c r="G253" t="s">
        <v>4896</v>
      </c>
      <c r="H253" t="s">
        <v>4897</v>
      </c>
      <c r="I253" t="s">
        <v>4898</v>
      </c>
      <c r="J253" t="s">
        <v>4899</v>
      </c>
      <c r="K253" t="s">
        <v>4732</v>
      </c>
      <c r="L253" t="s">
        <v>4736</v>
      </c>
      <c r="M253" t="s">
        <v>4737</v>
      </c>
    </row>
    <row r="254" spans="1:13" x14ac:dyDescent="0.25">
      <c r="A254" t="s">
        <v>5549</v>
      </c>
      <c r="B254">
        <v>22</v>
      </c>
      <c r="C254">
        <v>2</v>
      </c>
      <c r="D254">
        <v>7</v>
      </c>
      <c r="E254">
        <v>2</v>
      </c>
      <c r="F254">
        <v>0</v>
      </c>
      <c r="G254">
        <v>0</v>
      </c>
      <c r="H254">
        <v>8</v>
      </c>
      <c r="I254">
        <v>12</v>
      </c>
      <c r="J254">
        <v>7</v>
      </c>
      <c r="K254">
        <v>0</v>
      </c>
      <c r="L254">
        <v>2</v>
      </c>
      <c r="M254">
        <v>0</v>
      </c>
    </row>
    <row r="255" spans="1:13" x14ac:dyDescent="0.25">
      <c r="A255" t="s">
        <v>1397</v>
      </c>
      <c r="B255">
        <v>16</v>
      </c>
      <c r="C255">
        <v>2</v>
      </c>
      <c r="D255">
        <v>9</v>
      </c>
      <c r="E255">
        <v>2</v>
      </c>
      <c r="F255">
        <v>1</v>
      </c>
      <c r="G255">
        <v>0</v>
      </c>
      <c r="H255">
        <v>7</v>
      </c>
      <c r="I255">
        <v>3</v>
      </c>
      <c r="J255">
        <v>4</v>
      </c>
      <c r="K255">
        <v>0</v>
      </c>
      <c r="L255">
        <v>1</v>
      </c>
      <c r="M255">
        <v>0</v>
      </c>
    </row>
    <row r="256" spans="1:13" x14ac:dyDescent="0.25">
      <c r="A256" t="s">
        <v>1296</v>
      </c>
      <c r="B256">
        <v>38</v>
      </c>
      <c r="C256">
        <v>4</v>
      </c>
      <c r="D256">
        <v>16</v>
      </c>
      <c r="E256">
        <v>4</v>
      </c>
      <c r="F256">
        <v>1</v>
      </c>
      <c r="G256">
        <v>0</v>
      </c>
      <c r="H256">
        <v>15</v>
      </c>
      <c r="I256">
        <v>15</v>
      </c>
      <c r="J256">
        <v>11</v>
      </c>
      <c r="K256">
        <v>0</v>
      </c>
      <c r="L256">
        <v>3</v>
      </c>
      <c r="M256">
        <v>0</v>
      </c>
    </row>
    <row r="258" spans="1:13" x14ac:dyDescent="0.25">
      <c r="A258" t="s">
        <v>6181</v>
      </c>
    </row>
    <row r="259" spans="1:13" x14ac:dyDescent="0.25">
      <c r="A259" t="s">
        <v>995</v>
      </c>
      <c r="B259" t="s">
        <v>4394</v>
      </c>
      <c r="C259" t="s">
        <v>4892</v>
      </c>
      <c r="D259" t="s">
        <v>4893</v>
      </c>
      <c r="E259" t="s">
        <v>4894</v>
      </c>
      <c r="F259" t="s">
        <v>4895</v>
      </c>
      <c r="G259" t="s">
        <v>4896</v>
      </c>
      <c r="H259" t="s">
        <v>4897</v>
      </c>
      <c r="I259" t="s">
        <v>4898</v>
      </c>
      <c r="J259" t="s">
        <v>4899</v>
      </c>
      <c r="K259" t="s">
        <v>4732</v>
      </c>
      <c r="L259" t="s">
        <v>4736</v>
      </c>
      <c r="M259" t="s">
        <v>4737</v>
      </c>
    </row>
    <row r="260" spans="1:13" x14ac:dyDescent="0.25">
      <c r="A260" t="s">
        <v>1338</v>
      </c>
      <c r="B260">
        <v>7</v>
      </c>
      <c r="C260">
        <v>1</v>
      </c>
      <c r="D260">
        <v>3</v>
      </c>
      <c r="E260">
        <v>0</v>
      </c>
      <c r="F260">
        <v>0</v>
      </c>
      <c r="G260">
        <v>0</v>
      </c>
      <c r="H260">
        <v>3</v>
      </c>
      <c r="I260">
        <v>2</v>
      </c>
      <c r="J260">
        <v>4</v>
      </c>
      <c r="K260">
        <v>0</v>
      </c>
      <c r="L260">
        <v>0</v>
      </c>
      <c r="M260">
        <v>0</v>
      </c>
    </row>
    <row r="261" spans="1:13" x14ac:dyDescent="0.25">
      <c r="A261" t="s">
        <v>1370</v>
      </c>
      <c r="B261">
        <v>6</v>
      </c>
      <c r="C261">
        <v>0</v>
      </c>
      <c r="D261">
        <v>4</v>
      </c>
      <c r="E261">
        <v>1</v>
      </c>
      <c r="F261">
        <v>0</v>
      </c>
      <c r="G261">
        <v>0</v>
      </c>
      <c r="H261">
        <v>2</v>
      </c>
      <c r="I261">
        <v>3</v>
      </c>
      <c r="J261">
        <v>0</v>
      </c>
      <c r="K261">
        <v>0</v>
      </c>
      <c r="L261">
        <v>0</v>
      </c>
      <c r="M261">
        <v>0</v>
      </c>
    </row>
    <row r="262" spans="1:13" x14ac:dyDescent="0.25">
      <c r="A262" t="s">
        <v>1439</v>
      </c>
      <c r="B262">
        <v>4</v>
      </c>
      <c r="C262">
        <v>0</v>
      </c>
      <c r="D262">
        <v>3</v>
      </c>
      <c r="E262">
        <v>1</v>
      </c>
      <c r="F262">
        <v>0</v>
      </c>
      <c r="G262">
        <v>0</v>
      </c>
      <c r="H262">
        <v>4</v>
      </c>
      <c r="I262">
        <v>0</v>
      </c>
      <c r="J262">
        <v>2</v>
      </c>
      <c r="K262">
        <v>0</v>
      </c>
      <c r="L262">
        <v>0</v>
      </c>
      <c r="M262">
        <v>0</v>
      </c>
    </row>
    <row r="263" spans="1:13" x14ac:dyDescent="0.25">
      <c r="A263" t="s">
        <v>1476</v>
      </c>
      <c r="B263">
        <v>1</v>
      </c>
      <c r="C263">
        <v>0</v>
      </c>
      <c r="D263">
        <v>0</v>
      </c>
      <c r="E263">
        <v>1</v>
      </c>
      <c r="F263">
        <v>0</v>
      </c>
      <c r="G263">
        <v>0</v>
      </c>
      <c r="H263">
        <v>1</v>
      </c>
      <c r="I263">
        <v>0</v>
      </c>
      <c r="J263">
        <v>0</v>
      </c>
      <c r="K263">
        <v>0</v>
      </c>
      <c r="L263">
        <v>0</v>
      </c>
      <c r="M263">
        <v>0</v>
      </c>
    </row>
    <row r="264" spans="1:13" x14ac:dyDescent="0.25">
      <c r="A264" t="s">
        <v>1399</v>
      </c>
      <c r="B264">
        <v>5</v>
      </c>
      <c r="C264">
        <v>2</v>
      </c>
      <c r="D264">
        <v>2</v>
      </c>
      <c r="E264">
        <v>1</v>
      </c>
      <c r="F264">
        <v>0</v>
      </c>
      <c r="G264">
        <v>0</v>
      </c>
      <c r="H264">
        <v>1</v>
      </c>
      <c r="I264">
        <v>1</v>
      </c>
      <c r="J264">
        <v>1</v>
      </c>
      <c r="K264">
        <v>0</v>
      </c>
      <c r="L264">
        <v>1</v>
      </c>
      <c r="M264">
        <v>0</v>
      </c>
    </row>
    <row r="265" spans="1:13" x14ac:dyDescent="0.25">
      <c r="A265" t="s">
        <v>1415</v>
      </c>
      <c r="B265">
        <v>15</v>
      </c>
      <c r="C265">
        <v>1</v>
      </c>
      <c r="D265">
        <v>4</v>
      </c>
      <c r="E265">
        <v>0</v>
      </c>
      <c r="F265">
        <v>1</v>
      </c>
      <c r="G265">
        <v>0</v>
      </c>
      <c r="H265">
        <v>4</v>
      </c>
      <c r="I265">
        <v>9</v>
      </c>
      <c r="J265">
        <v>4</v>
      </c>
      <c r="K265">
        <v>0</v>
      </c>
      <c r="L265">
        <v>2</v>
      </c>
      <c r="M265">
        <v>0</v>
      </c>
    </row>
    <row r="266" spans="1:13" x14ac:dyDescent="0.25">
      <c r="A266" t="s">
        <v>1296</v>
      </c>
      <c r="B266">
        <v>38</v>
      </c>
      <c r="C266">
        <v>4</v>
      </c>
      <c r="D266">
        <v>16</v>
      </c>
      <c r="E266">
        <v>4</v>
      </c>
      <c r="F266">
        <v>1</v>
      </c>
      <c r="G266">
        <v>0</v>
      </c>
      <c r="H266">
        <v>15</v>
      </c>
      <c r="I266">
        <v>15</v>
      </c>
      <c r="J266">
        <v>11</v>
      </c>
      <c r="K266">
        <v>0</v>
      </c>
      <c r="L266">
        <v>3</v>
      </c>
      <c r="M266">
        <v>0</v>
      </c>
    </row>
    <row r="268" spans="1:13" x14ac:dyDescent="0.25">
      <c r="A268" t="s">
        <v>6182</v>
      </c>
    </row>
    <row r="269" spans="1:13" x14ac:dyDescent="0.25">
      <c r="A269" t="s">
        <v>998</v>
      </c>
      <c r="B269" t="s">
        <v>4394</v>
      </c>
      <c r="C269" t="s">
        <v>4892</v>
      </c>
      <c r="D269" t="s">
        <v>4893</v>
      </c>
      <c r="E269" t="s">
        <v>4894</v>
      </c>
      <c r="F269" t="s">
        <v>4895</v>
      </c>
      <c r="G269" t="s">
        <v>4896</v>
      </c>
      <c r="H269" t="s">
        <v>4897</v>
      </c>
      <c r="I269" t="s">
        <v>4898</v>
      </c>
      <c r="J269" t="s">
        <v>4899</v>
      </c>
      <c r="K269" t="s">
        <v>4732</v>
      </c>
      <c r="L269" t="s">
        <v>4736</v>
      </c>
      <c r="M269" t="s">
        <v>4737</v>
      </c>
    </row>
    <row r="270" spans="1:13" x14ac:dyDescent="0.25">
      <c r="A270" t="s">
        <v>109</v>
      </c>
      <c r="B270">
        <v>30</v>
      </c>
      <c r="C270">
        <v>4</v>
      </c>
      <c r="D270">
        <v>10</v>
      </c>
      <c r="E270">
        <v>2</v>
      </c>
      <c r="F270">
        <v>1</v>
      </c>
      <c r="G270">
        <v>0</v>
      </c>
      <c r="H270">
        <v>9</v>
      </c>
      <c r="I270">
        <v>14</v>
      </c>
      <c r="J270">
        <v>8</v>
      </c>
      <c r="K270">
        <v>0</v>
      </c>
      <c r="L270">
        <v>3</v>
      </c>
      <c r="M270">
        <v>0</v>
      </c>
    </row>
    <row r="271" spans="1:13" x14ac:dyDescent="0.25">
      <c r="A271" t="s">
        <v>192</v>
      </c>
      <c r="B271">
        <v>8</v>
      </c>
      <c r="C271">
        <v>0</v>
      </c>
      <c r="D271">
        <v>6</v>
      </c>
      <c r="E271">
        <v>2</v>
      </c>
      <c r="F271">
        <v>0</v>
      </c>
      <c r="G271">
        <v>0</v>
      </c>
      <c r="H271">
        <v>6</v>
      </c>
      <c r="I271">
        <v>1</v>
      </c>
      <c r="J271">
        <v>3</v>
      </c>
      <c r="K271">
        <v>0</v>
      </c>
      <c r="L271">
        <v>0</v>
      </c>
      <c r="M271">
        <v>0</v>
      </c>
    </row>
    <row r="272" spans="1:13" x14ac:dyDescent="0.25">
      <c r="A272" t="s">
        <v>1296</v>
      </c>
      <c r="B272">
        <v>38</v>
      </c>
      <c r="C272">
        <v>4</v>
      </c>
      <c r="D272">
        <v>16</v>
      </c>
      <c r="E272">
        <v>4</v>
      </c>
      <c r="F272">
        <v>1</v>
      </c>
      <c r="G272">
        <v>0</v>
      </c>
      <c r="H272">
        <v>15</v>
      </c>
      <c r="I272">
        <v>15</v>
      </c>
      <c r="J272">
        <v>11</v>
      </c>
      <c r="K272">
        <v>0</v>
      </c>
      <c r="L272">
        <v>3</v>
      </c>
      <c r="M272">
        <v>0</v>
      </c>
    </row>
    <row r="274" spans="1:13" x14ac:dyDescent="0.25">
      <c r="A274" t="s">
        <v>6183</v>
      </c>
    </row>
    <row r="275" spans="1:13" x14ac:dyDescent="0.25">
      <c r="A275" t="s">
        <v>1006</v>
      </c>
      <c r="B275" t="s">
        <v>4394</v>
      </c>
      <c r="C275" t="s">
        <v>4892</v>
      </c>
      <c r="D275" t="s">
        <v>4893</v>
      </c>
      <c r="E275" t="s">
        <v>4894</v>
      </c>
      <c r="F275" t="s">
        <v>4895</v>
      </c>
      <c r="G275" t="s">
        <v>4896</v>
      </c>
      <c r="H275" t="s">
        <v>4897</v>
      </c>
      <c r="I275" t="s">
        <v>4898</v>
      </c>
      <c r="J275" t="s">
        <v>4899</v>
      </c>
      <c r="K275" t="s">
        <v>4732</v>
      </c>
      <c r="L275" t="s">
        <v>4736</v>
      </c>
      <c r="M275" t="s">
        <v>4737</v>
      </c>
    </row>
    <row r="276" spans="1:13" x14ac:dyDescent="0.25">
      <c r="A276" t="s">
        <v>1371</v>
      </c>
      <c r="B276">
        <v>10</v>
      </c>
      <c r="C276">
        <v>0</v>
      </c>
      <c r="D276">
        <v>4</v>
      </c>
      <c r="E276">
        <v>0</v>
      </c>
      <c r="F276">
        <v>0</v>
      </c>
      <c r="G276">
        <v>0</v>
      </c>
      <c r="H276">
        <v>2</v>
      </c>
      <c r="I276">
        <v>6</v>
      </c>
      <c r="J276">
        <v>3</v>
      </c>
      <c r="K276">
        <v>0</v>
      </c>
      <c r="L276">
        <v>0</v>
      </c>
      <c r="M276">
        <v>0</v>
      </c>
    </row>
    <row r="277" spans="1:13" x14ac:dyDescent="0.25">
      <c r="A277" t="s">
        <v>1452</v>
      </c>
      <c r="B277">
        <v>1</v>
      </c>
      <c r="C277">
        <v>0</v>
      </c>
      <c r="D277">
        <v>0</v>
      </c>
      <c r="E277">
        <v>0</v>
      </c>
      <c r="F277">
        <v>0</v>
      </c>
      <c r="G277">
        <v>0</v>
      </c>
      <c r="H277">
        <v>0</v>
      </c>
      <c r="I277">
        <v>1</v>
      </c>
      <c r="J277">
        <v>0</v>
      </c>
      <c r="K277">
        <v>0</v>
      </c>
      <c r="L277">
        <v>1</v>
      </c>
      <c r="M277">
        <v>0</v>
      </c>
    </row>
    <row r="278" spans="1:13" x14ac:dyDescent="0.25">
      <c r="A278" t="s">
        <v>5560</v>
      </c>
      <c r="B278">
        <v>3</v>
      </c>
      <c r="C278">
        <v>0</v>
      </c>
      <c r="D278">
        <v>3</v>
      </c>
      <c r="E278">
        <v>1</v>
      </c>
      <c r="F278">
        <v>0</v>
      </c>
      <c r="G278">
        <v>0</v>
      </c>
      <c r="H278">
        <v>3</v>
      </c>
      <c r="I278">
        <v>0</v>
      </c>
      <c r="J278">
        <v>1</v>
      </c>
      <c r="K278">
        <v>0</v>
      </c>
      <c r="L278">
        <v>0</v>
      </c>
      <c r="M278">
        <v>0</v>
      </c>
    </row>
    <row r="279" spans="1:13" x14ac:dyDescent="0.25">
      <c r="A279" t="s">
        <v>1424</v>
      </c>
      <c r="B279">
        <v>11</v>
      </c>
      <c r="C279">
        <v>3</v>
      </c>
      <c r="D279">
        <v>5</v>
      </c>
      <c r="E279">
        <v>3</v>
      </c>
      <c r="F279">
        <v>0</v>
      </c>
      <c r="G279">
        <v>0</v>
      </c>
      <c r="H279">
        <v>4</v>
      </c>
      <c r="I279">
        <v>3</v>
      </c>
      <c r="J279">
        <v>2</v>
      </c>
      <c r="K279">
        <v>0</v>
      </c>
      <c r="L279">
        <v>0</v>
      </c>
      <c r="M279">
        <v>0</v>
      </c>
    </row>
    <row r="280" spans="1:13" x14ac:dyDescent="0.25">
      <c r="A280" t="s">
        <v>1340</v>
      </c>
      <c r="B280">
        <v>8</v>
      </c>
      <c r="C280">
        <v>0</v>
      </c>
      <c r="D280">
        <v>3</v>
      </c>
      <c r="E280">
        <v>0</v>
      </c>
      <c r="F280">
        <v>0</v>
      </c>
      <c r="G280">
        <v>0</v>
      </c>
      <c r="H280">
        <v>4</v>
      </c>
      <c r="I280">
        <v>4</v>
      </c>
      <c r="J280">
        <v>3</v>
      </c>
      <c r="K280">
        <v>0</v>
      </c>
      <c r="L280">
        <v>1</v>
      </c>
      <c r="M280">
        <v>0</v>
      </c>
    </row>
    <row r="281" spans="1:13" x14ac:dyDescent="0.25">
      <c r="A281" t="s">
        <v>5561</v>
      </c>
      <c r="B281">
        <v>3</v>
      </c>
      <c r="C281">
        <v>1</v>
      </c>
      <c r="D281">
        <v>0</v>
      </c>
      <c r="E281">
        <v>0</v>
      </c>
      <c r="F281">
        <v>1</v>
      </c>
      <c r="G281">
        <v>0</v>
      </c>
      <c r="H281">
        <v>2</v>
      </c>
      <c r="I281">
        <v>0</v>
      </c>
      <c r="J281">
        <v>1</v>
      </c>
      <c r="K281">
        <v>0</v>
      </c>
      <c r="L281">
        <v>0</v>
      </c>
      <c r="M281">
        <v>0</v>
      </c>
    </row>
    <row r="282" spans="1:13" x14ac:dyDescent="0.25">
      <c r="A282" t="s">
        <v>1416</v>
      </c>
      <c r="B282">
        <v>2</v>
      </c>
      <c r="C282">
        <v>0</v>
      </c>
      <c r="D282">
        <v>1</v>
      </c>
      <c r="E282">
        <v>0</v>
      </c>
      <c r="F282">
        <v>0</v>
      </c>
      <c r="G282">
        <v>0</v>
      </c>
      <c r="H282">
        <v>0</v>
      </c>
      <c r="I282">
        <v>1</v>
      </c>
      <c r="J282">
        <v>1</v>
      </c>
      <c r="K282">
        <v>0</v>
      </c>
      <c r="L282">
        <v>1</v>
      </c>
      <c r="M282">
        <v>0</v>
      </c>
    </row>
    <row r="283" spans="1:13" x14ac:dyDescent="0.25">
      <c r="A283" t="s">
        <v>1296</v>
      </c>
      <c r="B283">
        <v>38</v>
      </c>
      <c r="C283">
        <v>4</v>
      </c>
      <c r="D283">
        <v>16</v>
      </c>
      <c r="E283">
        <v>4</v>
      </c>
      <c r="F283">
        <v>1</v>
      </c>
      <c r="G283">
        <v>0</v>
      </c>
      <c r="H283">
        <v>15</v>
      </c>
      <c r="I283">
        <v>15</v>
      </c>
      <c r="J283">
        <v>11</v>
      </c>
      <c r="K283">
        <v>0</v>
      </c>
      <c r="L283">
        <v>3</v>
      </c>
      <c r="M283">
        <v>0</v>
      </c>
    </row>
    <row r="285" spans="1:13" x14ac:dyDescent="0.25">
      <c r="A285" t="s">
        <v>6184</v>
      </c>
    </row>
    <row r="286" spans="1:13" x14ac:dyDescent="0.25">
      <c r="A286" t="s">
        <v>903</v>
      </c>
      <c r="B286" t="s">
        <v>4394</v>
      </c>
      <c r="C286" t="s">
        <v>4892</v>
      </c>
      <c r="D286" t="s">
        <v>4893</v>
      </c>
      <c r="E286" t="s">
        <v>4894</v>
      </c>
      <c r="F286" t="s">
        <v>4895</v>
      </c>
      <c r="G286" t="s">
        <v>4896</v>
      </c>
      <c r="H286" t="s">
        <v>4897</v>
      </c>
      <c r="I286" t="s">
        <v>4898</v>
      </c>
      <c r="J286" t="s">
        <v>4899</v>
      </c>
      <c r="K286" t="s">
        <v>4732</v>
      </c>
      <c r="L286" t="s">
        <v>4736</v>
      </c>
      <c r="M286" t="s">
        <v>4737</v>
      </c>
    </row>
    <row r="287" spans="1:13" x14ac:dyDescent="0.25">
      <c r="A287" t="s">
        <v>70</v>
      </c>
      <c r="B287">
        <v>12</v>
      </c>
      <c r="C287">
        <v>1</v>
      </c>
      <c r="D287">
        <v>4</v>
      </c>
      <c r="E287">
        <v>1</v>
      </c>
      <c r="F287">
        <v>0</v>
      </c>
      <c r="G287">
        <v>0</v>
      </c>
      <c r="H287">
        <v>4</v>
      </c>
      <c r="I287">
        <v>6</v>
      </c>
      <c r="J287">
        <v>4</v>
      </c>
      <c r="K287">
        <v>0</v>
      </c>
      <c r="L287">
        <v>0</v>
      </c>
      <c r="M287">
        <v>0</v>
      </c>
    </row>
    <row r="288" spans="1:13" x14ac:dyDescent="0.25">
      <c r="A288" t="s">
        <v>71</v>
      </c>
      <c r="B288">
        <v>26</v>
      </c>
      <c r="C288">
        <v>3</v>
      </c>
      <c r="D288">
        <v>12</v>
      </c>
      <c r="E288">
        <v>3</v>
      </c>
      <c r="F288">
        <v>1</v>
      </c>
      <c r="G288">
        <v>0</v>
      </c>
      <c r="H288">
        <v>11</v>
      </c>
      <c r="I288">
        <v>9</v>
      </c>
      <c r="J288">
        <v>7</v>
      </c>
      <c r="K288">
        <v>0</v>
      </c>
      <c r="L288">
        <v>3</v>
      </c>
      <c r="M288">
        <v>0</v>
      </c>
    </row>
    <row r="289" spans="1:13" x14ac:dyDescent="0.25">
      <c r="A289" t="s">
        <v>1296</v>
      </c>
      <c r="B289">
        <v>38</v>
      </c>
      <c r="C289">
        <v>4</v>
      </c>
      <c r="D289">
        <v>16</v>
      </c>
      <c r="E289">
        <v>4</v>
      </c>
      <c r="F289">
        <v>1</v>
      </c>
      <c r="G289">
        <v>0</v>
      </c>
      <c r="H289">
        <v>15</v>
      </c>
      <c r="I289">
        <v>15</v>
      </c>
      <c r="J289">
        <v>11</v>
      </c>
      <c r="K289">
        <v>0</v>
      </c>
      <c r="L289">
        <v>3</v>
      </c>
      <c r="M289">
        <v>0</v>
      </c>
    </row>
    <row r="291" spans="1:13" x14ac:dyDescent="0.25">
      <c r="A291" t="s">
        <v>6185</v>
      </c>
    </row>
    <row r="292" spans="1:13" x14ac:dyDescent="0.25">
      <c r="A292" t="s">
        <v>2842</v>
      </c>
      <c r="B292" t="s">
        <v>4394</v>
      </c>
      <c r="C292" t="s">
        <v>4428</v>
      </c>
      <c r="D292" t="s">
        <v>4429</v>
      </c>
      <c r="E292" t="s">
        <v>4430</v>
      </c>
      <c r="F292" t="s">
        <v>4431</v>
      </c>
      <c r="G292" t="s">
        <v>4432</v>
      </c>
    </row>
    <row r="293" spans="1:13" x14ac:dyDescent="0.25">
      <c r="A293" t="s">
        <v>5549</v>
      </c>
      <c r="B293">
        <v>80</v>
      </c>
      <c r="C293">
        <v>836.88</v>
      </c>
      <c r="D293">
        <v>750</v>
      </c>
      <c r="E293">
        <v>150</v>
      </c>
      <c r="F293">
        <v>3000</v>
      </c>
      <c r="G293">
        <v>66950</v>
      </c>
    </row>
    <row r="294" spans="1:13" x14ac:dyDescent="0.25">
      <c r="A294" t="s">
        <v>1397</v>
      </c>
      <c r="B294">
        <v>44</v>
      </c>
      <c r="C294">
        <v>595.45000000000005</v>
      </c>
      <c r="D294">
        <v>500</v>
      </c>
      <c r="E294">
        <v>200</v>
      </c>
      <c r="F294">
        <v>2100</v>
      </c>
      <c r="G294">
        <v>26200</v>
      </c>
    </row>
    <row r="296" spans="1:13" x14ac:dyDescent="0.25">
      <c r="A296" t="s">
        <v>6186</v>
      </c>
    </row>
    <row r="297" spans="1:13" x14ac:dyDescent="0.25">
      <c r="A297" t="s">
        <v>995</v>
      </c>
      <c r="B297" t="s">
        <v>4394</v>
      </c>
      <c r="C297" t="s">
        <v>4428</v>
      </c>
      <c r="D297" t="s">
        <v>4429</v>
      </c>
      <c r="E297" t="s">
        <v>4430</v>
      </c>
      <c r="F297" t="s">
        <v>4431</v>
      </c>
      <c r="G297" t="s">
        <v>4432</v>
      </c>
    </row>
    <row r="298" spans="1:13" x14ac:dyDescent="0.25">
      <c r="A298" t="s">
        <v>1338</v>
      </c>
      <c r="B298">
        <v>39</v>
      </c>
      <c r="C298">
        <v>639.74</v>
      </c>
      <c r="D298">
        <v>600</v>
      </c>
      <c r="E298">
        <v>150</v>
      </c>
      <c r="F298">
        <v>3000</v>
      </c>
      <c r="G298">
        <v>24950</v>
      </c>
    </row>
    <row r="299" spans="1:13" x14ac:dyDescent="0.25">
      <c r="A299" t="s">
        <v>1370</v>
      </c>
      <c r="B299">
        <v>7</v>
      </c>
      <c r="C299">
        <v>928.57</v>
      </c>
      <c r="D299">
        <v>800</v>
      </c>
      <c r="E299">
        <v>400</v>
      </c>
      <c r="F299">
        <v>2100</v>
      </c>
      <c r="G299">
        <v>6500</v>
      </c>
    </row>
    <row r="300" spans="1:13" x14ac:dyDescent="0.25">
      <c r="A300" t="s">
        <v>1439</v>
      </c>
      <c r="B300">
        <v>6</v>
      </c>
      <c r="C300">
        <v>850</v>
      </c>
      <c r="D300">
        <v>550</v>
      </c>
      <c r="E300">
        <v>500</v>
      </c>
      <c r="F300">
        <v>1800</v>
      </c>
      <c r="G300">
        <v>5100</v>
      </c>
    </row>
    <row r="301" spans="1:13" x14ac:dyDescent="0.25">
      <c r="A301" t="s">
        <v>1476</v>
      </c>
      <c r="B301">
        <v>4</v>
      </c>
      <c r="C301">
        <v>587.5</v>
      </c>
      <c r="D301">
        <v>400</v>
      </c>
      <c r="E301">
        <v>250</v>
      </c>
      <c r="F301">
        <v>1200</v>
      </c>
      <c r="G301">
        <v>2350</v>
      </c>
    </row>
    <row r="302" spans="1:13" x14ac:dyDescent="0.25">
      <c r="A302" t="s">
        <v>1399</v>
      </c>
      <c r="B302">
        <v>23</v>
      </c>
      <c r="C302">
        <v>504.35</v>
      </c>
      <c r="D302">
        <v>500</v>
      </c>
      <c r="E302">
        <v>200</v>
      </c>
      <c r="F302">
        <v>1000</v>
      </c>
      <c r="G302">
        <v>11600</v>
      </c>
    </row>
    <row r="303" spans="1:13" x14ac:dyDescent="0.25">
      <c r="A303" t="s">
        <v>1415</v>
      </c>
      <c r="B303">
        <v>45</v>
      </c>
      <c r="C303">
        <v>947.78</v>
      </c>
      <c r="D303">
        <v>800</v>
      </c>
      <c r="E303">
        <v>200</v>
      </c>
      <c r="F303">
        <v>3000</v>
      </c>
      <c r="G303">
        <v>42650</v>
      </c>
    </row>
    <row r="305" spans="1:7" x14ac:dyDescent="0.25">
      <c r="A305" t="s">
        <v>6187</v>
      </c>
    </row>
    <row r="306" spans="1:7" x14ac:dyDescent="0.25">
      <c r="A306" t="s">
        <v>998</v>
      </c>
      <c r="B306" t="s">
        <v>4394</v>
      </c>
      <c r="C306" t="s">
        <v>4428</v>
      </c>
      <c r="D306" t="s">
        <v>4429</v>
      </c>
      <c r="E306" t="s">
        <v>4430</v>
      </c>
      <c r="F306" t="s">
        <v>4431</v>
      </c>
      <c r="G306" t="s">
        <v>4432</v>
      </c>
    </row>
    <row r="307" spans="1:7" x14ac:dyDescent="0.25">
      <c r="A307" t="s">
        <v>109</v>
      </c>
      <c r="B307">
        <v>113</v>
      </c>
      <c r="C307">
        <v>732.74</v>
      </c>
      <c r="D307">
        <v>650</v>
      </c>
      <c r="E307">
        <v>150</v>
      </c>
      <c r="F307">
        <v>3000</v>
      </c>
      <c r="G307">
        <v>82800</v>
      </c>
    </row>
    <row r="308" spans="1:7" x14ac:dyDescent="0.25">
      <c r="A308" t="s">
        <v>192</v>
      </c>
      <c r="B308">
        <v>11</v>
      </c>
      <c r="C308">
        <v>940.91</v>
      </c>
      <c r="D308">
        <v>800</v>
      </c>
      <c r="E308">
        <v>250</v>
      </c>
      <c r="F308">
        <v>2100</v>
      </c>
      <c r="G308">
        <v>10350</v>
      </c>
    </row>
    <row r="310" spans="1:7" x14ac:dyDescent="0.25">
      <c r="A310" t="s">
        <v>6188</v>
      </c>
    </row>
    <row r="311" spans="1:7" x14ac:dyDescent="0.25">
      <c r="A311" t="s">
        <v>1006</v>
      </c>
      <c r="B311" t="s">
        <v>4394</v>
      </c>
      <c r="C311" t="s">
        <v>4428</v>
      </c>
      <c r="D311" t="s">
        <v>4429</v>
      </c>
      <c r="E311" t="s">
        <v>4430</v>
      </c>
      <c r="F311" t="s">
        <v>4431</v>
      </c>
      <c r="G311" t="s">
        <v>4432</v>
      </c>
    </row>
    <row r="312" spans="1:7" x14ac:dyDescent="0.25">
      <c r="A312" t="s">
        <v>1371</v>
      </c>
      <c r="B312">
        <v>24</v>
      </c>
      <c r="C312">
        <v>850</v>
      </c>
      <c r="D312">
        <v>700</v>
      </c>
      <c r="E312">
        <v>250</v>
      </c>
      <c r="F312">
        <v>3000</v>
      </c>
      <c r="G312">
        <v>20400</v>
      </c>
    </row>
    <row r="313" spans="1:7" x14ac:dyDescent="0.25">
      <c r="A313" t="s">
        <v>1452</v>
      </c>
      <c r="B313">
        <v>17</v>
      </c>
      <c r="C313">
        <v>838.24</v>
      </c>
      <c r="D313">
        <v>700</v>
      </c>
      <c r="E313">
        <v>300</v>
      </c>
      <c r="F313">
        <v>3000</v>
      </c>
      <c r="G313">
        <v>14250</v>
      </c>
    </row>
    <row r="314" spans="1:7" x14ac:dyDescent="0.25">
      <c r="A314" t="s">
        <v>5560</v>
      </c>
      <c r="B314">
        <v>10</v>
      </c>
      <c r="C314">
        <v>485</v>
      </c>
      <c r="D314">
        <v>350</v>
      </c>
      <c r="E314">
        <v>200</v>
      </c>
      <c r="F314">
        <v>1500</v>
      </c>
      <c r="G314">
        <v>4850</v>
      </c>
    </row>
    <row r="315" spans="1:7" x14ac:dyDescent="0.25">
      <c r="A315" t="s">
        <v>1424</v>
      </c>
      <c r="B315">
        <v>29</v>
      </c>
      <c r="C315">
        <v>615.52</v>
      </c>
      <c r="D315">
        <v>500</v>
      </c>
      <c r="E315">
        <v>150</v>
      </c>
      <c r="F315">
        <v>2100</v>
      </c>
      <c r="G315">
        <v>17850</v>
      </c>
    </row>
    <row r="316" spans="1:7" x14ac:dyDescent="0.25">
      <c r="A316" t="s">
        <v>1340</v>
      </c>
      <c r="B316">
        <v>18</v>
      </c>
      <c r="C316">
        <v>783.33</v>
      </c>
      <c r="D316">
        <v>700</v>
      </c>
      <c r="E316">
        <v>200</v>
      </c>
      <c r="F316">
        <v>2500</v>
      </c>
      <c r="G316">
        <v>14100</v>
      </c>
    </row>
    <row r="317" spans="1:7" x14ac:dyDescent="0.25">
      <c r="A317" t="s">
        <v>5561</v>
      </c>
      <c r="B317">
        <v>2</v>
      </c>
      <c r="C317">
        <v>575</v>
      </c>
      <c r="D317">
        <v>250</v>
      </c>
      <c r="E317">
        <v>250</v>
      </c>
      <c r="F317">
        <v>900</v>
      </c>
      <c r="G317">
        <v>1150</v>
      </c>
    </row>
    <row r="318" spans="1:7" x14ac:dyDescent="0.25">
      <c r="A318" t="s">
        <v>1416</v>
      </c>
      <c r="B318">
        <v>24</v>
      </c>
      <c r="C318">
        <v>856.25</v>
      </c>
      <c r="D318">
        <v>900</v>
      </c>
      <c r="E318">
        <v>150</v>
      </c>
      <c r="F318">
        <v>1800</v>
      </c>
      <c r="G318">
        <v>20550</v>
      </c>
    </row>
    <row r="320" spans="1:7" x14ac:dyDescent="0.25">
      <c r="A320" t="s">
        <v>6189</v>
      </c>
    </row>
    <row r="321" spans="1:7" x14ac:dyDescent="0.25">
      <c r="A321" t="s">
        <v>2723</v>
      </c>
      <c r="B321" t="s">
        <v>4394</v>
      </c>
      <c r="C321" t="s">
        <v>4428</v>
      </c>
      <c r="D321" t="s">
        <v>4429</v>
      </c>
      <c r="E321" t="s">
        <v>4430</v>
      </c>
      <c r="F321" t="s">
        <v>4431</v>
      </c>
      <c r="G321" t="s">
        <v>4432</v>
      </c>
    </row>
    <row r="322" spans="1:7" x14ac:dyDescent="0.25">
      <c r="A322" t="s">
        <v>4433</v>
      </c>
      <c r="B322">
        <v>4</v>
      </c>
      <c r="C322">
        <v>2125</v>
      </c>
      <c r="D322">
        <v>2000</v>
      </c>
      <c r="E322">
        <v>500</v>
      </c>
      <c r="F322">
        <v>3000</v>
      </c>
      <c r="G322">
        <v>8500</v>
      </c>
    </row>
    <row r="323" spans="1:7" x14ac:dyDescent="0.25">
      <c r="A323" t="s">
        <v>4434</v>
      </c>
      <c r="B323">
        <v>48</v>
      </c>
      <c r="C323">
        <v>784.38</v>
      </c>
      <c r="D323">
        <v>800</v>
      </c>
      <c r="E323">
        <v>200</v>
      </c>
      <c r="F323">
        <v>2500</v>
      </c>
      <c r="G323">
        <v>37650</v>
      </c>
    </row>
    <row r="324" spans="1:7" x14ac:dyDescent="0.25">
      <c r="A324" t="s">
        <v>4435</v>
      </c>
      <c r="B324">
        <v>46</v>
      </c>
      <c r="C324">
        <v>626.09</v>
      </c>
      <c r="D324">
        <v>500</v>
      </c>
      <c r="E324">
        <v>150</v>
      </c>
      <c r="F324">
        <v>2100</v>
      </c>
      <c r="G324">
        <v>28800</v>
      </c>
    </row>
    <row r="325" spans="1:7" x14ac:dyDescent="0.25">
      <c r="A325" t="s">
        <v>4436</v>
      </c>
      <c r="B325">
        <v>26</v>
      </c>
      <c r="C325">
        <v>700</v>
      </c>
      <c r="D325">
        <v>700</v>
      </c>
      <c r="E325">
        <v>200</v>
      </c>
      <c r="F325">
        <v>1800</v>
      </c>
      <c r="G325">
        <v>18200</v>
      </c>
    </row>
    <row r="327" spans="1:7" x14ac:dyDescent="0.25">
      <c r="A327" t="s">
        <v>6190</v>
      </c>
    </row>
    <row r="328" spans="1:7" x14ac:dyDescent="0.25">
      <c r="A328" t="s">
        <v>1013</v>
      </c>
      <c r="B328" t="s">
        <v>4394</v>
      </c>
      <c r="C328" t="s">
        <v>4428</v>
      </c>
      <c r="D328" t="s">
        <v>4429</v>
      </c>
      <c r="E328" t="s">
        <v>4430</v>
      </c>
      <c r="F328" t="s">
        <v>4431</v>
      </c>
      <c r="G328" t="s">
        <v>4432</v>
      </c>
    </row>
    <row r="329" spans="1:7" x14ac:dyDescent="0.25">
      <c r="A329" t="s">
        <v>1561</v>
      </c>
      <c r="B329">
        <v>3</v>
      </c>
      <c r="C329">
        <v>2666.67</v>
      </c>
      <c r="D329">
        <v>3000</v>
      </c>
      <c r="E329">
        <v>2000</v>
      </c>
      <c r="F329">
        <v>3000</v>
      </c>
      <c r="G329">
        <v>8000</v>
      </c>
    </row>
    <row r="330" spans="1:7" x14ac:dyDescent="0.25">
      <c r="A330" t="s">
        <v>1460</v>
      </c>
      <c r="B330">
        <v>25</v>
      </c>
      <c r="C330">
        <v>668</v>
      </c>
      <c r="D330">
        <v>700</v>
      </c>
      <c r="E330">
        <v>200</v>
      </c>
      <c r="F330">
        <v>1200</v>
      </c>
      <c r="G330">
        <v>16700</v>
      </c>
    </row>
    <row r="331" spans="1:7" x14ac:dyDescent="0.25">
      <c r="A331" t="s">
        <v>1342</v>
      </c>
      <c r="B331">
        <v>44</v>
      </c>
      <c r="C331">
        <v>565.91</v>
      </c>
      <c r="D331">
        <v>500</v>
      </c>
      <c r="E331">
        <v>150</v>
      </c>
      <c r="F331">
        <v>1900</v>
      </c>
      <c r="G331">
        <v>24900</v>
      </c>
    </row>
    <row r="332" spans="1:7" x14ac:dyDescent="0.25">
      <c r="A332" t="s">
        <v>1375</v>
      </c>
      <c r="B332">
        <v>34</v>
      </c>
      <c r="C332">
        <v>910.29</v>
      </c>
      <c r="D332">
        <v>850</v>
      </c>
      <c r="E332">
        <v>200</v>
      </c>
      <c r="F332">
        <v>2500</v>
      </c>
      <c r="G332">
        <v>30950</v>
      </c>
    </row>
    <row r="333" spans="1:7" x14ac:dyDescent="0.25">
      <c r="A333" t="s">
        <v>1401</v>
      </c>
      <c r="B333">
        <v>18</v>
      </c>
      <c r="C333">
        <v>700</v>
      </c>
      <c r="D333">
        <v>700</v>
      </c>
      <c r="E333">
        <v>200</v>
      </c>
      <c r="F333">
        <v>1800</v>
      </c>
      <c r="G333">
        <v>12600</v>
      </c>
    </row>
    <row r="335" spans="1:7" x14ac:dyDescent="0.25">
      <c r="A335" t="s">
        <v>6191</v>
      </c>
    </row>
    <row r="336" spans="1:7" x14ac:dyDescent="0.25">
      <c r="A336" t="s">
        <v>903</v>
      </c>
      <c r="B336" t="s">
        <v>4394</v>
      </c>
      <c r="C336" t="s">
        <v>4428</v>
      </c>
      <c r="D336" t="s">
        <v>4429</v>
      </c>
      <c r="E336" t="s">
        <v>4430</v>
      </c>
      <c r="F336" t="s">
        <v>4431</v>
      </c>
      <c r="G336" t="s">
        <v>4432</v>
      </c>
    </row>
    <row r="337" spans="1:7" x14ac:dyDescent="0.25">
      <c r="A337" t="s">
        <v>70</v>
      </c>
      <c r="B337">
        <v>31</v>
      </c>
      <c r="C337">
        <v>695.16</v>
      </c>
      <c r="D337">
        <v>800</v>
      </c>
      <c r="E337">
        <v>200</v>
      </c>
      <c r="F337">
        <v>1800</v>
      </c>
      <c r="G337">
        <v>21550</v>
      </c>
    </row>
    <row r="338" spans="1:7" x14ac:dyDescent="0.25">
      <c r="A338" t="s">
        <v>71</v>
      </c>
      <c r="B338">
        <v>93</v>
      </c>
      <c r="C338">
        <v>769.89</v>
      </c>
      <c r="D338">
        <v>600</v>
      </c>
      <c r="E338">
        <v>150</v>
      </c>
      <c r="F338">
        <v>3000</v>
      </c>
      <c r="G338">
        <v>71600</v>
      </c>
    </row>
    <row r="339" spans="1:7" x14ac:dyDescent="0.25">
      <c r="A339" t="s">
        <v>1296</v>
      </c>
      <c r="B339">
        <v>124</v>
      </c>
      <c r="C339">
        <v>751.21</v>
      </c>
      <c r="D339">
        <v>650</v>
      </c>
      <c r="E339">
        <v>150</v>
      </c>
      <c r="F339">
        <v>3000</v>
      </c>
      <c r="G339">
        <v>93150</v>
      </c>
    </row>
    <row r="341" spans="1:7" x14ac:dyDescent="0.25">
      <c r="A341" t="s">
        <v>6192</v>
      </c>
    </row>
    <row r="342" spans="1:7" x14ac:dyDescent="0.25">
      <c r="A342" t="s">
        <v>2842</v>
      </c>
      <c r="B342" t="s">
        <v>4394</v>
      </c>
      <c r="C342" t="s">
        <v>4428</v>
      </c>
      <c r="D342" t="s">
        <v>4429</v>
      </c>
      <c r="E342" t="s">
        <v>4430</v>
      </c>
      <c r="F342" t="s">
        <v>4431</v>
      </c>
      <c r="G342" t="s">
        <v>4432</v>
      </c>
    </row>
    <row r="343" spans="1:7" x14ac:dyDescent="0.25">
      <c r="A343" t="s">
        <v>5549</v>
      </c>
      <c r="B343">
        <v>74</v>
      </c>
      <c r="C343">
        <v>700</v>
      </c>
      <c r="D343">
        <v>600</v>
      </c>
      <c r="E343">
        <v>150</v>
      </c>
      <c r="F343">
        <v>3000</v>
      </c>
      <c r="G343">
        <v>51800</v>
      </c>
    </row>
    <row r="344" spans="1:7" x14ac:dyDescent="0.25">
      <c r="A344" t="s">
        <v>1397</v>
      </c>
      <c r="B344">
        <v>51</v>
      </c>
      <c r="C344">
        <v>541.17999999999995</v>
      </c>
      <c r="D344">
        <v>500</v>
      </c>
      <c r="E344">
        <v>150</v>
      </c>
      <c r="F344">
        <v>2000</v>
      </c>
      <c r="G344">
        <v>27600</v>
      </c>
    </row>
    <row r="346" spans="1:7" x14ac:dyDescent="0.25">
      <c r="A346" t="s">
        <v>6193</v>
      </c>
    </row>
    <row r="347" spans="1:7" x14ac:dyDescent="0.25">
      <c r="A347" t="s">
        <v>992</v>
      </c>
      <c r="B347" t="s">
        <v>4394</v>
      </c>
      <c r="C347" t="s">
        <v>4428</v>
      </c>
      <c r="D347" t="s">
        <v>4429</v>
      </c>
      <c r="E347" t="s">
        <v>4430</v>
      </c>
      <c r="F347" t="s">
        <v>4431</v>
      </c>
      <c r="G347" t="s">
        <v>4432</v>
      </c>
    </row>
    <row r="348" spans="1:7" x14ac:dyDescent="0.25">
      <c r="A348" t="s">
        <v>4844</v>
      </c>
      <c r="B348">
        <v>20</v>
      </c>
      <c r="C348">
        <v>405</v>
      </c>
      <c r="D348">
        <v>250</v>
      </c>
      <c r="E348">
        <v>150</v>
      </c>
      <c r="F348">
        <v>1700</v>
      </c>
      <c r="G348">
        <v>8100</v>
      </c>
    </row>
    <row r="349" spans="1:7" x14ac:dyDescent="0.25">
      <c r="A349" t="s">
        <v>4845</v>
      </c>
      <c r="B349">
        <v>97</v>
      </c>
      <c r="C349">
        <v>685.05</v>
      </c>
      <c r="D349">
        <v>550</v>
      </c>
      <c r="E349">
        <v>200</v>
      </c>
      <c r="F349">
        <v>3000</v>
      </c>
      <c r="G349">
        <v>66450</v>
      </c>
    </row>
    <row r="350" spans="1:7" x14ac:dyDescent="0.25">
      <c r="A350" t="s">
        <v>4846</v>
      </c>
      <c r="B350">
        <v>8</v>
      </c>
      <c r="C350">
        <v>606.25</v>
      </c>
      <c r="D350">
        <v>500</v>
      </c>
      <c r="E350">
        <v>300</v>
      </c>
      <c r="F350">
        <v>1400</v>
      </c>
      <c r="G350">
        <v>4850</v>
      </c>
    </row>
    <row r="352" spans="1:7" x14ac:dyDescent="0.25">
      <c r="A352" t="s">
        <v>6194</v>
      </c>
    </row>
    <row r="353" spans="1:7" x14ac:dyDescent="0.25">
      <c r="A353" t="s">
        <v>995</v>
      </c>
      <c r="B353" t="s">
        <v>4394</v>
      </c>
      <c r="C353" t="s">
        <v>4428</v>
      </c>
      <c r="D353" t="s">
        <v>4429</v>
      </c>
      <c r="E353" t="s">
        <v>4430</v>
      </c>
      <c r="F353" t="s">
        <v>4431</v>
      </c>
      <c r="G353" t="s">
        <v>4432</v>
      </c>
    </row>
    <row r="354" spans="1:7" x14ac:dyDescent="0.25">
      <c r="A354" t="s">
        <v>1338</v>
      </c>
      <c r="B354">
        <v>38</v>
      </c>
      <c r="C354">
        <v>561.84</v>
      </c>
      <c r="D354">
        <v>500</v>
      </c>
      <c r="E354">
        <v>150</v>
      </c>
      <c r="F354">
        <v>3000</v>
      </c>
      <c r="G354">
        <v>21350</v>
      </c>
    </row>
    <row r="355" spans="1:7" x14ac:dyDescent="0.25">
      <c r="A355" t="s">
        <v>1370</v>
      </c>
      <c r="B355">
        <v>10</v>
      </c>
      <c r="C355">
        <v>720</v>
      </c>
      <c r="D355">
        <v>500</v>
      </c>
      <c r="E355">
        <v>300</v>
      </c>
      <c r="F355">
        <v>2000</v>
      </c>
      <c r="G355">
        <v>7200</v>
      </c>
    </row>
    <row r="356" spans="1:7" x14ac:dyDescent="0.25">
      <c r="A356" t="s">
        <v>1439</v>
      </c>
      <c r="B356">
        <v>6</v>
      </c>
      <c r="C356">
        <v>800</v>
      </c>
      <c r="D356">
        <v>500</v>
      </c>
      <c r="E356">
        <v>200</v>
      </c>
      <c r="F356">
        <v>2000</v>
      </c>
      <c r="G356">
        <v>4800</v>
      </c>
    </row>
    <row r="357" spans="1:7" x14ac:dyDescent="0.25">
      <c r="A357" t="s">
        <v>1476</v>
      </c>
      <c r="B357">
        <v>5</v>
      </c>
      <c r="C357">
        <v>710</v>
      </c>
      <c r="D357">
        <v>300</v>
      </c>
      <c r="E357">
        <v>250</v>
      </c>
      <c r="F357">
        <v>1500</v>
      </c>
      <c r="G357">
        <v>3550</v>
      </c>
    </row>
    <row r="358" spans="1:7" x14ac:dyDescent="0.25">
      <c r="A358" t="s">
        <v>5476</v>
      </c>
      <c r="B358">
        <v>1</v>
      </c>
      <c r="C358">
        <v>1000</v>
      </c>
      <c r="D358">
        <v>1000</v>
      </c>
      <c r="E358">
        <v>1000</v>
      </c>
      <c r="F358">
        <v>1000</v>
      </c>
      <c r="G358">
        <v>1000</v>
      </c>
    </row>
    <row r="359" spans="1:7" x14ac:dyDescent="0.25">
      <c r="A359" t="s">
        <v>1399</v>
      </c>
      <c r="B359">
        <v>23</v>
      </c>
      <c r="C359">
        <v>467.39</v>
      </c>
      <c r="D359">
        <v>450</v>
      </c>
      <c r="E359">
        <v>200</v>
      </c>
      <c r="F359">
        <v>1000</v>
      </c>
      <c r="G359">
        <v>10750</v>
      </c>
    </row>
    <row r="360" spans="1:7" x14ac:dyDescent="0.25">
      <c r="A360" t="s">
        <v>1415</v>
      </c>
      <c r="B360">
        <v>42</v>
      </c>
      <c r="C360">
        <v>732.14</v>
      </c>
      <c r="D360">
        <v>650</v>
      </c>
      <c r="E360">
        <v>200</v>
      </c>
      <c r="F360">
        <v>2000</v>
      </c>
      <c r="G360">
        <v>30750</v>
      </c>
    </row>
    <row r="362" spans="1:7" x14ac:dyDescent="0.25">
      <c r="A362" t="s">
        <v>6195</v>
      </c>
    </row>
    <row r="363" spans="1:7" x14ac:dyDescent="0.25">
      <c r="A363" t="s">
        <v>998</v>
      </c>
      <c r="B363" t="s">
        <v>4394</v>
      </c>
      <c r="C363" t="s">
        <v>4428</v>
      </c>
      <c r="D363" t="s">
        <v>4429</v>
      </c>
      <c r="E363" t="s">
        <v>4430</v>
      </c>
      <c r="F363" t="s">
        <v>4431</v>
      </c>
      <c r="G363" t="s">
        <v>4432</v>
      </c>
    </row>
    <row r="364" spans="1:7" x14ac:dyDescent="0.25">
      <c r="A364" t="s">
        <v>109</v>
      </c>
      <c r="B364">
        <v>113</v>
      </c>
      <c r="C364">
        <v>615.04</v>
      </c>
      <c r="D364">
        <v>500</v>
      </c>
      <c r="E364">
        <v>150</v>
      </c>
      <c r="F364">
        <v>3000</v>
      </c>
      <c r="G364">
        <v>69500</v>
      </c>
    </row>
    <row r="365" spans="1:7" x14ac:dyDescent="0.25">
      <c r="A365" t="s">
        <v>192</v>
      </c>
      <c r="B365">
        <v>12</v>
      </c>
      <c r="C365">
        <v>825</v>
      </c>
      <c r="D365">
        <v>500</v>
      </c>
      <c r="E365">
        <v>200</v>
      </c>
      <c r="F365">
        <v>2000</v>
      </c>
      <c r="G365">
        <v>9900</v>
      </c>
    </row>
    <row r="367" spans="1:7" x14ac:dyDescent="0.25">
      <c r="A367" t="s">
        <v>6196</v>
      </c>
    </row>
    <row r="368" spans="1:7" x14ac:dyDescent="0.25">
      <c r="A368" t="s">
        <v>1006</v>
      </c>
      <c r="B368" t="s">
        <v>4394</v>
      </c>
      <c r="C368" t="s">
        <v>4428</v>
      </c>
      <c r="D368" t="s">
        <v>4429</v>
      </c>
      <c r="E368" t="s">
        <v>4430</v>
      </c>
      <c r="F368" t="s">
        <v>4431</v>
      </c>
      <c r="G368" t="s">
        <v>4432</v>
      </c>
    </row>
    <row r="369" spans="1:7" x14ac:dyDescent="0.25">
      <c r="A369" t="s">
        <v>1371</v>
      </c>
      <c r="B369">
        <v>24</v>
      </c>
      <c r="C369">
        <v>631.25</v>
      </c>
      <c r="D369">
        <v>600</v>
      </c>
      <c r="E369">
        <v>200</v>
      </c>
      <c r="F369">
        <v>1700</v>
      </c>
      <c r="G369">
        <v>15150</v>
      </c>
    </row>
    <row r="370" spans="1:7" x14ac:dyDescent="0.25">
      <c r="A370" t="s">
        <v>1452</v>
      </c>
      <c r="B370">
        <v>16</v>
      </c>
      <c r="C370">
        <v>750</v>
      </c>
      <c r="D370">
        <v>500</v>
      </c>
      <c r="E370">
        <v>250</v>
      </c>
      <c r="F370">
        <v>3000</v>
      </c>
      <c r="G370">
        <v>12000</v>
      </c>
    </row>
    <row r="371" spans="1:7" x14ac:dyDescent="0.25">
      <c r="A371" t="s">
        <v>5560</v>
      </c>
      <c r="B371">
        <v>13</v>
      </c>
      <c r="C371">
        <v>534.62</v>
      </c>
      <c r="D371">
        <v>350</v>
      </c>
      <c r="E371">
        <v>150</v>
      </c>
      <c r="F371">
        <v>1500</v>
      </c>
      <c r="G371">
        <v>6950</v>
      </c>
    </row>
    <row r="372" spans="1:7" x14ac:dyDescent="0.25">
      <c r="A372" t="s">
        <v>1424</v>
      </c>
      <c r="B372">
        <v>30</v>
      </c>
      <c r="C372">
        <v>561.66999999999996</v>
      </c>
      <c r="D372">
        <v>450</v>
      </c>
      <c r="E372">
        <v>150</v>
      </c>
      <c r="F372">
        <v>2000</v>
      </c>
      <c r="G372">
        <v>16850</v>
      </c>
    </row>
    <row r="373" spans="1:7" x14ac:dyDescent="0.25">
      <c r="A373" t="s">
        <v>1340</v>
      </c>
      <c r="B373">
        <v>15</v>
      </c>
      <c r="C373">
        <v>693.33</v>
      </c>
      <c r="D373">
        <v>500</v>
      </c>
      <c r="E373">
        <v>200</v>
      </c>
      <c r="F373">
        <v>2000</v>
      </c>
      <c r="G373">
        <v>10400</v>
      </c>
    </row>
    <row r="374" spans="1:7" x14ac:dyDescent="0.25">
      <c r="A374" t="s">
        <v>5561</v>
      </c>
      <c r="B374">
        <v>4</v>
      </c>
      <c r="C374">
        <v>412.5</v>
      </c>
      <c r="D374">
        <v>250</v>
      </c>
      <c r="E374">
        <v>200</v>
      </c>
      <c r="F374">
        <v>800</v>
      </c>
      <c r="G374">
        <v>1650</v>
      </c>
    </row>
    <row r="375" spans="1:7" x14ac:dyDescent="0.25">
      <c r="A375" t="s">
        <v>1416</v>
      </c>
      <c r="B375">
        <v>23</v>
      </c>
      <c r="C375">
        <v>713.04</v>
      </c>
      <c r="D375">
        <v>700</v>
      </c>
      <c r="E375">
        <v>250</v>
      </c>
      <c r="F375">
        <v>1500</v>
      </c>
      <c r="G375">
        <v>16400</v>
      </c>
    </row>
    <row r="377" spans="1:7" x14ac:dyDescent="0.25">
      <c r="A377" t="s">
        <v>6197</v>
      </c>
    </row>
    <row r="378" spans="1:7" x14ac:dyDescent="0.25">
      <c r="A378" t="s">
        <v>2723</v>
      </c>
      <c r="B378" t="s">
        <v>4394</v>
      </c>
      <c r="C378" t="s">
        <v>4428</v>
      </c>
      <c r="D378" t="s">
        <v>4429</v>
      </c>
      <c r="E378" t="s">
        <v>4430</v>
      </c>
      <c r="F378" t="s">
        <v>4431</v>
      </c>
      <c r="G378" t="s">
        <v>4432</v>
      </c>
    </row>
    <row r="379" spans="1:7" x14ac:dyDescent="0.25">
      <c r="A379" t="s">
        <v>4433</v>
      </c>
      <c r="B379">
        <v>6</v>
      </c>
      <c r="C379">
        <v>1233.33</v>
      </c>
      <c r="D379">
        <v>500</v>
      </c>
      <c r="E379">
        <v>200</v>
      </c>
      <c r="F379">
        <v>3000</v>
      </c>
      <c r="G379">
        <v>7400</v>
      </c>
    </row>
    <row r="380" spans="1:7" x14ac:dyDescent="0.25">
      <c r="A380" t="s">
        <v>4434</v>
      </c>
      <c r="B380">
        <v>50</v>
      </c>
      <c r="C380">
        <v>623</v>
      </c>
      <c r="D380">
        <v>500</v>
      </c>
      <c r="E380">
        <v>200</v>
      </c>
      <c r="F380">
        <v>2000</v>
      </c>
      <c r="G380">
        <v>31150</v>
      </c>
    </row>
    <row r="381" spans="1:7" x14ac:dyDescent="0.25">
      <c r="A381" t="s">
        <v>4435</v>
      </c>
      <c r="B381">
        <v>45</v>
      </c>
      <c r="C381">
        <v>572.22</v>
      </c>
      <c r="D381">
        <v>500</v>
      </c>
      <c r="E381">
        <v>150</v>
      </c>
      <c r="F381">
        <v>2000</v>
      </c>
      <c r="G381">
        <v>25750</v>
      </c>
    </row>
    <row r="382" spans="1:7" x14ac:dyDescent="0.25">
      <c r="A382" t="s">
        <v>4436</v>
      </c>
      <c r="B382">
        <v>24</v>
      </c>
      <c r="C382">
        <v>629.16999999999996</v>
      </c>
      <c r="D382">
        <v>600</v>
      </c>
      <c r="E382">
        <v>150</v>
      </c>
      <c r="F382">
        <v>1500</v>
      </c>
      <c r="G382">
        <v>15100</v>
      </c>
    </row>
    <row r="384" spans="1:7" x14ac:dyDescent="0.25">
      <c r="A384" t="s">
        <v>6198</v>
      </c>
    </row>
    <row r="385" spans="1:7" x14ac:dyDescent="0.25">
      <c r="A385" t="s">
        <v>1013</v>
      </c>
      <c r="B385" t="s">
        <v>4394</v>
      </c>
      <c r="C385" t="s">
        <v>4428</v>
      </c>
      <c r="D385" t="s">
        <v>4429</v>
      </c>
      <c r="E385" t="s">
        <v>4430</v>
      </c>
      <c r="F385" t="s">
        <v>4431</v>
      </c>
      <c r="G385" t="s">
        <v>4432</v>
      </c>
    </row>
    <row r="386" spans="1:7" x14ac:dyDescent="0.25">
      <c r="A386" t="s">
        <v>1561</v>
      </c>
      <c r="B386">
        <v>4</v>
      </c>
      <c r="C386">
        <v>1350</v>
      </c>
      <c r="D386">
        <v>500</v>
      </c>
      <c r="E386">
        <v>200</v>
      </c>
      <c r="F386">
        <v>3000</v>
      </c>
      <c r="G386">
        <v>5400</v>
      </c>
    </row>
    <row r="387" spans="1:7" x14ac:dyDescent="0.25">
      <c r="A387" t="s">
        <v>1460</v>
      </c>
      <c r="B387">
        <v>27</v>
      </c>
      <c r="C387">
        <v>527.78</v>
      </c>
      <c r="D387">
        <v>500</v>
      </c>
      <c r="E387">
        <v>200</v>
      </c>
      <c r="F387">
        <v>1000</v>
      </c>
      <c r="G387">
        <v>14250</v>
      </c>
    </row>
    <row r="388" spans="1:7" x14ac:dyDescent="0.25">
      <c r="A388" t="s">
        <v>1342</v>
      </c>
      <c r="B388">
        <v>42</v>
      </c>
      <c r="C388">
        <v>494.05</v>
      </c>
      <c r="D388">
        <v>350</v>
      </c>
      <c r="E388">
        <v>150</v>
      </c>
      <c r="F388">
        <v>1500</v>
      </c>
      <c r="G388">
        <v>20750</v>
      </c>
    </row>
    <row r="389" spans="1:7" x14ac:dyDescent="0.25">
      <c r="A389" t="s">
        <v>1375</v>
      </c>
      <c r="B389">
        <v>36</v>
      </c>
      <c r="C389">
        <v>819.44</v>
      </c>
      <c r="D389">
        <v>700</v>
      </c>
      <c r="E389">
        <v>200</v>
      </c>
      <c r="F389">
        <v>2000</v>
      </c>
      <c r="G389">
        <v>29500</v>
      </c>
    </row>
    <row r="390" spans="1:7" x14ac:dyDescent="0.25">
      <c r="A390" t="s">
        <v>1401</v>
      </c>
      <c r="B390">
        <v>16</v>
      </c>
      <c r="C390">
        <v>593.75</v>
      </c>
      <c r="D390">
        <v>500</v>
      </c>
      <c r="E390">
        <v>150</v>
      </c>
      <c r="F390">
        <v>1500</v>
      </c>
      <c r="G390">
        <v>9500</v>
      </c>
    </row>
    <row r="392" spans="1:7" x14ac:dyDescent="0.25">
      <c r="A392" t="s">
        <v>6199</v>
      </c>
    </row>
    <row r="393" spans="1:7" x14ac:dyDescent="0.25">
      <c r="A393" t="s">
        <v>903</v>
      </c>
      <c r="B393" t="s">
        <v>4394</v>
      </c>
      <c r="C393" t="s">
        <v>4428</v>
      </c>
      <c r="D393" t="s">
        <v>4429</v>
      </c>
      <c r="E393" t="s">
        <v>4430</v>
      </c>
      <c r="F393" t="s">
        <v>4431</v>
      </c>
      <c r="G393" t="s">
        <v>4432</v>
      </c>
    </row>
    <row r="394" spans="1:7" x14ac:dyDescent="0.25">
      <c r="A394" t="s">
        <v>70</v>
      </c>
      <c r="B394">
        <v>31</v>
      </c>
      <c r="C394">
        <v>624.19000000000005</v>
      </c>
      <c r="D394">
        <v>600</v>
      </c>
      <c r="E394">
        <v>150</v>
      </c>
      <c r="F394">
        <v>1500</v>
      </c>
      <c r="G394">
        <v>19350</v>
      </c>
    </row>
    <row r="395" spans="1:7" x14ac:dyDescent="0.25">
      <c r="A395" t="s">
        <v>71</v>
      </c>
      <c r="B395">
        <v>94</v>
      </c>
      <c r="C395">
        <v>638.83000000000004</v>
      </c>
      <c r="D395">
        <v>500</v>
      </c>
      <c r="E395">
        <v>150</v>
      </c>
      <c r="F395">
        <v>3000</v>
      </c>
      <c r="G395">
        <v>60050</v>
      </c>
    </row>
    <row r="396" spans="1:7" x14ac:dyDescent="0.25">
      <c r="A396" t="s">
        <v>1296</v>
      </c>
      <c r="B396">
        <v>125</v>
      </c>
      <c r="C396">
        <v>635.20000000000005</v>
      </c>
      <c r="D396">
        <v>500</v>
      </c>
      <c r="E396">
        <v>150</v>
      </c>
      <c r="F396">
        <v>3000</v>
      </c>
      <c r="G396">
        <v>79400</v>
      </c>
    </row>
    <row r="398" spans="1:7" x14ac:dyDescent="0.25">
      <c r="A398" t="s">
        <v>6200</v>
      </c>
    </row>
    <row r="399" spans="1:7" x14ac:dyDescent="0.25">
      <c r="A399" t="s">
        <v>2842</v>
      </c>
      <c r="B399" t="s">
        <v>4394</v>
      </c>
      <c r="C399" t="s">
        <v>4428</v>
      </c>
      <c r="D399" t="s">
        <v>4429</v>
      </c>
      <c r="E399" t="s">
        <v>4430</v>
      </c>
      <c r="F399" t="s">
        <v>4431</v>
      </c>
      <c r="G399" t="s">
        <v>4432</v>
      </c>
    </row>
    <row r="400" spans="1:7" x14ac:dyDescent="0.25">
      <c r="A400" t="s">
        <v>5549</v>
      </c>
      <c r="B400">
        <v>65</v>
      </c>
      <c r="C400">
        <v>1569.23</v>
      </c>
      <c r="D400">
        <v>600</v>
      </c>
      <c r="E400">
        <v>100</v>
      </c>
      <c r="F400">
        <v>4800</v>
      </c>
      <c r="G400">
        <v>102000</v>
      </c>
    </row>
    <row r="401" spans="1:7" x14ac:dyDescent="0.25">
      <c r="A401" t="s">
        <v>1397</v>
      </c>
      <c r="B401">
        <v>34</v>
      </c>
      <c r="C401">
        <v>1523.53</v>
      </c>
      <c r="D401">
        <v>800</v>
      </c>
      <c r="E401">
        <v>50</v>
      </c>
      <c r="F401">
        <v>7600</v>
      </c>
      <c r="G401">
        <v>51800</v>
      </c>
    </row>
    <row r="403" spans="1:7" x14ac:dyDescent="0.25">
      <c r="A403" t="s">
        <v>6201</v>
      </c>
    </row>
    <row r="404" spans="1:7" x14ac:dyDescent="0.25">
      <c r="A404" t="s">
        <v>992</v>
      </c>
      <c r="B404" t="s">
        <v>4394</v>
      </c>
      <c r="C404" t="s">
        <v>4428</v>
      </c>
      <c r="D404" t="s">
        <v>4429</v>
      </c>
      <c r="E404" t="s">
        <v>4430</v>
      </c>
      <c r="F404" t="s">
        <v>4431</v>
      </c>
      <c r="G404" t="s">
        <v>4432</v>
      </c>
    </row>
    <row r="405" spans="1:7" x14ac:dyDescent="0.25">
      <c r="A405" t="s">
        <v>4844</v>
      </c>
      <c r="B405">
        <v>15</v>
      </c>
      <c r="C405">
        <v>580</v>
      </c>
      <c r="D405">
        <v>150</v>
      </c>
      <c r="E405">
        <v>50</v>
      </c>
      <c r="F405">
        <v>2800</v>
      </c>
      <c r="G405">
        <v>8700</v>
      </c>
    </row>
    <row r="406" spans="1:7" x14ac:dyDescent="0.25">
      <c r="A406" t="s">
        <v>4845</v>
      </c>
      <c r="B406">
        <v>78</v>
      </c>
      <c r="C406">
        <v>1739.1</v>
      </c>
      <c r="D406">
        <v>1300</v>
      </c>
      <c r="E406">
        <v>100</v>
      </c>
      <c r="F406">
        <v>7600</v>
      </c>
      <c r="G406">
        <v>135650</v>
      </c>
    </row>
    <row r="407" spans="1:7" x14ac:dyDescent="0.25">
      <c r="A407" t="s">
        <v>4846</v>
      </c>
      <c r="B407">
        <v>6</v>
      </c>
      <c r="C407">
        <v>1575</v>
      </c>
      <c r="D407">
        <v>1500</v>
      </c>
      <c r="E407">
        <v>250</v>
      </c>
      <c r="F407">
        <v>2500</v>
      </c>
      <c r="G407">
        <v>9450</v>
      </c>
    </row>
    <row r="409" spans="1:7" x14ac:dyDescent="0.25">
      <c r="A409" t="s">
        <v>6202</v>
      </c>
    </row>
    <row r="410" spans="1:7" x14ac:dyDescent="0.25">
      <c r="A410" t="s">
        <v>995</v>
      </c>
      <c r="B410" t="s">
        <v>4394</v>
      </c>
      <c r="C410" t="s">
        <v>4428</v>
      </c>
      <c r="D410" t="s">
        <v>4429</v>
      </c>
      <c r="E410" t="s">
        <v>4430</v>
      </c>
      <c r="F410" t="s">
        <v>4431</v>
      </c>
      <c r="G410" t="s">
        <v>4432</v>
      </c>
    </row>
    <row r="411" spans="1:7" x14ac:dyDescent="0.25">
      <c r="A411" t="s">
        <v>1338</v>
      </c>
      <c r="B411">
        <v>30</v>
      </c>
      <c r="C411">
        <v>1050</v>
      </c>
      <c r="D411">
        <v>200</v>
      </c>
      <c r="E411">
        <v>50</v>
      </c>
      <c r="F411">
        <v>4800</v>
      </c>
      <c r="G411">
        <v>31500</v>
      </c>
    </row>
    <row r="412" spans="1:7" x14ac:dyDescent="0.25">
      <c r="A412" t="s">
        <v>1370</v>
      </c>
      <c r="B412">
        <v>7</v>
      </c>
      <c r="C412">
        <v>1114.29</v>
      </c>
      <c r="D412">
        <v>300</v>
      </c>
      <c r="E412">
        <v>200</v>
      </c>
      <c r="F412">
        <v>3950</v>
      </c>
      <c r="G412">
        <v>7800</v>
      </c>
    </row>
    <row r="413" spans="1:7" x14ac:dyDescent="0.25">
      <c r="A413" t="s">
        <v>1439</v>
      </c>
      <c r="B413">
        <v>3</v>
      </c>
      <c r="C413">
        <v>2033.33</v>
      </c>
      <c r="D413">
        <v>1500</v>
      </c>
      <c r="E413">
        <v>100</v>
      </c>
      <c r="F413">
        <v>4500</v>
      </c>
      <c r="G413">
        <v>6100</v>
      </c>
    </row>
    <row r="414" spans="1:7" x14ac:dyDescent="0.25">
      <c r="A414" t="s">
        <v>1476</v>
      </c>
      <c r="B414">
        <v>3</v>
      </c>
      <c r="C414">
        <v>883.33</v>
      </c>
      <c r="D414">
        <v>250</v>
      </c>
      <c r="E414">
        <v>200</v>
      </c>
      <c r="F414">
        <v>2200</v>
      </c>
      <c r="G414">
        <v>2650</v>
      </c>
    </row>
    <row r="415" spans="1:7" x14ac:dyDescent="0.25">
      <c r="A415" t="s">
        <v>1399</v>
      </c>
      <c r="B415">
        <v>17</v>
      </c>
      <c r="C415">
        <v>1188.24</v>
      </c>
      <c r="D415">
        <v>800</v>
      </c>
      <c r="E415">
        <v>100</v>
      </c>
      <c r="F415">
        <v>3000</v>
      </c>
      <c r="G415">
        <v>20200</v>
      </c>
    </row>
    <row r="416" spans="1:7" x14ac:dyDescent="0.25">
      <c r="A416" t="s">
        <v>1415</v>
      </c>
      <c r="B416">
        <v>39</v>
      </c>
      <c r="C416">
        <v>2193.59</v>
      </c>
      <c r="D416">
        <v>2500</v>
      </c>
      <c r="E416">
        <v>150</v>
      </c>
      <c r="F416">
        <v>7600</v>
      </c>
      <c r="G416">
        <v>85550</v>
      </c>
    </row>
    <row r="418" spans="1:7" x14ac:dyDescent="0.25">
      <c r="A418" t="s">
        <v>6203</v>
      </c>
    </row>
    <row r="419" spans="1:7" x14ac:dyDescent="0.25">
      <c r="A419" t="s">
        <v>998</v>
      </c>
      <c r="B419" t="s">
        <v>4394</v>
      </c>
      <c r="C419" t="s">
        <v>4428</v>
      </c>
      <c r="D419" t="s">
        <v>4429</v>
      </c>
      <c r="E419" t="s">
        <v>4430</v>
      </c>
      <c r="F419" t="s">
        <v>4431</v>
      </c>
      <c r="G419" t="s">
        <v>4432</v>
      </c>
    </row>
    <row r="420" spans="1:7" x14ac:dyDescent="0.25">
      <c r="A420" t="s">
        <v>109</v>
      </c>
      <c r="B420">
        <v>90</v>
      </c>
      <c r="C420">
        <v>1532.78</v>
      </c>
      <c r="D420">
        <v>800</v>
      </c>
      <c r="E420">
        <v>50</v>
      </c>
      <c r="F420">
        <v>7600</v>
      </c>
      <c r="G420">
        <v>137950</v>
      </c>
    </row>
    <row r="421" spans="1:7" x14ac:dyDescent="0.25">
      <c r="A421" t="s">
        <v>192</v>
      </c>
      <c r="B421">
        <v>9</v>
      </c>
      <c r="C421">
        <v>1761.11</v>
      </c>
      <c r="D421">
        <v>300</v>
      </c>
      <c r="E421">
        <v>100</v>
      </c>
      <c r="F421">
        <v>4800</v>
      </c>
      <c r="G421">
        <v>15850</v>
      </c>
    </row>
    <row r="423" spans="1:7" x14ac:dyDescent="0.25">
      <c r="A423" t="s">
        <v>6204</v>
      </c>
    </row>
    <row r="424" spans="1:7" x14ac:dyDescent="0.25">
      <c r="A424" t="s">
        <v>1006</v>
      </c>
      <c r="B424" t="s">
        <v>4394</v>
      </c>
      <c r="C424" t="s">
        <v>4428</v>
      </c>
      <c r="D424" t="s">
        <v>4429</v>
      </c>
      <c r="E424" t="s">
        <v>4430</v>
      </c>
      <c r="F424" t="s">
        <v>4431</v>
      </c>
      <c r="G424" t="s">
        <v>4432</v>
      </c>
    </row>
    <row r="425" spans="1:7" x14ac:dyDescent="0.25">
      <c r="A425" t="s">
        <v>1371</v>
      </c>
      <c r="B425">
        <v>21</v>
      </c>
      <c r="C425">
        <v>1085.71</v>
      </c>
      <c r="D425">
        <v>400</v>
      </c>
      <c r="E425">
        <v>100</v>
      </c>
      <c r="F425">
        <v>4600</v>
      </c>
      <c r="G425">
        <v>22800</v>
      </c>
    </row>
    <row r="426" spans="1:7" x14ac:dyDescent="0.25">
      <c r="A426" t="s">
        <v>1452</v>
      </c>
      <c r="B426">
        <v>13</v>
      </c>
      <c r="C426">
        <v>1496.15</v>
      </c>
      <c r="D426">
        <v>1400</v>
      </c>
      <c r="E426">
        <v>150</v>
      </c>
      <c r="F426">
        <v>3900</v>
      </c>
      <c r="G426">
        <v>19450</v>
      </c>
    </row>
    <row r="427" spans="1:7" x14ac:dyDescent="0.25">
      <c r="A427" t="s">
        <v>5560</v>
      </c>
      <c r="B427">
        <v>7</v>
      </c>
      <c r="C427">
        <v>300</v>
      </c>
      <c r="D427">
        <v>200</v>
      </c>
      <c r="E427">
        <v>100</v>
      </c>
      <c r="F427">
        <v>800</v>
      </c>
      <c r="G427">
        <v>2100</v>
      </c>
    </row>
    <row r="428" spans="1:7" x14ac:dyDescent="0.25">
      <c r="A428" t="s">
        <v>1424</v>
      </c>
      <c r="B428">
        <v>19</v>
      </c>
      <c r="C428">
        <v>1192.1099999999999</v>
      </c>
      <c r="D428">
        <v>1300</v>
      </c>
      <c r="E428">
        <v>100</v>
      </c>
      <c r="F428">
        <v>2800</v>
      </c>
      <c r="G428">
        <v>22650</v>
      </c>
    </row>
    <row r="429" spans="1:7" x14ac:dyDescent="0.25">
      <c r="A429" t="s">
        <v>1340</v>
      </c>
      <c r="B429">
        <v>16</v>
      </c>
      <c r="C429">
        <v>1743.75</v>
      </c>
      <c r="D429">
        <v>300</v>
      </c>
      <c r="E429">
        <v>50</v>
      </c>
      <c r="F429">
        <v>4000</v>
      </c>
      <c r="G429">
        <v>27900</v>
      </c>
    </row>
    <row r="430" spans="1:7" x14ac:dyDescent="0.25">
      <c r="A430" t="s">
        <v>5561</v>
      </c>
      <c r="B430">
        <v>3</v>
      </c>
      <c r="C430">
        <v>3033.33</v>
      </c>
      <c r="D430">
        <v>1300</v>
      </c>
      <c r="E430">
        <v>200</v>
      </c>
      <c r="F430">
        <v>7600</v>
      </c>
      <c r="G430">
        <v>9100</v>
      </c>
    </row>
    <row r="431" spans="1:7" x14ac:dyDescent="0.25">
      <c r="A431" t="s">
        <v>1416</v>
      </c>
      <c r="B431">
        <v>20</v>
      </c>
      <c r="C431">
        <v>2490</v>
      </c>
      <c r="D431">
        <v>2900</v>
      </c>
      <c r="E431">
        <v>200</v>
      </c>
      <c r="F431">
        <v>5000</v>
      </c>
      <c r="G431">
        <v>49800</v>
      </c>
    </row>
    <row r="433" spans="1:7" x14ac:dyDescent="0.25">
      <c r="A433" t="s">
        <v>6205</v>
      </c>
    </row>
    <row r="434" spans="1:7" x14ac:dyDescent="0.25">
      <c r="A434" t="s">
        <v>2723</v>
      </c>
      <c r="B434" t="s">
        <v>4394</v>
      </c>
      <c r="C434" t="s">
        <v>4428</v>
      </c>
      <c r="D434" t="s">
        <v>4429</v>
      </c>
      <c r="E434" t="s">
        <v>4430</v>
      </c>
      <c r="F434" t="s">
        <v>4431</v>
      </c>
      <c r="G434" t="s">
        <v>4432</v>
      </c>
    </row>
    <row r="435" spans="1:7" x14ac:dyDescent="0.25">
      <c r="A435" t="s">
        <v>4433</v>
      </c>
      <c r="B435">
        <v>3</v>
      </c>
      <c r="C435">
        <v>416.67</v>
      </c>
      <c r="D435">
        <v>300</v>
      </c>
      <c r="E435">
        <v>150</v>
      </c>
      <c r="F435">
        <v>800</v>
      </c>
      <c r="G435">
        <v>1250</v>
      </c>
    </row>
    <row r="436" spans="1:7" x14ac:dyDescent="0.25">
      <c r="A436" t="s">
        <v>4434</v>
      </c>
      <c r="B436">
        <v>49</v>
      </c>
      <c r="C436">
        <v>2855.1</v>
      </c>
      <c r="D436">
        <v>2800</v>
      </c>
      <c r="E436">
        <v>650</v>
      </c>
      <c r="F436">
        <v>7600</v>
      </c>
      <c r="G436">
        <v>139900</v>
      </c>
    </row>
    <row r="437" spans="1:7" x14ac:dyDescent="0.25">
      <c r="A437" t="s">
        <v>4435</v>
      </c>
      <c r="B437">
        <v>28</v>
      </c>
      <c r="C437">
        <v>251.79</v>
      </c>
      <c r="D437">
        <v>200</v>
      </c>
      <c r="E437">
        <v>50</v>
      </c>
      <c r="F437">
        <v>1500</v>
      </c>
      <c r="G437">
        <v>7050</v>
      </c>
    </row>
    <row r="438" spans="1:7" x14ac:dyDescent="0.25">
      <c r="A438" t="s">
        <v>4436</v>
      </c>
      <c r="B438">
        <v>19</v>
      </c>
      <c r="C438">
        <v>294.74</v>
      </c>
      <c r="D438">
        <v>250</v>
      </c>
      <c r="E438">
        <v>100</v>
      </c>
      <c r="F438">
        <v>600</v>
      </c>
      <c r="G438">
        <v>5600</v>
      </c>
    </row>
    <row r="440" spans="1:7" x14ac:dyDescent="0.25">
      <c r="A440" t="s">
        <v>6206</v>
      </c>
    </row>
    <row r="441" spans="1:7" x14ac:dyDescent="0.25">
      <c r="A441" t="s">
        <v>1013</v>
      </c>
      <c r="B441" t="s">
        <v>4394</v>
      </c>
      <c r="C441" t="s">
        <v>4428</v>
      </c>
      <c r="D441" t="s">
        <v>4429</v>
      </c>
      <c r="E441" t="s">
        <v>4430</v>
      </c>
      <c r="F441" t="s">
        <v>4431</v>
      </c>
      <c r="G441" t="s">
        <v>4432</v>
      </c>
    </row>
    <row r="442" spans="1:7" x14ac:dyDescent="0.25">
      <c r="A442" t="s">
        <v>1561</v>
      </c>
      <c r="B442">
        <v>2</v>
      </c>
      <c r="C442">
        <v>225</v>
      </c>
      <c r="D442">
        <v>150</v>
      </c>
      <c r="E442">
        <v>150</v>
      </c>
      <c r="F442">
        <v>300</v>
      </c>
      <c r="G442">
        <v>450</v>
      </c>
    </row>
    <row r="443" spans="1:7" x14ac:dyDescent="0.25">
      <c r="A443" t="s">
        <v>1460</v>
      </c>
      <c r="B443">
        <v>26</v>
      </c>
      <c r="C443">
        <v>2992.31</v>
      </c>
      <c r="D443">
        <v>2600</v>
      </c>
      <c r="E443">
        <v>1300</v>
      </c>
      <c r="F443">
        <v>7600</v>
      </c>
      <c r="G443">
        <v>77800</v>
      </c>
    </row>
    <row r="444" spans="1:7" x14ac:dyDescent="0.25">
      <c r="A444" t="s">
        <v>1342</v>
      </c>
      <c r="B444">
        <v>26</v>
      </c>
      <c r="C444">
        <v>205.77</v>
      </c>
      <c r="D444">
        <v>200</v>
      </c>
      <c r="E444">
        <v>50</v>
      </c>
      <c r="F444">
        <v>500</v>
      </c>
      <c r="G444">
        <v>5350</v>
      </c>
    </row>
    <row r="445" spans="1:7" x14ac:dyDescent="0.25">
      <c r="A445" t="s">
        <v>1375</v>
      </c>
      <c r="B445">
        <v>31</v>
      </c>
      <c r="C445">
        <v>2125.81</v>
      </c>
      <c r="D445">
        <v>2200</v>
      </c>
      <c r="E445">
        <v>150</v>
      </c>
      <c r="F445">
        <v>4500</v>
      </c>
      <c r="G445">
        <v>65900</v>
      </c>
    </row>
    <row r="446" spans="1:7" x14ac:dyDescent="0.25">
      <c r="A446" t="s">
        <v>1401</v>
      </c>
      <c r="B446">
        <v>14</v>
      </c>
      <c r="C446">
        <v>307.14</v>
      </c>
      <c r="D446">
        <v>250</v>
      </c>
      <c r="E446">
        <v>100</v>
      </c>
      <c r="F446">
        <v>600</v>
      </c>
      <c r="G446">
        <v>4300</v>
      </c>
    </row>
    <row r="448" spans="1:7" x14ac:dyDescent="0.25">
      <c r="A448" t="s">
        <v>6207</v>
      </c>
    </row>
    <row r="449" spans="1:7" x14ac:dyDescent="0.25">
      <c r="A449" t="s">
        <v>903</v>
      </c>
      <c r="B449" t="s">
        <v>4394</v>
      </c>
      <c r="C449" t="s">
        <v>4428</v>
      </c>
      <c r="D449" t="s">
        <v>4429</v>
      </c>
      <c r="E449" t="s">
        <v>4430</v>
      </c>
      <c r="F449" t="s">
        <v>4431</v>
      </c>
      <c r="G449" t="s">
        <v>4432</v>
      </c>
    </row>
    <row r="450" spans="1:7" x14ac:dyDescent="0.25">
      <c r="A450" t="s">
        <v>70</v>
      </c>
      <c r="B450">
        <v>25</v>
      </c>
      <c r="C450">
        <v>1092</v>
      </c>
      <c r="D450">
        <v>400</v>
      </c>
      <c r="E450">
        <v>100</v>
      </c>
      <c r="F450">
        <v>4800</v>
      </c>
      <c r="G450">
        <v>27300</v>
      </c>
    </row>
    <row r="451" spans="1:7" x14ac:dyDescent="0.25">
      <c r="A451" t="s">
        <v>71</v>
      </c>
      <c r="B451">
        <v>74</v>
      </c>
      <c r="C451">
        <v>1709.46</v>
      </c>
      <c r="D451">
        <v>1500</v>
      </c>
      <c r="E451">
        <v>50</v>
      </c>
      <c r="F451">
        <v>7600</v>
      </c>
      <c r="G451">
        <v>126500</v>
      </c>
    </row>
    <row r="452" spans="1:7" x14ac:dyDescent="0.25">
      <c r="A452" t="s">
        <v>1296</v>
      </c>
      <c r="B452">
        <v>99</v>
      </c>
      <c r="C452">
        <v>1553.54</v>
      </c>
      <c r="D452">
        <v>800</v>
      </c>
      <c r="E452">
        <v>50</v>
      </c>
      <c r="F452">
        <v>7600</v>
      </c>
      <c r="G452">
        <v>153800</v>
      </c>
    </row>
    <row r="454" spans="1:7" x14ac:dyDescent="0.25">
      <c r="A454" t="s">
        <v>6208</v>
      </c>
    </row>
    <row r="455" spans="1:7" x14ac:dyDescent="0.25">
      <c r="A455" t="s">
        <v>2842</v>
      </c>
      <c r="B455" t="s">
        <v>4394</v>
      </c>
      <c r="C455" t="s">
        <v>4428</v>
      </c>
      <c r="D455" t="s">
        <v>4429</v>
      </c>
      <c r="E455" t="s">
        <v>4430</v>
      </c>
      <c r="F455" t="s">
        <v>4431</v>
      </c>
      <c r="G455" t="s">
        <v>4432</v>
      </c>
    </row>
    <row r="456" spans="1:7" x14ac:dyDescent="0.25">
      <c r="A456" t="s">
        <v>5549</v>
      </c>
      <c r="B456">
        <v>62</v>
      </c>
      <c r="C456">
        <v>1192.74</v>
      </c>
      <c r="D456">
        <v>500</v>
      </c>
      <c r="E456">
        <v>50</v>
      </c>
      <c r="F456">
        <v>3700</v>
      </c>
      <c r="G456">
        <v>73950</v>
      </c>
    </row>
    <row r="457" spans="1:7" x14ac:dyDescent="0.25">
      <c r="A457" t="s">
        <v>1397</v>
      </c>
      <c r="B457">
        <v>40</v>
      </c>
      <c r="C457">
        <v>1227.5</v>
      </c>
      <c r="D457">
        <v>600</v>
      </c>
      <c r="E457">
        <v>50</v>
      </c>
      <c r="F457">
        <v>6200</v>
      </c>
      <c r="G457">
        <v>49100</v>
      </c>
    </row>
    <row r="459" spans="1:7" x14ac:dyDescent="0.25">
      <c r="A459" t="s">
        <v>6209</v>
      </c>
    </row>
    <row r="460" spans="1:7" x14ac:dyDescent="0.25">
      <c r="A460" t="s">
        <v>992</v>
      </c>
      <c r="B460" t="s">
        <v>4394</v>
      </c>
      <c r="C460" t="s">
        <v>4428</v>
      </c>
      <c r="D460" t="s">
        <v>4429</v>
      </c>
      <c r="E460" t="s">
        <v>4430</v>
      </c>
      <c r="F460" t="s">
        <v>4431</v>
      </c>
      <c r="G460" t="s">
        <v>4432</v>
      </c>
    </row>
    <row r="461" spans="1:7" x14ac:dyDescent="0.25">
      <c r="A461" t="s">
        <v>4844</v>
      </c>
      <c r="B461">
        <v>17</v>
      </c>
      <c r="C461">
        <v>382.35</v>
      </c>
      <c r="D461">
        <v>150</v>
      </c>
      <c r="E461">
        <v>50</v>
      </c>
      <c r="F461">
        <v>2200</v>
      </c>
      <c r="G461">
        <v>6500</v>
      </c>
    </row>
    <row r="462" spans="1:7" x14ac:dyDescent="0.25">
      <c r="A462" t="s">
        <v>4845</v>
      </c>
      <c r="B462">
        <v>79</v>
      </c>
      <c r="C462">
        <v>1361.39</v>
      </c>
      <c r="D462">
        <v>900</v>
      </c>
      <c r="E462">
        <v>100</v>
      </c>
      <c r="F462">
        <v>6200</v>
      </c>
      <c r="G462">
        <v>107550</v>
      </c>
    </row>
    <row r="463" spans="1:7" x14ac:dyDescent="0.25">
      <c r="A463" t="s">
        <v>4846</v>
      </c>
      <c r="B463">
        <v>6</v>
      </c>
      <c r="C463">
        <v>1500</v>
      </c>
      <c r="D463">
        <v>1500</v>
      </c>
      <c r="E463">
        <v>300</v>
      </c>
      <c r="F463">
        <v>3000</v>
      </c>
      <c r="G463">
        <v>9000</v>
      </c>
    </row>
    <row r="465" spans="1:7" x14ac:dyDescent="0.25">
      <c r="A465" t="s">
        <v>6210</v>
      </c>
    </row>
    <row r="466" spans="1:7" x14ac:dyDescent="0.25">
      <c r="A466" t="s">
        <v>995</v>
      </c>
      <c r="B466" t="s">
        <v>4394</v>
      </c>
      <c r="C466" t="s">
        <v>4428</v>
      </c>
      <c r="D466" t="s">
        <v>4429</v>
      </c>
      <c r="E466" t="s">
        <v>4430</v>
      </c>
      <c r="F466" t="s">
        <v>4431</v>
      </c>
      <c r="G466" t="s">
        <v>4432</v>
      </c>
    </row>
    <row r="467" spans="1:7" x14ac:dyDescent="0.25">
      <c r="A467" t="s">
        <v>1338</v>
      </c>
      <c r="B467">
        <v>31</v>
      </c>
      <c r="C467">
        <v>680.65</v>
      </c>
      <c r="D467">
        <v>200</v>
      </c>
      <c r="E467">
        <v>50</v>
      </c>
      <c r="F467">
        <v>3000</v>
      </c>
      <c r="G467">
        <v>21100</v>
      </c>
    </row>
    <row r="468" spans="1:7" x14ac:dyDescent="0.25">
      <c r="A468" t="s">
        <v>1370</v>
      </c>
      <c r="B468">
        <v>9</v>
      </c>
      <c r="C468">
        <v>927.78</v>
      </c>
      <c r="D468">
        <v>450</v>
      </c>
      <c r="E468">
        <v>200</v>
      </c>
      <c r="F468">
        <v>3200</v>
      </c>
      <c r="G468">
        <v>8350</v>
      </c>
    </row>
    <row r="469" spans="1:7" x14ac:dyDescent="0.25">
      <c r="A469" t="s">
        <v>1439</v>
      </c>
      <c r="B469">
        <v>5</v>
      </c>
      <c r="C469">
        <v>1060</v>
      </c>
      <c r="D469">
        <v>500</v>
      </c>
      <c r="E469">
        <v>100</v>
      </c>
      <c r="F469">
        <v>3700</v>
      </c>
      <c r="G469">
        <v>5300</v>
      </c>
    </row>
    <row r="470" spans="1:7" x14ac:dyDescent="0.25">
      <c r="A470" t="s">
        <v>1476</v>
      </c>
      <c r="B470">
        <v>3</v>
      </c>
      <c r="C470">
        <v>1083.33</v>
      </c>
      <c r="D470">
        <v>300</v>
      </c>
      <c r="E470">
        <v>150</v>
      </c>
      <c r="F470">
        <v>2800</v>
      </c>
      <c r="G470">
        <v>3250</v>
      </c>
    </row>
    <row r="471" spans="1:7" x14ac:dyDescent="0.25">
      <c r="A471" t="s">
        <v>5476</v>
      </c>
      <c r="B471">
        <v>1</v>
      </c>
      <c r="C471">
        <v>3000</v>
      </c>
      <c r="D471">
        <v>3000</v>
      </c>
      <c r="E471">
        <v>3000</v>
      </c>
      <c r="F471">
        <v>3000</v>
      </c>
      <c r="G471">
        <v>3000</v>
      </c>
    </row>
    <row r="472" spans="1:7" x14ac:dyDescent="0.25">
      <c r="A472" t="s">
        <v>1399</v>
      </c>
      <c r="B472">
        <v>17</v>
      </c>
      <c r="C472">
        <v>1002.94</v>
      </c>
      <c r="D472">
        <v>600</v>
      </c>
      <c r="E472">
        <v>100</v>
      </c>
      <c r="F472">
        <v>2500</v>
      </c>
      <c r="G472">
        <v>17050</v>
      </c>
    </row>
    <row r="473" spans="1:7" x14ac:dyDescent="0.25">
      <c r="A473" t="s">
        <v>1415</v>
      </c>
      <c r="B473">
        <v>36</v>
      </c>
      <c r="C473">
        <v>1805.56</v>
      </c>
      <c r="D473">
        <v>1600</v>
      </c>
      <c r="E473">
        <v>100</v>
      </c>
      <c r="F473">
        <v>6200</v>
      </c>
      <c r="G473">
        <v>65000</v>
      </c>
    </row>
    <row r="475" spans="1:7" x14ac:dyDescent="0.25">
      <c r="A475" t="s">
        <v>6211</v>
      </c>
    </row>
    <row r="476" spans="1:7" x14ac:dyDescent="0.25">
      <c r="A476" t="s">
        <v>998</v>
      </c>
      <c r="B476" t="s">
        <v>4394</v>
      </c>
      <c r="C476" t="s">
        <v>4428</v>
      </c>
      <c r="D476" t="s">
        <v>4429</v>
      </c>
      <c r="E476" t="s">
        <v>4430</v>
      </c>
      <c r="F476" t="s">
        <v>4431</v>
      </c>
      <c r="G476" t="s">
        <v>4432</v>
      </c>
    </row>
    <row r="477" spans="1:7" x14ac:dyDescent="0.25">
      <c r="A477" t="s">
        <v>109</v>
      </c>
      <c r="B477">
        <v>91</v>
      </c>
      <c r="C477">
        <v>1215.3800000000001</v>
      </c>
      <c r="D477">
        <v>600</v>
      </c>
      <c r="E477">
        <v>50</v>
      </c>
      <c r="F477">
        <v>6200</v>
      </c>
      <c r="G477">
        <v>110600</v>
      </c>
    </row>
    <row r="478" spans="1:7" x14ac:dyDescent="0.25">
      <c r="A478" t="s">
        <v>192</v>
      </c>
      <c r="B478">
        <v>11</v>
      </c>
      <c r="C478">
        <v>1131.82</v>
      </c>
      <c r="D478">
        <v>500</v>
      </c>
      <c r="E478">
        <v>100</v>
      </c>
      <c r="F478">
        <v>3700</v>
      </c>
      <c r="G478">
        <v>12450</v>
      </c>
    </row>
    <row r="480" spans="1:7" x14ac:dyDescent="0.25">
      <c r="A480" t="s">
        <v>6212</v>
      </c>
    </row>
    <row r="481" spans="1:7" x14ac:dyDescent="0.25">
      <c r="A481" t="s">
        <v>1006</v>
      </c>
      <c r="B481" t="s">
        <v>4394</v>
      </c>
      <c r="C481" t="s">
        <v>4428</v>
      </c>
      <c r="D481" t="s">
        <v>4429</v>
      </c>
      <c r="E481" t="s">
        <v>4430</v>
      </c>
      <c r="F481" t="s">
        <v>4431</v>
      </c>
      <c r="G481" t="s">
        <v>4432</v>
      </c>
    </row>
    <row r="482" spans="1:7" x14ac:dyDescent="0.25">
      <c r="A482" t="s">
        <v>1371</v>
      </c>
      <c r="B482">
        <v>20</v>
      </c>
      <c r="C482">
        <v>795</v>
      </c>
      <c r="D482">
        <v>300</v>
      </c>
      <c r="E482">
        <v>100</v>
      </c>
      <c r="F482">
        <v>3000</v>
      </c>
      <c r="G482">
        <v>15900</v>
      </c>
    </row>
    <row r="483" spans="1:7" x14ac:dyDescent="0.25">
      <c r="A483" t="s">
        <v>1452</v>
      </c>
      <c r="B483">
        <v>12</v>
      </c>
      <c r="C483">
        <v>1283.33</v>
      </c>
      <c r="D483">
        <v>900</v>
      </c>
      <c r="E483">
        <v>100</v>
      </c>
      <c r="F483">
        <v>3600</v>
      </c>
      <c r="G483">
        <v>15400</v>
      </c>
    </row>
    <row r="484" spans="1:7" x14ac:dyDescent="0.25">
      <c r="A484" t="s">
        <v>5560</v>
      </c>
      <c r="B484">
        <v>10</v>
      </c>
      <c r="C484">
        <v>415</v>
      </c>
      <c r="D484">
        <v>300</v>
      </c>
      <c r="E484">
        <v>100</v>
      </c>
      <c r="F484">
        <v>900</v>
      </c>
      <c r="G484">
        <v>4150</v>
      </c>
    </row>
    <row r="485" spans="1:7" x14ac:dyDescent="0.25">
      <c r="A485" t="s">
        <v>1424</v>
      </c>
      <c r="B485">
        <v>23</v>
      </c>
      <c r="C485">
        <v>1100</v>
      </c>
      <c r="D485">
        <v>500</v>
      </c>
      <c r="E485">
        <v>50</v>
      </c>
      <c r="F485">
        <v>3000</v>
      </c>
      <c r="G485">
        <v>25300</v>
      </c>
    </row>
    <row r="486" spans="1:7" x14ac:dyDescent="0.25">
      <c r="A486" t="s">
        <v>1340</v>
      </c>
      <c r="B486">
        <v>14</v>
      </c>
      <c r="C486">
        <v>1410.71</v>
      </c>
      <c r="D486">
        <v>300</v>
      </c>
      <c r="E486">
        <v>50</v>
      </c>
      <c r="F486">
        <v>3500</v>
      </c>
      <c r="G486">
        <v>19750</v>
      </c>
    </row>
    <row r="487" spans="1:7" x14ac:dyDescent="0.25">
      <c r="A487" t="s">
        <v>5561</v>
      </c>
      <c r="B487">
        <v>4</v>
      </c>
      <c r="C487">
        <v>1950</v>
      </c>
      <c r="D487">
        <v>150</v>
      </c>
      <c r="E487">
        <v>150</v>
      </c>
      <c r="F487">
        <v>6200</v>
      </c>
      <c r="G487">
        <v>7800</v>
      </c>
    </row>
    <row r="488" spans="1:7" x14ac:dyDescent="0.25">
      <c r="A488" t="s">
        <v>1416</v>
      </c>
      <c r="B488">
        <v>19</v>
      </c>
      <c r="C488">
        <v>1828.95</v>
      </c>
      <c r="D488">
        <v>2400</v>
      </c>
      <c r="E488">
        <v>150</v>
      </c>
      <c r="F488">
        <v>3700</v>
      </c>
      <c r="G488">
        <v>34750</v>
      </c>
    </row>
    <row r="490" spans="1:7" x14ac:dyDescent="0.25">
      <c r="A490" t="s">
        <v>6213</v>
      </c>
    </row>
    <row r="491" spans="1:7" x14ac:dyDescent="0.25">
      <c r="A491" t="s">
        <v>2723</v>
      </c>
      <c r="B491" t="s">
        <v>4394</v>
      </c>
      <c r="C491" t="s">
        <v>4428</v>
      </c>
      <c r="D491" t="s">
        <v>4429</v>
      </c>
      <c r="E491" t="s">
        <v>4430</v>
      </c>
      <c r="F491" t="s">
        <v>4431</v>
      </c>
      <c r="G491" t="s">
        <v>4432</v>
      </c>
    </row>
    <row r="492" spans="1:7" x14ac:dyDescent="0.25">
      <c r="A492" t="s">
        <v>4433</v>
      </c>
      <c r="B492">
        <v>4</v>
      </c>
      <c r="C492">
        <v>437.5</v>
      </c>
      <c r="D492">
        <v>300</v>
      </c>
      <c r="E492">
        <v>200</v>
      </c>
      <c r="F492">
        <v>800</v>
      </c>
      <c r="G492">
        <v>1750</v>
      </c>
    </row>
    <row r="493" spans="1:7" x14ac:dyDescent="0.25">
      <c r="A493" t="s">
        <v>4434</v>
      </c>
      <c r="B493">
        <v>49</v>
      </c>
      <c r="C493">
        <v>2177.5500000000002</v>
      </c>
      <c r="D493">
        <v>2400</v>
      </c>
      <c r="E493">
        <v>150</v>
      </c>
      <c r="F493">
        <v>6200</v>
      </c>
      <c r="G493">
        <v>106700</v>
      </c>
    </row>
    <row r="494" spans="1:7" x14ac:dyDescent="0.25">
      <c r="A494" t="s">
        <v>4435</v>
      </c>
      <c r="B494">
        <v>28</v>
      </c>
      <c r="C494">
        <v>307.14</v>
      </c>
      <c r="D494">
        <v>200</v>
      </c>
      <c r="E494">
        <v>50</v>
      </c>
      <c r="F494">
        <v>3000</v>
      </c>
      <c r="G494">
        <v>8600</v>
      </c>
    </row>
    <row r="495" spans="1:7" x14ac:dyDescent="0.25">
      <c r="A495" t="s">
        <v>4436</v>
      </c>
      <c r="B495">
        <v>21</v>
      </c>
      <c r="C495">
        <v>285.70999999999998</v>
      </c>
      <c r="D495">
        <v>300</v>
      </c>
      <c r="E495">
        <v>100</v>
      </c>
      <c r="F495">
        <v>650</v>
      </c>
      <c r="G495">
        <v>6000</v>
      </c>
    </row>
    <row r="497" spans="1:7" x14ac:dyDescent="0.25">
      <c r="A497" t="s">
        <v>6214</v>
      </c>
    </row>
    <row r="498" spans="1:7" x14ac:dyDescent="0.25">
      <c r="A498" t="s">
        <v>1013</v>
      </c>
      <c r="B498" t="s">
        <v>4394</v>
      </c>
      <c r="C498" t="s">
        <v>4428</v>
      </c>
      <c r="D498" t="s">
        <v>4429</v>
      </c>
      <c r="E498" t="s">
        <v>4430</v>
      </c>
      <c r="F498" t="s">
        <v>4431</v>
      </c>
      <c r="G498" t="s">
        <v>4432</v>
      </c>
    </row>
    <row r="499" spans="1:7" x14ac:dyDescent="0.25">
      <c r="A499" t="s">
        <v>1561</v>
      </c>
      <c r="B499">
        <v>3</v>
      </c>
      <c r="C499">
        <v>316.67</v>
      </c>
      <c r="D499">
        <v>300</v>
      </c>
      <c r="E499">
        <v>200</v>
      </c>
      <c r="F499">
        <v>450</v>
      </c>
      <c r="G499">
        <v>950</v>
      </c>
    </row>
    <row r="500" spans="1:7" x14ac:dyDescent="0.25">
      <c r="A500" t="s">
        <v>1460</v>
      </c>
      <c r="B500">
        <v>27</v>
      </c>
      <c r="C500">
        <v>2105.56</v>
      </c>
      <c r="D500">
        <v>2000</v>
      </c>
      <c r="E500">
        <v>150</v>
      </c>
      <c r="F500">
        <v>6200</v>
      </c>
      <c r="G500">
        <v>56850</v>
      </c>
    </row>
    <row r="501" spans="1:7" x14ac:dyDescent="0.25">
      <c r="A501" t="s">
        <v>1342</v>
      </c>
      <c r="B501">
        <v>25</v>
      </c>
      <c r="C501">
        <v>196</v>
      </c>
      <c r="D501">
        <v>150</v>
      </c>
      <c r="E501">
        <v>50</v>
      </c>
      <c r="F501">
        <v>500</v>
      </c>
      <c r="G501">
        <v>4900</v>
      </c>
    </row>
    <row r="502" spans="1:7" x14ac:dyDescent="0.25">
      <c r="A502" t="s">
        <v>1375</v>
      </c>
      <c r="B502">
        <v>32</v>
      </c>
      <c r="C502">
        <v>1754.69</v>
      </c>
      <c r="D502">
        <v>2000</v>
      </c>
      <c r="E502">
        <v>100</v>
      </c>
      <c r="F502">
        <v>3700</v>
      </c>
      <c r="G502">
        <v>56150</v>
      </c>
    </row>
    <row r="503" spans="1:7" x14ac:dyDescent="0.25">
      <c r="A503" t="s">
        <v>1401</v>
      </c>
      <c r="B503">
        <v>15</v>
      </c>
      <c r="C503">
        <v>280</v>
      </c>
      <c r="D503">
        <v>300</v>
      </c>
      <c r="E503">
        <v>100</v>
      </c>
      <c r="F503">
        <v>500</v>
      </c>
      <c r="G503">
        <v>4200</v>
      </c>
    </row>
    <row r="505" spans="1:7" x14ac:dyDescent="0.25">
      <c r="A505" t="s">
        <v>6215</v>
      </c>
    </row>
    <row r="506" spans="1:7" x14ac:dyDescent="0.25">
      <c r="A506" t="s">
        <v>903</v>
      </c>
      <c r="B506" t="s">
        <v>4394</v>
      </c>
      <c r="C506" t="s">
        <v>4428</v>
      </c>
      <c r="D506" t="s">
        <v>4429</v>
      </c>
      <c r="E506" t="s">
        <v>4430</v>
      </c>
      <c r="F506" t="s">
        <v>4431</v>
      </c>
      <c r="G506" t="s">
        <v>4432</v>
      </c>
    </row>
    <row r="507" spans="1:7" x14ac:dyDescent="0.25">
      <c r="A507" t="s">
        <v>70</v>
      </c>
      <c r="B507">
        <v>27</v>
      </c>
      <c r="C507">
        <v>840.74</v>
      </c>
      <c r="D507">
        <v>350</v>
      </c>
      <c r="E507">
        <v>100</v>
      </c>
      <c r="F507">
        <v>3200</v>
      </c>
      <c r="G507">
        <v>22700</v>
      </c>
    </row>
    <row r="508" spans="1:7" x14ac:dyDescent="0.25">
      <c r="A508" t="s">
        <v>71</v>
      </c>
      <c r="B508">
        <v>75</v>
      </c>
      <c r="C508">
        <v>1338</v>
      </c>
      <c r="D508">
        <v>900</v>
      </c>
      <c r="E508">
        <v>50</v>
      </c>
      <c r="F508">
        <v>6200</v>
      </c>
      <c r="G508">
        <v>100350</v>
      </c>
    </row>
    <row r="509" spans="1:7" x14ac:dyDescent="0.25">
      <c r="A509" t="s">
        <v>1296</v>
      </c>
      <c r="B509">
        <v>102</v>
      </c>
      <c r="C509">
        <v>1206.3699999999999</v>
      </c>
      <c r="D509">
        <v>500</v>
      </c>
      <c r="E509">
        <v>50</v>
      </c>
      <c r="F509">
        <v>6200</v>
      </c>
      <c r="G509">
        <v>123050</v>
      </c>
    </row>
    <row r="511" spans="1:7" x14ac:dyDescent="0.25">
      <c r="A511" t="s">
        <v>6216</v>
      </c>
    </row>
    <row r="512" spans="1:7" x14ac:dyDescent="0.25">
      <c r="A512" t="s">
        <v>2842</v>
      </c>
      <c r="B512" t="s">
        <v>4394</v>
      </c>
      <c r="C512" t="s">
        <v>4428</v>
      </c>
      <c r="D512" t="s">
        <v>4429</v>
      </c>
      <c r="E512" t="s">
        <v>4430</v>
      </c>
      <c r="F512" t="s">
        <v>4431</v>
      </c>
      <c r="G512" t="s">
        <v>4432</v>
      </c>
    </row>
    <row r="513" spans="1:7" x14ac:dyDescent="0.25">
      <c r="A513" t="s">
        <v>5549</v>
      </c>
      <c r="B513">
        <v>30</v>
      </c>
      <c r="C513">
        <v>2150</v>
      </c>
      <c r="D513">
        <v>2000</v>
      </c>
      <c r="E513">
        <v>900</v>
      </c>
      <c r="F513">
        <v>4500</v>
      </c>
      <c r="G513">
        <v>64500</v>
      </c>
    </row>
    <row r="514" spans="1:7" x14ac:dyDescent="0.25">
      <c r="A514" t="s">
        <v>1397</v>
      </c>
      <c r="B514">
        <v>19</v>
      </c>
      <c r="C514">
        <v>2300</v>
      </c>
      <c r="D514">
        <v>2100</v>
      </c>
      <c r="E514">
        <v>1000</v>
      </c>
      <c r="F514">
        <v>4400</v>
      </c>
      <c r="G514">
        <v>43700</v>
      </c>
    </row>
    <row r="516" spans="1:7" x14ac:dyDescent="0.25">
      <c r="A516" t="s">
        <v>6217</v>
      </c>
    </row>
    <row r="517" spans="1:7" x14ac:dyDescent="0.25">
      <c r="A517" t="s">
        <v>995</v>
      </c>
      <c r="B517" t="s">
        <v>4394</v>
      </c>
      <c r="C517" t="s">
        <v>4428</v>
      </c>
      <c r="D517" t="s">
        <v>4429</v>
      </c>
      <c r="E517" t="s">
        <v>4430</v>
      </c>
      <c r="F517" t="s">
        <v>4431</v>
      </c>
      <c r="G517" t="s">
        <v>4432</v>
      </c>
    </row>
    <row r="518" spans="1:7" x14ac:dyDescent="0.25">
      <c r="A518" t="s">
        <v>1338</v>
      </c>
      <c r="B518">
        <v>20</v>
      </c>
      <c r="C518">
        <v>1725</v>
      </c>
      <c r="D518">
        <v>1700</v>
      </c>
      <c r="E518">
        <v>900</v>
      </c>
      <c r="F518">
        <v>3000</v>
      </c>
      <c r="G518">
        <v>34500</v>
      </c>
    </row>
    <row r="519" spans="1:7" x14ac:dyDescent="0.25">
      <c r="A519" t="s">
        <v>1370</v>
      </c>
      <c r="B519">
        <v>4</v>
      </c>
      <c r="C519">
        <v>2975</v>
      </c>
      <c r="D519">
        <v>2300</v>
      </c>
      <c r="E519">
        <v>2200</v>
      </c>
      <c r="F519">
        <v>4400</v>
      </c>
      <c r="G519">
        <v>11900</v>
      </c>
    </row>
    <row r="520" spans="1:7" x14ac:dyDescent="0.25">
      <c r="A520" t="s">
        <v>1439</v>
      </c>
      <c r="B520">
        <v>2</v>
      </c>
      <c r="C520">
        <v>3850</v>
      </c>
      <c r="D520">
        <v>3200</v>
      </c>
      <c r="E520">
        <v>3200</v>
      </c>
      <c r="F520">
        <v>4500</v>
      </c>
      <c r="G520">
        <v>7700</v>
      </c>
    </row>
    <row r="521" spans="1:7" x14ac:dyDescent="0.25">
      <c r="A521" t="s">
        <v>1476</v>
      </c>
      <c r="B521">
        <v>3</v>
      </c>
      <c r="C521">
        <v>1666.67</v>
      </c>
      <c r="D521">
        <v>2000</v>
      </c>
      <c r="E521">
        <v>1000</v>
      </c>
      <c r="F521">
        <v>2000</v>
      </c>
      <c r="G521">
        <v>5000</v>
      </c>
    </row>
    <row r="522" spans="1:7" x14ac:dyDescent="0.25">
      <c r="A522" t="s">
        <v>1399</v>
      </c>
      <c r="B522">
        <v>11</v>
      </c>
      <c r="C522">
        <v>2445.4499999999998</v>
      </c>
      <c r="D522">
        <v>2500</v>
      </c>
      <c r="E522">
        <v>1500</v>
      </c>
      <c r="F522">
        <v>3500</v>
      </c>
      <c r="G522">
        <v>26900</v>
      </c>
    </row>
    <row r="523" spans="1:7" x14ac:dyDescent="0.25">
      <c r="A523" t="s">
        <v>1415</v>
      </c>
      <c r="B523">
        <v>9</v>
      </c>
      <c r="C523">
        <v>2466.67</v>
      </c>
      <c r="D523">
        <v>2500</v>
      </c>
      <c r="E523">
        <v>1200</v>
      </c>
      <c r="F523">
        <v>4000</v>
      </c>
      <c r="G523">
        <v>22200</v>
      </c>
    </row>
    <row r="525" spans="1:7" x14ac:dyDescent="0.25">
      <c r="A525" t="s">
        <v>6218</v>
      </c>
    </row>
    <row r="526" spans="1:7" x14ac:dyDescent="0.25">
      <c r="A526" t="s">
        <v>998</v>
      </c>
      <c r="B526" t="s">
        <v>4394</v>
      </c>
      <c r="C526" t="s">
        <v>4428</v>
      </c>
      <c r="D526" t="s">
        <v>4429</v>
      </c>
      <c r="E526" t="s">
        <v>4430</v>
      </c>
      <c r="F526" t="s">
        <v>4431</v>
      </c>
      <c r="G526" t="s">
        <v>4432</v>
      </c>
    </row>
    <row r="527" spans="1:7" x14ac:dyDescent="0.25">
      <c r="A527" t="s">
        <v>109</v>
      </c>
      <c r="B527">
        <v>42</v>
      </c>
      <c r="C527">
        <v>2019.05</v>
      </c>
      <c r="D527">
        <v>2000</v>
      </c>
      <c r="E527">
        <v>900</v>
      </c>
      <c r="F527">
        <v>3500</v>
      </c>
      <c r="G527">
        <v>84800</v>
      </c>
    </row>
    <row r="528" spans="1:7" x14ac:dyDescent="0.25">
      <c r="A528" t="s">
        <v>192</v>
      </c>
      <c r="B528">
        <v>7</v>
      </c>
      <c r="C528">
        <v>3342.86</v>
      </c>
      <c r="D528">
        <v>3200</v>
      </c>
      <c r="E528">
        <v>2000</v>
      </c>
      <c r="F528">
        <v>4500</v>
      </c>
      <c r="G528">
        <v>23400</v>
      </c>
    </row>
    <row r="530" spans="1:7" x14ac:dyDescent="0.25">
      <c r="A530" t="s">
        <v>6219</v>
      </c>
    </row>
    <row r="531" spans="1:7" x14ac:dyDescent="0.25">
      <c r="A531" t="s">
        <v>1006</v>
      </c>
      <c r="B531" t="s">
        <v>4394</v>
      </c>
      <c r="C531" t="s">
        <v>4428</v>
      </c>
      <c r="D531" t="s">
        <v>4429</v>
      </c>
      <c r="E531" t="s">
        <v>4430</v>
      </c>
      <c r="F531" t="s">
        <v>4431</v>
      </c>
      <c r="G531" t="s">
        <v>4432</v>
      </c>
    </row>
    <row r="532" spans="1:7" x14ac:dyDescent="0.25">
      <c r="A532" t="s">
        <v>1371</v>
      </c>
      <c r="B532">
        <v>8</v>
      </c>
      <c r="C532">
        <v>1862.5</v>
      </c>
      <c r="D532">
        <v>1700</v>
      </c>
      <c r="E532">
        <v>1200</v>
      </c>
      <c r="F532">
        <v>2500</v>
      </c>
      <c r="G532">
        <v>14900</v>
      </c>
    </row>
    <row r="533" spans="1:7" x14ac:dyDescent="0.25">
      <c r="A533" t="s">
        <v>1452</v>
      </c>
      <c r="B533">
        <v>6</v>
      </c>
      <c r="C533">
        <v>2316.67</v>
      </c>
      <c r="D533">
        <v>2500</v>
      </c>
      <c r="E533">
        <v>1200</v>
      </c>
      <c r="F533">
        <v>3000</v>
      </c>
      <c r="G533">
        <v>13900</v>
      </c>
    </row>
    <row r="534" spans="1:7" x14ac:dyDescent="0.25">
      <c r="A534" t="s">
        <v>5560</v>
      </c>
      <c r="B534">
        <v>5</v>
      </c>
      <c r="C534">
        <v>2400</v>
      </c>
      <c r="D534">
        <v>2000</v>
      </c>
      <c r="E534">
        <v>1000</v>
      </c>
      <c r="F534">
        <v>4000</v>
      </c>
      <c r="G534">
        <v>12000</v>
      </c>
    </row>
    <row r="535" spans="1:7" x14ac:dyDescent="0.25">
      <c r="A535" t="s">
        <v>1424</v>
      </c>
      <c r="B535">
        <v>16</v>
      </c>
      <c r="C535">
        <v>2231.25</v>
      </c>
      <c r="D535">
        <v>1700</v>
      </c>
      <c r="E535">
        <v>900</v>
      </c>
      <c r="F535">
        <v>4500</v>
      </c>
      <c r="G535">
        <v>35700</v>
      </c>
    </row>
    <row r="536" spans="1:7" x14ac:dyDescent="0.25">
      <c r="A536" t="s">
        <v>1340</v>
      </c>
      <c r="B536">
        <v>6</v>
      </c>
      <c r="C536">
        <v>2533.33</v>
      </c>
      <c r="D536">
        <v>2500</v>
      </c>
      <c r="E536">
        <v>1700</v>
      </c>
      <c r="F536">
        <v>3500</v>
      </c>
      <c r="G536">
        <v>15200</v>
      </c>
    </row>
    <row r="537" spans="1:7" x14ac:dyDescent="0.25">
      <c r="A537" t="s">
        <v>5561</v>
      </c>
      <c r="B537">
        <v>1</v>
      </c>
      <c r="C537">
        <v>1900</v>
      </c>
      <c r="D537">
        <v>1900</v>
      </c>
      <c r="E537">
        <v>1900</v>
      </c>
      <c r="F537">
        <v>1900</v>
      </c>
      <c r="G537">
        <v>1900</v>
      </c>
    </row>
    <row r="538" spans="1:7" x14ac:dyDescent="0.25">
      <c r="A538" t="s">
        <v>1416</v>
      </c>
      <c r="B538">
        <v>7</v>
      </c>
      <c r="C538">
        <v>2085.71</v>
      </c>
      <c r="D538">
        <v>2000</v>
      </c>
      <c r="E538">
        <v>1000</v>
      </c>
      <c r="F538">
        <v>3500</v>
      </c>
      <c r="G538">
        <v>14600</v>
      </c>
    </row>
    <row r="540" spans="1:7" x14ac:dyDescent="0.25">
      <c r="A540" t="s">
        <v>6220</v>
      </c>
    </row>
    <row r="541" spans="1:7" x14ac:dyDescent="0.25">
      <c r="A541" t="s">
        <v>2723</v>
      </c>
      <c r="B541" t="s">
        <v>4394</v>
      </c>
      <c r="C541" t="s">
        <v>4428</v>
      </c>
      <c r="D541" t="s">
        <v>4429</v>
      </c>
      <c r="E541" t="s">
        <v>4430</v>
      </c>
      <c r="F541" t="s">
        <v>4431</v>
      </c>
      <c r="G541" t="s">
        <v>4432</v>
      </c>
    </row>
    <row r="542" spans="1:7" x14ac:dyDescent="0.25">
      <c r="A542" t="s">
        <v>4435</v>
      </c>
      <c r="B542">
        <v>44</v>
      </c>
      <c r="C542">
        <v>2118.1799999999998</v>
      </c>
      <c r="D542">
        <v>2000</v>
      </c>
      <c r="E542">
        <v>900</v>
      </c>
      <c r="F542">
        <v>4500</v>
      </c>
      <c r="G542">
        <v>93200</v>
      </c>
    </row>
    <row r="543" spans="1:7" x14ac:dyDescent="0.25">
      <c r="A543" t="s">
        <v>4436</v>
      </c>
      <c r="B543">
        <v>5</v>
      </c>
      <c r="C543">
        <v>3000</v>
      </c>
      <c r="D543">
        <v>3000</v>
      </c>
      <c r="E543">
        <v>2000</v>
      </c>
      <c r="F543">
        <v>4000</v>
      </c>
      <c r="G543">
        <v>15000</v>
      </c>
    </row>
    <row r="545" spans="1:7" x14ac:dyDescent="0.25">
      <c r="A545" t="s">
        <v>6221</v>
      </c>
    </row>
    <row r="546" spans="1:7" x14ac:dyDescent="0.25">
      <c r="A546" t="s">
        <v>1013</v>
      </c>
      <c r="B546" t="s">
        <v>4394</v>
      </c>
      <c r="C546" t="s">
        <v>4428</v>
      </c>
      <c r="D546" t="s">
        <v>4429</v>
      </c>
      <c r="E546" t="s">
        <v>4430</v>
      </c>
      <c r="F546" t="s">
        <v>4431</v>
      </c>
      <c r="G546" t="s">
        <v>4432</v>
      </c>
    </row>
    <row r="547" spans="1:7" x14ac:dyDescent="0.25">
      <c r="A547" t="s">
        <v>1342</v>
      </c>
      <c r="B547">
        <v>42</v>
      </c>
      <c r="C547">
        <v>2007.14</v>
      </c>
      <c r="D547">
        <v>2000</v>
      </c>
      <c r="E547">
        <v>900</v>
      </c>
      <c r="F547">
        <v>3500</v>
      </c>
      <c r="G547">
        <v>84300</v>
      </c>
    </row>
    <row r="548" spans="1:7" x14ac:dyDescent="0.25">
      <c r="A548" t="s">
        <v>1375</v>
      </c>
      <c r="B548">
        <v>2</v>
      </c>
      <c r="C548">
        <v>4450</v>
      </c>
      <c r="D548">
        <v>4400</v>
      </c>
      <c r="E548">
        <v>4400</v>
      </c>
      <c r="F548">
        <v>4500</v>
      </c>
      <c r="G548">
        <v>8900</v>
      </c>
    </row>
    <row r="549" spans="1:7" x14ac:dyDescent="0.25">
      <c r="A549" t="s">
        <v>1401</v>
      </c>
      <c r="B549">
        <v>5</v>
      </c>
      <c r="C549">
        <v>3000</v>
      </c>
      <c r="D549">
        <v>3000</v>
      </c>
      <c r="E549">
        <v>2000</v>
      </c>
      <c r="F549">
        <v>4000</v>
      </c>
      <c r="G549">
        <v>15000</v>
      </c>
    </row>
    <row r="551" spans="1:7" x14ac:dyDescent="0.25">
      <c r="A551" t="s">
        <v>6222</v>
      </c>
    </row>
    <row r="552" spans="1:7" x14ac:dyDescent="0.25">
      <c r="A552" t="s">
        <v>903</v>
      </c>
      <c r="B552" t="s">
        <v>4394</v>
      </c>
      <c r="C552" t="s">
        <v>4428</v>
      </c>
      <c r="D552" t="s">
        <v>4429</v>
      </c>
      <c r="E552" t="s">
        <v>4430</v>
      </c>
      <c r="F552" t="s">
        <v>4431</v>
      </c>
      <c r="G552" t="s">
        <v>4432</v>
      </c>
    </row>
    <row r="553" spans="1:7" x14ac:dyDescent="0.25">
      <c r="A553" t="s">
        <v>70</v>
      </c>
      <c r="B553">
        <v>4</v>
      </c>
      <c r="C553">
        <v>2750</v>
      </c>
      <c r="D553">
        <v>3000</v>
      </c>
      <c r="E553">
        <v>2000</v>
      </c>
      <c r="F553">
        <v>3000</v>
      </c>
      <c r="G553">
        <v>11000</v>
      </c>
    </row>
    <row r="554" spans="1:7" x14ac:dyDescent="0.25">
      <c r="A554" t="s">
        <v>71</v>
      </c>
      <c r="B554">
        <v>45</v>
      </c>
      <c r="C554">
        <v>2160</v>
      </c>
      <c r="D554">
        <v>2000</v>
      </c>
      <c r="E554">
        <v>900</v>
      </c>
      <c r="F554">
        <v>4500</v>
      </c>
      <c r="G554">
        <v>97200</v>
      </c>
    </row>
    <row r="555" spans="1:7" x14ac:dyDescent="0.25">
      <c r="A555" t="s">
        <v>1296</v>
      </c>
      <c r="B555">
        <v>49</v>
      </c>
      <c r="C555">
        <v>2208.16</v>
      </c>
      <c r="D555">
        <v>2100</v>
      </c>
      <c r="E555">
        <v>900</v>
      </c>
      <c r="F555">
        <v>4500</v>
      </c>
      <c r="G555">
        <v>108200</v>
      </c>
    </row>
    <row r="557" spans="1:7" x14ac:dyDescent="0.25">
      <c r="A557" t="s">
        <v>6223</v>
      </c>
    </row>
    <row r="558" spans="1:7" x14ac:dyDescent="0.25">
      <c r="A558" t="s">
        <v>2842</v>
      </c>
      <c r="B558" t="s">
        <v>4394</v>
      </c>
      <c r="C558" t="s">
        <v>4428</v>
      </c>
      <c r="D558" t="s">
        <v>4429</v>
      </c>
      <c r="E558" t="s">
        <v>4430</v>
      </c>
      <c r="F558" t="s">
        <v>4431</v>
      </c>
      <c r="G558" t="s">
        <v>4432</v>
      </c>
    </row>
    <row r="559" spans="1:7" x14ac:dyDescent="0.25">
      <c r="A559" t="s">
        <v>5549</v>
      </c>
      <c r="B559">
        <v>32</v>
      </c>
      <c r="C559">
        <v>2225</v>
      </c>
      <c r="D559">
        <v>1500</v>
      </c>
      <c r="E559">
        <v>700</v>
      </c>
      <c r="F559">
        <v>12000</v>
      </c>
      <c r="G559">
        <v>71200</v>
      </c>
    </row>
    <row r="560" spans="1:7" x14ac:dyDescent="0.25">
      <c r="A560" t="s">
        <v>1397</v>
      </c>
      <c r="B560">
        <v>22</v>
      </c>
      <c r="C560">
        <v>2550</v>
      </c>
      <c r="D560">
        <v>1800</v>
      </c>
      <c r="E560">
        <v>500</v>
      </c>
      <c r="F560">
        <v>10000</v>
      </c>
      <c r="G560">
        <v>56100</v>
      </c>
    </row>
    <row r="562" spans="1:7" x14ac:dyDescent="0.25">
      <c r="A562" t="s">
        <v>6224</v>
      </c>
    </row>
    <row r="563" spans="1:7" x14ac:dyDescent="0.25">
      <c r="A563" t="s">
        <v>992</v>
      </c>
      <c r="B563" t="s">
        <v>4394</v>
      </c>
      <c r="C563" t="s">
        <v>4428</v>
      </c>
      <c r="D563" t="s">
        <v>4429</v>
      </c>
      <c r="E563" t="s">
        <v>4430</v>
      </c>
      <c r="F563" t="s">
        <v>4431</v>
      </c>
      <c r="G563" t="s">
        <v>4432</v>
      </c>
    </row>
    <row r="564" spans="1:7" x14ac:dyDescent="0.25">
      <c r="A564" t="s">
        <v>4844</v>
      </c>
      <c r="B564">
        <v>13</v>
      </c>
      <c r="C564">
        <v>1630.77</v>
      </c>
      <c r="D564">
        <v>1000</v>
      </c>
      <c r="E564">
        <v>500</v>
      </c>
      <c r="F564">
        <v>8500</v>
      </c>
      <c r="G564">
        <v>21200</v>
      </c>
    </row>
    <row r="565" spans="1:7" x14ac:dyDescent="0.25">
      <c r="A565" t="s">
        <v>4845</v>
      </c>
      <c r="B565">
        <v>39</v>
      </c>
      <c r="C565">
        <v>2425.64</v>
      </c>
      <c r="D565">
        <v>1900</v>
      </c>
      <c r="E565">
        <v>800</v>
      </c>
      <c r="F565">
        <v>12000</v>
      </c>
      <c r="G565">
        <v>94600</v>
      </c>
    </row>
    <row r="566" spans="1:7" x14ac:dyDescent="0.25">
      <c r="A566" t="s">
        <v>4846</v>
      </c>
      <c r="B566">
        <v>2</v>
      </c>
      <c r="C566">
        <v>5750</v>
      </c>
      <c r="D566">
        <v>1500</v>
      </c>
      <c r="E566">
        <v>1500</v>
      </c>
      <c r="F566">
        <v>10000</v>
      </c>
      <c r="G566">
        <v>11500</v>
      </c>
    </row>
    <row r="568" spans="1:7" x14ac:dyDescent="0.25">
      <c r="A568" t="s">
        <v>6225</v>
      </c>
    </row>
    <row r="569" spans="1:7" x14ac:dyDescent="0.25">
      <c r="A569" t="s">
        <v>995</v>
      </c>
      <c r="B569" t="s">
        <v>4394</v>
      </c>
      <c r="C569" t="s">
        <v>4428</v>
      </c>
      <c r="D569" t="s">
        <v>4429</v>
      </c>
      <c r="E569" t="s">
        <v>4430</v>
      </c>
      <c r="F569" t="s">
        <v>4431</v>
      </c>
      <c r="G569" t="s">
        <v>4432</v>
      </c>
    </row>
    <row r="570" spans="1:7" x14ac:dyDescent="0.25">
      <c r="A570" t="s">
        <v>1338</v>
      </c>
      <c r="B570">
        <v>22</v>
      </c>
      <c r="C570">
        <v>1650</v>
      </c>
      <c r="D570">
        <v>1300</v>
      </c>
      <c r="E570">
        <v>700</v>
      </c>
      <c r="F570">
        <v>8500</v>
      </c>
      <c r="G570">
        <v>36300</v>
      </c>
    </row>
    <row r="571" spans="1:7" x14ac:dyDescent="0.25">
      <c r="A571" t="s">
        <v>1370</v>
      </c>
      <c r="B571">
        <v>4</v>
      </c>
      <c r="C571">
        <v>2625</v>
      </c>
      <c r="D571">
        <v>2300</v>
      </c>
      <c r="E571">
        <v>1700</v>
      </c>
      <c r="F571">
        <v>4000</v>
      </c>
      <c r="G571">
        <v>10500</v>
      </c>
    </row>
    <row r="572" spans="1:7" x14ac:dyDescent="0.25">
      <c r="A572" t="s">
        <v>1439</v>
      </c>
      <c r="B572">
        <v>2</v>
      </c>
      <c r="C572">
        <v>3300</v>
      </c>
      <c r="D572">
        <v>2600</v>
      </c>
      <c r="E572">
        <v>2600</v>
      </c>
      <c r="F572">
        <v>4000</v>
      </c>
      <c r="G572">
        <v>6600</v>
      </c>
    </row>
    <row r="573" spans="1:7" x14ac:dyDescent="0.25">
      <c r="A573" t="s">
        <v>1476</v>
      </c>
      <c r="B573">
        <v>3</v>
      </c>
      <c r="C573">
        <v>1300</v>
      </c>
      <c r="D573">
        <v>1500</v>
      </c>
      <c r="E573">
        <v>500</v>
      </c>
      <c r="F573">
        <v>1900</v>
      </c>
      <c r="G573">
        <v>3900</v>
      </c>
    </row>
    <row r="574" spans="1:7" x14ac:dyDescent="0.25">
      <c r="A574" t="s">
        <v>5476</v>
      </c>
      <c r="B574">
        <v>1</v>
      </c>
      <c r="C574">
        <v>1000</v>
      </c>
      <c r="D574">
        <v>1000</v>
      </c>
      <c r="E574">
        <v>1000</v>
      </c>
      <c r="F574">
        <v>1000</v>
      </c>
      <c r="G574">
        <v>1000</v>
      </c>
    </row>
    <row r="575" spans="1:7" x14ac:dyDescent="0.25">
      <c r="A575" t="s">
        <v>1399</v>
      </c>
      <c r="B575">
        <v>12</v>
      </c>
      <c r="C575">
        <v>2841.67</v>
      </c>
      <c r="D575">
        <v>2000</v>
      </c>
      <c r="E575">
        <v>1400</v>
      </c>
      <c r="F575">
        <v>12000</v>
      </c>
      <c r="G575">
        <v>34100</v>
      </c>
    </row>
    <row r="576" spans="1:7" x14ac:dyDescent="0.25">
      <c r="A576" t="s">
        <v>1415</v>
      </c>
      <c r="B576">
        <v>10</v>
      </c>
      <c r="C576">
        <v>3490</v>
      </c>
      <c r="D576">
        <v>1500</v>
      </c>
      <c r="E576">
        <v>800</v>
      </c>
      <c r="F576">
        <v>11500</v>
      </c>
      <c r="G576">
        <v>34900</v>
      </c>
    </row>
    <row r="578" spans="1:7" x14ac:dyDescent="0.25">
      <c r="A578" t="s">
        <v>6226</v>
      </c>
    </row>
    <row r="579" spans="1:7" x14ac:dyDescent="0.25">
      <c r="A579" t="s">
        <v>998</v>
      </c>
      <c r="B579" t="s">
        <v>4394</v>
      </c>
      <c r="C579" t="s">
        <v>4428</v>
      </c>
      <c r="D579" t="s">
        <v>4429</v>
      </c>
      <c r="E579" t="s">
        <v>4430</v>
      </c>
      <c r="F579" t="s">
        <v>4431</v>
      </c>
      <c r="G579" t="s">
        <v>4432</v>
      </c>
    </row>
    <row r="580" spans="1:7" x14ac:dyDescent="0.25">
      <c r="A580" t="s">
        <v>109</v>
      </c>
      <c r="B580">
        <v>47</v>
      </c>
      <c r="C580">
        <v>2276.6</v>
      </c>
      <c r="D580">
        <v>1500</v>
      </c>
      <c r="E580">
        <v>500</v>
      </c>
      <c r="F580">
        <v>12000</v>
      </c>
      <c r="G580">
        <v>107000</v>
      </c>
    </row>
    <row r="581" spans="1:7" x14ac:dyDescent="0.25">
      <c r="A581" t="s">
        <v>192</v>
      </c>
      <c r="B581">
        <v>7</v>
      </c>
      <c r="C581">
        <v>2900</v>
      </c>
      <c r="D581">
        <v>2600</v>
      </c>
      <c r="E581">
        <v>1900</v>
      </c>
      <c r="F581">
        <v>4000</v>
      </c>
      <c r="G581">
        <v>20300</v>
      </c>
    </row>
    <row r="583" spans="1:7" x14ac:dyDescent="0.25">
      <c r="A583" t="s">
        <v>6227</v>
      </c>
    </row>
    <row r="584" spans="1:7" x14ac:dyDescent="0.25">
      <c r="A584" t="s">
        <v>1006</v>
      </c>
      <c r="B584" t="s">
        <v>4394</v>
      </c>
      <c r="C584" t="s">
        <v>4428</v>
      </c>
      <c r="D584" t="s">
        <v>4429</v>
      </c>
      <c r="E584" t="s">
        <v>4430</v>
      </c>
      <c r="F584" t="s">
        <v>4431</v>
      </c>
      <c r="G584" t="s">
        <v>4432</v>
      </c>
    </row>
    <row r="585" spans="1:7" x14ac:dyDescent="0.25">
      <c r="A585" t="s">
        <v>1371</v>
      </c>
      <c r="B585">
        <v>10</v>
      </c>
      <c r="C585">
        <v>3400</v>
      </c>
      <c r="D585">
        <v>1600</v>
      </c>
      <c r="E585">
        <v>800</v>
      </c>
      <c r="F585">
        <v>11500</v>
      </c>
      <c r="G585">
        <v>34000</v>
      </c>
    </row>
    <row r="586" spans="1:7" x14ac:dyDescent="0.25">
      <c r="A586" t="s">
        <v>1452</v>
      </c>
      <c r="B586">
        <v>5</v>
      </c>
      <c r="C586">
        <v>1560</v>
      </c>
      <c r="D586">
        <v>1500</v>
      </c>
      <c r="E586">
        <v>800</v>
      </c>
      <c r="F586">
        <v>2500</v>
      </c>
      <c r="G586">
        <v>7800</v>
      </c>
    </row>
    <row r="587" spans="1:7" x14ac:dyDescent="0.25">
      <c r="A587" t="s">
        <v>5560</v>
      </c>
      <c r="B587">
        <v>6</v>
      </c>
      <c r="C587">
        <v>3066.67</v>
      </c>
      <c r="D587">
        <v>1900</v>
      </c>
      <c r="E587">
        <v>500</v>
      </c>
      <c r="F587">
        <v>8500</v>
      </c>
      <c r="G587">
        <v>18400</v>
      </c>
    </row>
    <row r="588" spans="1:7" x14ac:dyDescent="0.25">
      <c r="A588" t="s">
        <v>1424</v>
      </c>
      <c r="B588">
        <v>17</v>
      </c>
      <c r="C588">
        <v>1835.29</v>
      </c>
      <c r="D588">
        <v>1500</v>
      </c>
      <c r="E588">
        <v>700</v>
      </c>
      <c r="F588">
        <v>4000</v>
      </c>
      <c r="G588">
        <v>31200</v>
      </c>
    </row>
    <row r="589" spans="1:7" x14ac:dyDescent="0.25">
      <c r="A589" t="s">
        <v>1340</v>
      </c>
      <c r="B589">
        <v>6</v>
      </c>
      <c r="C589">
        <v>1866.67</v>
      </c>
      <c r="D589">
        <v>1700</v>
      </c>
      <c r="E589">
        <v>800</v>
      </c>
      <c r="F589">
        <v>2800</v>
      </c>
      <c r="G589">
        <v>11200</v>
      </c>
    </row>
    <row r="590" spans="1:7" x14ac:dyDescent="0.25">
      <c r="A590" t="s">
        <v>5561</v>
      </c>
      <c r="B590">
        <v>1</v>
      </c>
      <c r="C590">
        <v>1400</v>
      </c>
      <c r="D590">
        <v>1400</v>
      </c>
      <c r="E590">
        <v>1400</v>
      </c>
      <c r="F590">
        <v>1400</v>
      </c>
      <c r="G590">
        <v>1400</v>
      </c>
    </row>
    <row r="591" spans="1:7" x14ac:dyDescent="0.25">
      <c r="A591" t="s">
        <v>1416</v>
      </c>
      <c r="B591">
        <v>9</v>
      </c>
      <c r="C591">
        <v>2588.89</v>
      </c>
      <c r="D591">
        <v>1500</v>
      </c>
      <c r="E591">
        <v>700</v>
      </c>
      <c r="F591">
        <v>12000</v>
      </c>
      <c r="G591">
        <v>23300</v>
      </c>
    </row>
    <row r="593" spans="1:7" x14ac:dyDescent="0.25">
      <c r="A593" t="s">
        <v>6228</v>
      </c>
    </row>
    <row r="594" spans="1:7" x14ac:dyDescent="0.25">
      <c r="A594" t="s">
        <v>2723</v>
      </c>
      <c r="B594" t="s">
        <v>4394</v>
      </c>
      <c r="C594" t="s">
        <v>4428</v>
      </c>
      <c r="D594" t="s">
        <v>4429</v>
      </c>
      <c r="E594" t="s">
        <v>4430</v>
      </c>
      <c r="F594" t="s">
        <v>4431</v>
      </c>
      <c r="G594" t="s">
        <v>4432</v>
      </c>
    </row>
    <row r="595" spans="1:7" x14ac:dyDescent="0.25">
      <c r="A595" t="s">
        <v>4435</v>
      </c>
      <c r="B595">
        <v>45</v>
      </c>
      <c r="C595">
        <v>1617.78</v>
      </c>
      <c r="D595">
        <v>1500</v>
      </c>
      <c r="E595">
        <v>500</v>
      </c>
      <c r="F595">
        <v>4000</v>
      </c>
      <c r="G595">
        <v>72800</v>
      </c>
    </row>
    <row r="596" spans="1:7" x14ac:dyDescent="0.25">
      <c r="A596" t="s">
        <v>4436</v>
      </c>
      <c r="B596">
        <v>9</v>
      </c>
      <c r="C596">
        <v>6055.56</v>
      </c>
      <c r="D596">
        <v>3000</v>
      </c>
      <c r="E596">
        <v>2000</v>
      </c>
      <c r="F596">
        <v>12000</v>
      </c>
      <c r="G596">
        <v>54500</v>
      </c>
    </row>
    <row r="598" spans="1:7" x14ac:dyDescent="0.25">
      <c r="A598" t="s">
        <v>6229</v>
      </c>
    </row>
    <row r="599" spans="1:7" x14ac:dyDescent="0.25">
      <c r="A599" t="s">
        <v>1013</v>
      </c>
      <c r="B599" t="s">
        <v>4394</v>
      </c>
      <c r="C599" t="s">
        <v>4428</v>
      </c>
      <c r="D599" t="s">
        <v>4429</v>
      </c>
      <c r="E599" t="s">
        <v>4430</v>
      </c>
      <c r="F599" t="s">
        <v>4431</v>
      </c>
      <c r="G599" t="s">
        <v>4432</v>
      </c>
    </row>
    <row r="600" spans="1:7" x14ac:dyDescent="0.25">
      <c r="A600" t="s">
        <v>1342</v>
      </c>
      <c r="B600">
        <v>42</v>
      </c>
      <c r="C600">
        <v>1519.05</v>
      </c>
      <c r="D600">
        <v>1500</v>
      </c>
      <c r="E600">
        <v>500</v>
      </c>
      <c r="F600">
        <v>3000</v>
      </c>
      <c r="G600">
        <v>63800</v>
      </c>
    </row>
    <row r="601" spans="1:7" x14ac:dyDescent="0.25">
      <c r="A601" t="s">
        <v>1375</v>
      </c>
      <c r="B601">
        <v>6</v>
      </c>
      <c r="C601">
        <v>5166.67</v>
      </c>
      <c r="D601">
        <v>4000</v>
      </c>
      <c r="E601">
        <v>1000</v>
      </c>
      <c r="F601">
        <v>11500</v>
      </c>
      <c r="G601">
        <v>31000</v>
      </c>
    </row>
    <row r="602" spans="1:7" x14ac:dyDescent="0.25">
      <c r="A602" t="s">
        <v>1401</v>
      </c>
      <c r="B602">
        <v>6</v>
      </c>
      <c r="C602">
        <v>5416.67</v>
      </c>
      <c r="D602">
        <v>3000</v>
      </c>
      <c r="E602">
        <v>2000</v>
      </c>
      <c r="F602">
        <v>12000</v>
      </c>
      <c r="G602">
        <v>32500</v>
      </c>
    </row>
    <row r="604" spans="1:7" x14ac:dyDescent="0.25">
      <c r="A604" t="s">
        <v>6230</v>
      </c>
    </row>
    <row r="605" spans="1:7" x14ac:dyDescent="0.25">
      <c r="A605" t="s">
        <v>903</v>
      </c>
      <c r="B605" t="s">
        <v>4394</v>
      </c>
      <c r="C605" t="s">
        <v>4428</v>
      </c>
      <c r="D605" t="s">
        <v>4429</v>
      </c>
      <c r="E605" t="s">
        <v>4430</v>
      </c>
      <c r="F605" t="s">
        <v>4431</v>
      </c>
      <c r="G605" t="s">
        <v>4432</v>
      </c>
    </row>
    <row r="606" spans="1:7" x14ac:dyDescent="0.25">
      <c r="A606" t="s">
        <v>70</v>
      </c>
      <c r="B606">
        <v>7</v>
      </c>
      <c r="C606">
        <v>5785.71</v>
      </c>
      <c r="D606">
        <v>3000</v>
      </c>
      <c r="E606">
        <v>1000</v>
      </c>
      <c r="F606">
        <v>12000</v>
      </c>
      <c r="G606">
        <v>40500</v>
      </c>
    </row>
    <row r="607" spans="1:7" x14ac:dyDescent="0.25">
      <c r="A607" t="s">
        <v>71</v>
      </c>
      <c r="B607">
        <v>47</v>
      </c>
      <c r="C607">
        <v>1846.81</v>
      </c>
      <c r="D607">
        <v>1500</v>
      </c>
      <c r="E607">
        <v>500</v>
      </c>
      <c r="F607">
        <v>10000</v>
      </c>
      <c r="G607">
        <v>86800</v>
      </c>
    </row>
    <row r="608" spans="1:7" x14ac:dyDescent="0.25">
      <c r="A608" t="s">
        <v>1296</v>
      </c>
      <c r="B608">
        <v>54</v>
      </c>
      <c r="C608">
        <v>2357.41</v>
      </c>
      <c r="D608">
        <v>1500</v>
      </c>
      <c r="E608">
        <v>500</v>
      </c>
      <c r="F608">
        <v>12000</v>
      </c>
      <c r="G608">
        <v>127300</v>
      </c>
    </row>
    <row r="610" spans="1:6" x14ac:dyDescent="0.25">
      <c r="A610" t="s">
        <v>6231</v>
      </c>
    </row>
    <row r="611" spans="1:6" x14ac:dyDescent="0.25">
      <c r="A611" t="s">
        <v>2842</v>
      </c>
      <c r="B611" t="s">
        <v>4394</v>
      </c>
      <c r="C611" t="s">
        <v>4732</v>
      </c>
      <c r="D611" t="s">
        <v>109</v>
      </c>
      <c r="E611" t="s">
        <v>4962</v>
      </c>
      <c r="F611" t="s">
        <v>4963</v>
      </c>
    </row>
    <row r="612" spans="1:6" x14ac:dyDescent="0.25">
      <c r="A612" t="s">
        <v>5549</v>
      </c>
      <c r="B612">
        <v>83</v>
      </c>
      <c r="C612" t="s">
        <v>4406</v>
      </c>
      <c r="D612" t="s">
        <v>4406</v>
      </c>
      <c r="E612" t="s">
        <v>5428</v>
      </c>
      <c r="F612" t="s">
        <v>4559</v>
      </c>
    </row>
    <row r="613" spans="1:6" x14ac:dyDescent="0.25">
      <c r="A613" t="s">
        <v>1397</v>
      </c>
      <c r="B613">
        <v>55</v>
      </c>
      <c r="C613" t="s">
        <v>4905</v>
      </c>
      <c r="D613" t="s">
        <v>4599</v>
      </c>
      <c r="E613" t="s">
        <v>5134</v>
      </c>
      <c r="F613" t="s">
        <v>4852</v>
      </c>
    </row>
    <row r="614" spans="1:6" x14ac:dyDescent="0.25">
      <c r="A614" t="s">
        <v>1296</v>
      </c>
      <c r="B614">
        <v>138</v>
      </c>
      <c r="C614" t="s">
        <v>4410</v>
      </c>
      <c r="D614" t="s">
        <v>4627</v>
      </c>
      <c r="E614" t="s">
        <v>4923</v>
      </c>
      <c r="F614" t="s">
        <v>4666</v>
      </c>
    </row>
    <row r="616" spans="1:6" x14ac:dyDescent="0.25">
      <c r="A616" t="s">
        <v>6232</v>
      </c>
    </row>
    <row r="617" spans="1:6" x14ac:dyDescent="0.25">
      <c r="A617" t="s">
        <v>995</v>
      </c>
      <c r="B617" t="s">
        <v>4394</v>
      </c>
      <c r="C617" t="s">
        <v>4732</v>
      </c>
      <c r="D617" t="s">
        <v>109</v>
      </c>
      <c r="E617" t="s">
        <v>4962</v>
      </c>
      <c r="F617" t="s">
        <v>4963</v>
      </c>
    </row>
    <row r="618" spans="1:6" x14ac:dyDescent="0.25">
      <c r="A618" t="s">
        <v>1338</v>
      </c>
      <c r="B618">
        <v>43</v>
      </c>
      <c r="C618">
        <v>0</v>
      </c>
      <c r="D618">
        <v>3</v>
      </c>
      <c r="E618">
        <v>38</v>
      </c>
      <c r="F618">
        <v>2</v>
      </c>
    </row>
    <row r="619" spans="1:6" x14ac:dyDescent="0.25">
      <c r="A619" t="s">
        <v>1370</v>
      </c>
      <c r="B619">
        <v>10</v>
      </c>
      <c r="C619">
        <v>1</v>
      </c>
      <c r="D619">
        <v>1</v>
      </c>
      <c r="E619">
        <v>6</v>
      </c>
      <c r="F619">
        <v>2</v>
      </c>
    </row>
    <row r="620" spans="1:6" x14ac:dyDescent="0.25">
      <c r="A620" t="s">
        <v>1439</v>
      </c>
      <c r="B620">
        <v>7</v>
      </c>
      <c r="C620">
        <v>0</v>
      </c>
      <c r="D620">
        <v>0</v>
      </c>
      <c r="E620">
        <v>5</v>
      </c>
      <c r="F620">
        <v>2</v>
      </c>
    </row>
    <row r="621" spans="1:6" x14ac:dyDescent="0.25">
      <c r="A621" t="s">
        <v>1476</v>
      </c>
      <c r="B621">
        <v>5</v>
      </c>
      <c r="C621">
        <v>0</v>
      </c>
      <c r="D621">
        <v>1</v>
      </c>
      <c r="E621">
        <v>4</v>
      </c>
      <c r="F621">
        <v>0</v>
      </c>
    </row>
    <row r="622" spans="1:6" x14ac:dyDescent="0.25">
      <c r="A622" t="s">
        <v>5476</v>
      </c>
      <c r="B622">
        <v>2</v>
      </c>
      <c r="C622">
        <v>0</v>
      </c>
      <c r="D622">
        <v>1</v>
      </c>
      <c r="E622">
        <v>1</v>
      </c>
      <c r="F622">
        <v>0</v>
      </c>
    </row>
    <row r="623" spans="1:6" x14ac:dyDescent="0.25">
      <c r="A623" t="s">
        <v>1399</v>
      </c>
      <c r="B623">
        <v>23</v>
      </c>
      <c r="C623">
        <v>0</v>
      </c>
      <c r="D623">
        <v>0</v>
      </c>
      <c r="E623">
        <v>20</v>
      </c>
      <c r="F623">
        <v>3</v>
      </c>
    </row>
    <row r="624" spans="1:6" x14ac:dyDescent="0.25">
      <c r="A624" t="s">
        <v>1415</v>
      </c>
      <c r="B624">
        <v>48</v>
      </c>
      <c r="C624">
        <v>0</v>
      </c>
      <c r="D624">
        <v>1</v>
      </c>
      <c r="E624">
        <v>46</v>
      </c>
      <c r="F624">
        <v>1</v>
      </c>
    </row>
    <row r="625" spans="1:6" x14ac:dyDescent="0.25">
      <c r="A625" t="s">
        <v>1296</v>
      </c>
      <c r="B625">
        <v>138</v>
      </c>
      <c r="C625">
        <v>1</v>
      </c>
      <c r="D625">
        <v>7</v>
      </c>
      <c r="E625">
        <v>120</v>
      </c>
      <c r="F625">
        <v>10</v>
      </c>
    </row>
    <row r="627" spans="1:6" x14ac:dyDescent="0.25">
      <c r="A627" t="s">
        <v>6233</v>
      </c>
    </row>
    <row r="628" spans="1:6" x14ac:dyDescent="0.25">
      <c r="A628" t="s">
        <v>998</v>
      </c>
      <c r="B628" t="s">
        <v>4394</v>
      </c>
      <c r="C628" t="s">
        <v>4732</v>
      </c>
      <c r="D628" t="s">
        <v>109</v>
      </c>
      <c r="E628" t="s">
        <v>4962</v>
      </c>
      <c r="F628" t="s">
        <v>4963</v>
      </c>
    </row>
    <row r="629" spans="1:6" x14ac:dyDescent="0.25">
      <c r="A629" t="s">
        <v>109</v>
      </c>
      <c r="B629">
        <v>125</v>
      </c>
      <c r="C629" t="s">
        <v>4406</v>
      </c>
      <c r="D629" t="s">
        <v>4571</v>
      </c>
      <c r="E629" t="s">
        <v>5516</v>
      </c>
      <c r="F629" t="s">
        <v>4571</v>
      </c>
    </row>
    <row r="630" spans="1:6" x14ac:dyDescent="0.25">
      <c r="A630" t="s">
        <v>192</v>
      </c>
      <c r="B630">
        <v>13</v>
      </c>
      <c r="C630" t="s">
        <v>4705</v>
      </c>
      <c r="D630" t="s">
        <v>4406</v>
      </c>
      <c r="E630" t="s">
        <v>5419</v>
      </c>
      <c r="F630" t="s">
        <v>4566</v>
      </c>
    </row>
    <row r="631" spans="1:6" x14ac:dyDescent="0.25">
      <c r="A631" t="s">
        <v>1296</v>
      </c>
      <c r="B631">
        <v>138</v>
      </c>
      <c r="C631" t="s">
        <v>4410</v>
      </c>
      <c r="D631" t="s">
        <v>4627</v>
      </c>
      <c r="E631" t="s">
        <v>4923</v>
      </c>
      <c r="F631" t="s">
        <v>4666</v>
      </c>
    </row>
    <row r="633" spans="1:6" x14ac:dyDescent="0.25">
      <c r="A633" t="s">
        <v>6234</v>
      </c>
    </row>
    <row r="634" spans="1:6" x14ac:dyDescent="0.25">
      <c r="A634" t="s">
        <v>1006</v>
      </c>
      <c r="B634" t="s">
        <v>4394</v>
      </c>
      <c r="C634" t="s">
        <v>4732</v>
      </c>
      <c r="D634" t="s">
        <v>109</v>
      </c>
      <c r="E634" t="s">
        <v>4962</v>
      </c>
      <c r="F634" t="s">
        <v>4963</v>
      </c>
    </row>
    <row r="635" spans="1:6" x14ac:dyDescent="0.25">
      <c r="A635" t="s">
        <v>1371</v>
      </c>
      <c r="B635">
        <v>26</v>
      </c>
      <c r="C635">
        <v>0</v>
      </c>
      <c r="D635">
        <v>0</v>
      </c>
      <c r="E635">
        <v>24</v>
      </c>
      <c r="F635">
        <v>2</v>
      </c>
    </row>
    <row r="636" spans="1:6" x14ac:dyDescent="0.25">
      <c r="A636" t="s">
        <v>1452</v>
      </c>
      <c r="B636">
        <v>17</v>
      </c>
      <c r="C636">
        <v>0</v>
      </c>
      <c r="D636">
        <v>0</v>
      </c>
      <c r="E636">
        <v>17</v>
      </c>
      <c r="F636">
        <v>0</v>
      </c>
    </row>
    <row r="637" spans="1:6" x14ac:dyDescent="0.25">
      <c r="A637" t="s">
        <v>5560</v>
      </c>
      <c r="B637">
        <v>14</v>
      </c>
      <c r="C637">
        <v>1</v>
      </c>
      <c r="D637">
        <v>2</v>
      </c>
      <c r="E637">
        <v>9</v>
      </c>
      <c r="F637">
        <v>2</v>
      </c>
    </row>
    <row r="638" spans="1:6" x14ac:dyDescent="0.25">
      <c r="A638" t="s">
        <v>1424</v>
      </c>
      <c r="B638">
        <v>30</v>
      </c>
      <c r="C638">
        <v>0</v>
      </c>
      <c r="D638">
        <v>1</v>
      </c>
      <c r="E638">
        <v>25</v>
      </c>
      <c r="F638">
        <v>4</v>
      </c>
    </row>
    <row r="639" spans="1:6" x14ac:dyDescent="0.25">
      <c r="A639" t="s">
        <v>1340</v>
      </c>
      <c r="B639">
        <v>21</v>
      </c>
      <c r="C639">
        <v>0</v>
      </c>
      <c r="D639">
        <v>1</v>
      </c>
      <c r="E639">
        <v>19</v>
      </c>
      <c r="F639">
        <v>1</v>
      </c>
    </row>
    <row r="640" spans="1:6" x14ac:dyDescent="0.25">
      <c r="A640" t="s">
        <v>5561</v>
      </c>
      <c r="B640">
        <v>6</v>
      </c>
      <c r="C640">
        <v>0</v>
      </c>
      <c r="D640">
        <v>3</v>
      </c>
      <c r="E640">
        <v>2</v>
      </c>
      <c r="F640">
        <v>1</v>
      </c>
    </row>
    <row r="641" spans="1:6" x14ac:dyDescent="0.25">
      <c r="A641" t="s">
        <v>1416</v>
      </c>
      <c r="B641">
        <v>24</v>
      </c>
      <c r="C641">
        <v>0</v>
      </c>
      <c r="D641">
        <v>0</v>
      </c>
      <c r="E641">
        <v>24</v>
      </c>
      <c r="F641">
        <v>0</v>
      </c>
    </row>
    <row r="642" spans="1:6" x14ac:dyDescent="0.25">
      <c r="A642" t="s">
        <v>1296</v>
      </c>
      <c r="B642">
        <v>138</v>
      </c>
      <c r="C642">
        <v>1</v>
      </c>
      <c r="D642">
        <v>7</v>
      </c>
      <c r="E642">
        <v>120</v>
      </c>
      <c r="F642">
        <v>10</v>
      </c>
    </row>
    <row r="644" spans="1:6" x14ac:dyDescent="0.25">
      <c r="A644" t="s">
        <v>6235</v>
      </c>
    </row>
    <row r="645" spans="1:6" x14ac:dyDescent="0.25">
      <c r="A645" t="s">
        <v>1295</v>
      </c>
      <c r="B645" t="s">
        <v>4394</v>
      </c>
      <c r="C645" t="s">
        <v>4732</v>
      </c>
      <c r="D645" t="s">
        <v>109</v>
      </c>
      <c r="E645" t="s">
        <v>4962</v>
      </c>
      <c r="F645" t="s">
        <v>4963</v>
      </c>
    </row>
    <row r="646" spans="1:6" x14ac:dyDescent="0.25">
      <c r="A646" t="s">
        <v>4395</v>
      </c>
      <c r="B646">
        <v>15</v>
      </c>
      <c r="C646" t="s">
        <v>4406</v>
      </c>
      <c r="D646" t="s">
        <v>4607</v>
      </c>
      <c r="E646" t="s">
        <v>5220</v>
      </c>
      <c r="F646" t="s">
        <v>4607</v>
      </c>
    </row>
    <row r="647" spans="1:6" x14ac:dyDescent="0.25">
      <c r="A647" t="s">
        <v>4396</v>
      </c>
      <c r="B647">
        <v>53</v>
      </c>
      <c r="C647" t="s">
        <v>4406</v>
      </c>
      <c r="D647" t="s">
        <v>4406</v>
      </c>
      <c r="E647" t="s">
        <v>5368</v>
      </c>
      <c r="F647" t="s">
        <v>4720</v>
      </c>
    </row>
    <row r="648" spans="1:6" x14ac:dyDescent="0.25">
      <c r="A648" t="s">
        <v>4397</v>
      </c>
      <c r="B648">
        <v>1</v>
      </c>
      <c r="C648" t="s">
        <v>4406</v>
      </c>
      <c r="D648" t="s">
        <v>4406</v>
      </c>
      <c r="E648" t="s">
        <v>4454</v>
      </c>
      <c r="F648" t="s">
        <v>4406</v>
      </c>
    </row>
    <row r="649" spans="1:6" x14ac:dyDescent="0.25">
      <c r="A649" t="s">
        <v>4398</v>
      </c>
      <c r="B649">
        <v>64</v>
      </c>
      <c r="C649" t="s">
        <v>4635</v>
      </c>
      <c r="D649" t="s">
        <v>5066</v>
      </c>
      <c r="E649" t="s">
        <v>4984</v>
      </c>
      <c r="F649" t="s">
        <v>4950</v>
      </c>
    </row>
    <row r="650" spans="1:6" x14ac:dyDescent="0.25">
      <c r="A650" t="s">
        <v>4399</v>
      </c>
      <c r="B650">
        <v>5</v>
      </c>
      <c r="C650" t="s">
        <v>4406</v>
      </c>
      <c r="D650" t="s">
        <v>4406</v>
      </c>
      <c r="E650" t="s">
        <v>4454</v>
      </c>
      <c r="F650" t="s">
        <v>4406</v>
      </c>
    </row>
    <row r="651" spans="1:6" x14ac:dyDescent="0.25">
      <c r="A651" t="s">
        <v>1296</v>
      </c>
      <c r="B651">
        <v>138</v>
      </c>
      <c r="C651" t="s">
        <v>4410</v>
      </c>
      <c r="D651" t="s">
        <v>4627</v>
      </c>
      <c r="E651" t="s">
        <v>4923</v>
      </c>
      <c r="F651" t="s">
        <v>4666</v>
      </c>
    </row>
    <row r="653" spans="1:6" x14ac:dyDescent="0.25">
      <c r="A653" t="s">
        <v>6236</v>
      </c>
    </row>
    <row r="654" spans="1:6" x14ac:dyDescent="0.25">
      <c r="A654" t="s">
        <v>2723</v>
      </c>
      <c r="B654" t="s">
        <v>4394</v>
      </c>
      <c r="C654" t="s">
        <v>4732</v>
      </c>
      <c r="D654" t="s">
        <v>109</v>
      </c>
      <c r="E654" t="s">
        <v>4962</v>
      </c>
      <c r="F654" t="s">
        <v>4963</v>
      </c>
    </row>
    <row r="655" spans="1:6" x14ac:dyDescent="0.25">
      <c r="A655" t="s">
        <v>4433</v>
      </c>
      <c r="B655">
        <v>6</v>
      </c>
      <c r="C655" t="s">
        <v>4406</v>
      </c>
      <c r="D655" t="s">
        <v>4465</v>
      </c>
      <c r="E655" t="s">
        <v>4468</v>
      </c>
      <c r="F655" t="s">
        <v>4596</v>
      </c>
    </row>
    <row r="656" spans="1:6" x14ac:dyDescent="0.25">
      <c r="A656" t="s">
        <v>4434</v>
      </c>
      <c r="B656">
        <v>57</v>
      </c>
      <c r="C656" t="s">
        <v>4905</v>
      </c>
      <c r="D656" t="s">
        <v>4757</v>
      </c>
      <c r="E656" t="s">
        <v>4977</v>
      </c>
      <c r="F656" t="s">
        <v>4861</v>
      </c>
    </row>
    <row r="657" spans="1:6" x14ac:dyDescent="0.25">
      <c r="A657" t="s">
        <v>4435</v>
      </c>
      <c r="B657">
        <v>47</v>
      </c>
      <c r="C657" t="s">
        <v>4406</v>
      </c>
      <c r="D657" t="s">
        <v>4667</v>
      </c>
      <c r="E657" t="s">
        <v>5018</v>
      </c>
      <c r="F657" t="s">
        <v>4856</v>
      </c>
    </row>
    <row r="658" spans="1:6" x14ac:dyDescent="0.25">
      <c r="A658" t="s">
        <v>4436</v>
      </c>
      <c r="B658">
        <v>28</v>
      </c>
      <c r="C658" t="s">
        <v>4406</v>
      </c>
      <c r="D658" t="s">
        <v>5076</v>
      </c>
      <c r="E658" t="s">
        <v>5023</v>
      </c>
      <c r="F658" t="s">
        <v>4400</v>
      </c>
    </row>
    <row r="659" spans="1:6" x14ac:dyDescent="0.25">
      <c r="A659" t="s">
        <v>1296</v>
      </c>
      <c r="B659">
        <v>138</v>
      </c>
      <c r="C659" t="s">
        <v>4410</v>
      </c>
      <c r="D659" t="s">
        <v>4627</v>
      </c>
      <c r="E659" t="s">
        <v>4923</v>
      </c>
      <c r="F659" t="s">
        <v>4666</v>
      </c>
    </row>
    <row r="661" spans="1:6" x14ac:dyDescent="0.25">
      <c r="A661" t="s">
        <v>6237</v>
      </c>
    </row>
    <row r="662" spans="1:6" x14ac:dyDescent="0.25">
      <c r="A662" t="s">
        <v>1013</v>
      </c>
      <c r="B662" t="s">
        <v>4394</v>
      </c>
      <c r="C662" t="s">
        <v>4732</v>
      </c>
      <c r="D662" t="s">
        <v>109</v>
      </c>
      <c r="E662" t="s">
        <v>4962</v>
      </c>
      <c r="F662" t="s">
        <v>4963</v>
      </c>
    </row>
    <row r="663" spans="1:6" x14ac:dyDescent="0.25">
      <c r="A663" t="s">
        <v>1561</v>
      </c>
      <c r="B663">
        <v>4</v>
      </c>
      <c r="C663" t="s">
        <v>4406</v>
      </c>
      <c r="D663" t="s">
        <v>4462</v>
      </c>
      <c r="E663" t="s">
        <v>4793</v>
      </c>
      <c r="F663" t="s">
        <v>4406</v>
      </c>
    </row>
    <row r="664" spans="1:6" x14ac:dyDescent="0.25">
      <c r="A664" t="s">
        <v>1460</v>
      </c>
      <c r="B664">
        <v>32</v>
      </c>
      <c r="C664" t="s">
        <v>4695</v>
      </c>
      <c r="D664" t="s">
        <v>4873</v>
      </c>
      <c r="E664" t="s">
        <v>5430</v>
      </c>
      <c r="F664" t="s">
        <v>4873</v>
      </c>
    </row>
    <row r="665" spans="1:6" x14ac:dyDescent="0.25">
      <c r="A665" t="s">
        <v>1342</v>
      </c>
      <c r="B665">
        <v>44</v>
      </c>
      <c r="C665" t="s">
        <v>4406</v>
      </c>
      <c r="D665" t="s">
        <v>4753</v>
      </c>
      <c r="E665" t="s">
        <v>5272</v>
      </c>
      <c r="F665" t="s">
        <v>4753</v>
      </c>
    </row>
    <row r="666" spans="1:6" x14ac:dyDescent="0.25">
      <c r="A666" t="s">
        <v>1375</v>
      </c>
      <c r="B666">
        <v>38</v>
      </c>
      <c r="C666" t="s">
        <v>4406</v>
      </c>
      <c r="D666" t="s">
        <v>4640</v>
      </c>
      <c r="E666" t="s">
        <v>5019</v>
      </c>
      <c r="F666" t="s">
        <v>4715</v>
      </c>
    </row>
    <row r="667" spans="1:6" x14ac:dyDescent="0.25">
      <c r="A667" t="s">
        <v>1401</v>
      </c>
      <c r="B667">
        <v>20</v>
      </c>
      <c r="C667" t="s">
        <v>4406</v>
      </c>
      <c r="D667" t="s">
        <v>4758</v>
      </c>
      <c r="E667" t="s">
        <v>5012</v>
      </c>
      <c r="F667" t="s">
        <v>4646</v>
      </c>
    </row>
    <row r="668" spans="1:6" x14ac:dyDescent="0.25">
      <c r="A668" t="s">
        <v>1296</v>
      </c>
      <c r="B668">
        <v>138</v>
      </c>
      <c r="C668" t="s">
        <v>4410</v>
      </c>
      <c r="D668" t="s">
        <v>4627</v>
      </c>
      <c r="E668" t="s">
        <v>4923</v>
      </c>
      <c r="F668" t="s">
        <v>4666</v>
      </c>
    </row>
    <row r="670" spans="1:6" x14ac:dyDescent="0.25">
      <c r="A670" t="s">
        <v>6238</v>
      </c>
    </row>
    <row r="671" spans="1:6" x14ac:dyDescent="0.25">
      <c r="A671" t="s">
        <v>1016</v>
      </c>
      <c r="B671" t="s">
        <v>4394</v>
      </c>
      <c r="C671" t="s">
        <v>4732</v>
      </c>
      <c r="D671" t="s">
        <v>109</v>
      </c>
      <c r="E671" t="s">
        <v>4962</v>
      </c>
      <c r="F671" t="s">
        <v>4963</v>
      </c>
    </row>
    <row r="672" spans="1:6" x14ac:dyDescent="0.25">
      <c r="A672" t="s">
        <v>109</v>
      </c>
      <c r="B672">
        <v>19</v>
      </c>
      <c r="C672" t="s">
        <v>4406</v>
      </c>
      <c r="D672" t="s">
        <v>4600</v>
      </c>
      <c r="E672" t="s">
        <v>4830</v>
      </c>
      <c r="F672" t="s">
        <v>4406</v>
      </c>
    </row>
    <row r="673" spans="1:6" x14ac:dyDescent="0.25">
      <c r="A673" t="s">
        <v>192</v>
      </c>
      <c r="B673">
        <v>119</v>
      </c>
      <c r="C673" t="s">
        <v>4417</v>
      </c>
      <c r="D673" t="s">
        <v>4751</v>
      </c>
      <c r="E673" t="s">
        <v>5517</v>
      </c>
      <c r="F673" t="s">
        <v>5142</v>
      </c>
    </row>
    <row r="674" spans="1:6" x14ac:dyDescent="0.25">
      <c r="A674" t="s">
        <v>1296</v>
      </c>
      <c r="B674">
        <v>138</v>
      </c>
      <c r="C674" t="s">
        <v>4410</v>
      </c>
      <c r="D674" t="s">
        <v>4627</v>
      </c>
      <c r="E674" t="s">
        <v>4923</v>
      </c>
      <c r="F674" t="s">
        <v>4666</v>
      </c>
    </row>
    <row r="676" spans="1:6" x14ac:dyDescent="0.25">
      <c r="A676" t="s">
        <v>6239</v>
      </c>
    </row>
    <row r="677" spans="1:6" x14ac:dyDescent="0.25">
      <c r="A677" t="s">
        <v>5518</v>
      </c>
      <c r="B677" t="s">
        <v>4394</v>
      </c>
      <c r="C677" t="s">
        <v>4732</v>
      </c>
      <c r="D677" t="s">
        <v>109</v>
      </c>
      <c r="E677" t="s">
        <v>4962</v>
      </c>
      <c r="F677" t="s">
        <v>4963</v>
      </c>
    </row>
    <row r="678" spans="1:6" x14ac:dyDescent="0.25">
      <c r="A678" t="s">
        <v>4438</v>
      </c>
      <c r="B678">
        <v>60</v>
      </c>
      <c r="C678" t="s">
        <v>4406</v>
      </c>
      <c r="D678" t="s">
        <v>4406</v>
      </c>
      <c r="E678" t="s">
        <v>5298</v>
      </c>
      <c r="F678" t="s">
        <v>4758</v>
      </c>
    </row>
    <row r="679" spans="1:6" x14ac:dyDescent="0.25">
      <c r="A679" t="s">
        <v>4439</v>
      </c>
      <c r="B679">
        <v>26</v>
      </c>
      <c r="C679" t="s">
        <v>4406</v>
      </c>
      <c r="D679" t="s">
        <v>4406</v>
      </c>
      <c r="E679" t="s">
        <v>5021</v>
      </c>
      <c r="F679" t="s">
        <v>4474</v>
      </c>
    </row>
    <row r="680" spans="1:6" x14ac:dyDescent="0.25">
      <c r="A680" t="s">
        <v>1400</v>
      </c>
      <c r="B680">
        <v>6</v>
      </c>
      <c r="C680" t="s">
        <v>4406</v>
      </c>
      <c r="D680" t="s">
        <v>4406</v>
      </c>
      <c r="E680" t="s">
        <v>4469</v>
      </c>
      <c r="F680" t="s">
        <v>4465</v>
      </c>
    </row>
    <row r="681" spans="1:6" x14ac:dyDescent="0.25">
      <c r="A681" t="s">
        <v>1340</v>
      </c>
      <c r="B681">
        <v>23</v>
      </c>
      <c r="C681" t="s">
        <v>4406</v>
      </c>
      <c r="D681" t="s">
        <v>4667</v>
      </c>
      <c r="E681" t="s">
        <v>4971</v>
      </c>
      <c r="F681" t="s">
        <v>4667</v>
      </c>
    </row>
    <row r="682" spans="1:6" x14ac:dyDescent="0.25">
      <c r="A682" t="s">
        <v>1372</v>
      </c>
      <c r="B682">
        <v>23</v>
      </c>
      <c r="C682" t="s">
        <v>4667</v>
      </c>
      <c r="D682" t="s">
        <v>4926</v>
      </c>
      <c r="E682" t="s">
        <v>4579</v>
      </c>
      <c r="F682" t="s">
        <v>4406</v>
      </c>
    </row>
    <row r="683" spans="1:6" x14ac:dyDescent="0.25">
      <c r="A683" t="s">
        <v>1296</v>
      </c>
      <c r="B683">
        <v>138</v>
      </c>
      <c r="C683" t="s">
        <v>4410</v>
      </c>
      <c r="D683" t="s">
        <v>4627</v>
      </c>
      <c r="E683" t="s">
        <v>4923</v>
      </c>
      <c r="F683" t="s">
        <v>4666</v>
      </c>
    </row>
    <row r="685" spans="1:6" x14ac:dyDescent="0.25">
      <c r="A685" t="s">
        <v>6240</v>
      </c>
    </row>
    <row r="686" spans="1:6" x14ac:dyDescent="0.25">
      <c r="A686" t="s">
        <v>1011</v>
      </c>
      <c r="B686" t="s">
        <v>4394</v>
      </c>
      <c r="C686" t="s">
        <v>4732</v>
      </c>
      <c r="D686" t="s">
        <v>109</v>
      </c>
      <c r="E686" t="s">
        <v>4962</v>
      </c>
      <c r="F686" t="s">
        <v>4963</v>
      </c>
    </row>
    <row r="687" spans="1:6" x14ac:dyDescent="0.25">
      <c r="A687" t="s">
        <v>4438</v>
      </c>
      <c r="B687">
        <v>54</v>
      </c>
      <c r="C687" t="s">
        <v>4406</v>
      </c>
      <c r="D687" t="s">
        <v>4406</v>
      </c>
      <c r="E687" t="s">
        <v>5165</v>
      </c>
      <c r="F687" t="s">
        <v>4571</v>
      </c>
    </row>
    <row r="688" spans="1:6" x14ac:dyDescent="0.25">
      <c r="A688" t="s">
        <v>4439</v>
      </c>
      <c r="B688">
        <v>23</v>
      </c>
      <c r="C688" t="s">
        <v>4406</v>
      </c>
      <c r="D688" t="s">
        <v>4406</v>
      </c>
      <c r="E688" t="s">
        <v>4923</v>
      </c>
      <c r="F688" t="s">
        <v>4663</v>
      </c>
    </row>
    <row r="689" spans="1:6" x14ac:dyDescent="0.25">
      <c r="A689" t="s">
        <v>1400</v>
      </c>
      <c r="B689">
        <v>2</v>
      </c>
      <c r="C689" t="s">
        <v>4406</v>
      </c>
      <c r="D689" t="s">
        <v>4406</v>
      </c>
      <c r="E689" t="s">
        <v>4454</v>
      </c>
      <c r="F689" t="s">
        <v>4406</v>
      </c>
    </row>
    <row r="690" spans="1:6" x14ac:dyDescent="0.25">
      <c r="A690" t="s">
        <v>1340</v>
      </c>
      <c r="B690">
        <v>21</v>
      </c>
      <c r="C690" t="s">
        <v>4406</v>
      </c>
      <c r="D690" t="s">
        <v>4749</v>
      </c>
      <c r="E690" t="s">
        <v>5095</v>
      </c>
      <c r="F690" t="s">
        <v>4749</v>
      </c>
    </row>
    <row r="691" spans="1:6" x14ac:dyDescent="0.25">
      <c r="A691" t="s">
        <v>1426</v>
      </c>
      <c r="B691">
        <v>6</v>
      </c>
      <c r="C691" t="s">
        <v>4406</v>
      </c>
      <c r="D691" t="s">
        <v>4406</v>
      </c>
      <c r="E691" t="s">
        <v>4468</v>
      </c>
      <c r="F691" t="s">
        <v>4468</v>
      </c>
    </row>
    <row r="692" spans="1:6" x14ac:dyDescent="0.25">
      <c r="A692" t="s">
        <v>1372</v>
      </c>
      <c r="B692">
        <v>32</v>
      </c>
      <c r="C692" t="s">
        <v>4695</v>
      </c>
      <c r="D692" t="s">
        <v>4944</v>
      </c>
      <c r="E692" t="s">
        <v>5083</v>
      </c>
      <c r="F692" t="s">
        <v>4406</v>
      </c>
    </row>
    <row r="693" spans="1:6" x14ac:dyDescent="0.25">
      <c r="A693" t="s">
        <v>1296</v>
      </c>
      <c r="B693">
        <v>138</v>
      </c>
      <c r="C693" t="s">
        <v>4410</v>
      </c>
      <c r="D693" t="s">
        <v>4627</v>
      </c>
      <c r="E693" t="s">
        <v>4923</v>
      </c>
      <c r="F693" t="s">
        <v>4666</v>
      </c>
    </row>
    <row r="695" spans="1:6" x14ac:dyDescent="0.25">
      <c r="A695" t="s">
        <v>6241</v>
      </c>
    </row>
    <row r="696" spans="1:6" x14ac:dyDescent="0.25">
      <c r="A696" t="s">
        <v>903</v>
      </c>
      <c r="B696" t="s">
        <v>4394</v>
      </c>
      <c r="C696" t="s">
        <v>4732</v>
      </c>
      <c r="D696" t="s">
        <v>109</v>
      </c>
      <c r="E696" t="s">
        <v>4962</v>
      </c>
      <c r="F696" t="s">
        <v>4963</v>
      </c>
    </row>
    <row r="697" spans="1:6" x14ac:dyDescent="0.25">
      <c r="A697" t="s">
        <v>70</v>
      </c>
      <c r="B697">
        <v>37</v>
      </c>
      <c r="C697" t="s">
        <v>4406</v>
      </c>
      <c r="D697" t="s">
        <v>4408</v>
      </c>
      <c r="E697" t="s">
        <v>5299</v>
      </c>
      <c r="F697" t="s">
        <v>4746</v>
      </c>
    </row>
    <row r="698" spans="1:6" x14ac:dyDescent="0.25">
      <c r="A698" t="s">
        <v>71</v>
      </c>
      <c r="B698">
        <v>101</v>
      </c>
      <c r="C698" t="s">
        <v>4402</v>
      </c>
      <c r="D698" t="s">
        <v>4626</v>
      </c>
      <c r="E698" t="s">
        <v>5429</v>
      </c>
      <c r="F698" t="s">
        <v>4714</v>
      </c>
    </row>
    <row r="699" spans="1:6" x14ac:dyDescent="0.25">
      <c r="A699" t="s">
        <v>1296</v>
      </c>
      <c r="B699">
        <v>138</v>
      </c>
      <c r="C699" t="s">
        <v>4410</v>
      </c>
      <c r="D699" t="s">
        <v>4627</v>
      </c>
      <c r="E699" t="s">
        <v>4923</v>
      </c>
      <c r="F699" t="s">
        <v>4666</v>
      </c>
    </row>
    <row r="701" spans="1:6" x14ac:dyDescent="0.25">
      <c r="A701" t="s">
        <v>6242</v>
      </c>
    </row>
    <row r="702" spans="1:6" x14ac:dyDescent="0.25">
      <c r="A702" t="s">
        <v>2842</v>
      </c>
      <c r="B702" t="s">
        <v>4394</v>
      </c>
      <c r="C702" t="s">
        <v>109</v>
      </c>
      <c r="D702" t="s">
        <v>4962</v>
      </c>
      <c r="E702" t="s">
        <v>4963</v>
      </c>
    </row>
    <row r="703" spans="1:6" x14ac:dyDescent="0.25">
      <c r="A703" t="s">
        <v>5549</v>
      </c>
      <c r="B703">
        <v>83</v>
      </c>
      <c r="C703" t="s">
        <v>4406</v>
      </c>
      <c r="D703" t="s">
        <v>5279</v>
      </c>
      <c r="E703" t="s">
        <v>5076</v>
      </c>
    </row>
    <row r="704" spans="1:6" x14ac:dyDescent="0.25">
      <c r="A704" t="s">
        <v>1397</v>
      </c>
      <c r="B704">
        <v>55</v>
      </c>
      <c r="C704" t="s">
        <v>5076</v>
      </c>
      <c r="D704" t="s">
        <v>5519</v>
      </c>
      <c r="E704" t="s">
        <v>5076</v>
      </c>
    </row>
    <row r="705" spans="1:5" x14ac:dyDescent="0.25">
      <c r="A705" t="s">
        <v>1296</v>
      </c>
      <c r="B705">
        <v>138</v>
      </c>
      <c r="C705" t="s">
        <v>4750</v>
      </c>
      <c r="D705" t="s">
        <v>5339</v>
      </c>
      <c r="E705" t="s">
        <v>5076</v>
      </c>
    </row>
    <row r="707" spans="1:5" x14ac:dyDescent="0.25">
      <c r="A707" t="s">
        <v>6243</v>
      </c>
    </row>
    <row r="708" spans="1:5" x14ac:dyDescent="0.25">
      <c r="A708" t="s">
        <v>992</v>
      </c>
      <c r="B708" t="s">
        <v>4394</v>
      </c>
      <c r="C708" t="s">
        <v>109</v>
      </c>
      <c r="D708" t="s">
        <v>4962</v>
      </c>
      <c r="E708" t="s">
        <v>4963</v>
      </c>
    </row>
    <row r="709" spans="1:5" x14ac:dyDescent="0.25">
      <c r="A709" t="s">
        <v>4844</v>
      </c>
      <c r="B709">
        <v>21</v>
      </c>
      <c r="C709" t="s">
        <v>4406</v>
      </c>
      <c r="D709" t="s">
        <v>4946</v>
      </c>
      <c r="E709" t="s">
        <v>4522</v>
      </c>
    </row>
    <row r="710" spans="1:5" x14ac:dyDescent="0.25">
      <c r="A710" t="s">
        <v>4845</v>
      </c>
      <c r="B710">
        <v>108</v>
      </c>
      <c r="C710" t="s">
        <v>4952</v>
      </c>
      <c r="D710" t="s">
        <v>5431</v>
      </c>
      <c r="E710" t="s">
        <v>4952</v>
      </c>
    </row>
    <row r="711" spans="1:5" x14ac:dyDescent="0.25">
      <c r="A711" t="s">
        <v>4846</v>
      </c>
      <c r="B711">
        <v>9</v>
      </c>
      <c r="C711" t="s">
        <v>4406</v>
      </c>
      <c r="D711" t="s">
        <v>4454</v>
      </c>
      <c r="E711" t="s">
        <v>4406</v>
      </c>
    </row>
    <row r="712" spans="1:5" x14ac:dyDescent="0.25">
      <c r="A712" t="s">
        <v>1296</v>
      </c>
      <c r="B712">
        <v>138</v>
      </c>
      <c r="C712" t="s">
        <v>4750</v>
      </c>
      <c r="D712" t="s">
        <v>5339</v>
      </c>
      <c r="E712" t="s">
        <v>5076</v>
      </c>
    </row>
    <row r="714" spans="1:5" x14ac:dyDescent="0.25">
      <c r="A714" t="s">
        <v>6244</v>
      </c>
    </row>
    <row r="715" spans="1:5" x14ac:dyDescent="0.25">
      <c r="A715" t="s">
        <v>995</v>
      </c>
      <c r="B715" t="s">
        <v>4394</v>
      </c>
      <c r="C715" t="s">
        <v>109</v>
      </c>
      <c r="D715" t="s">
        <v>4962</v>
      </c>
      <c r="E715" t="s">
        <v>4963</v>
      </c>
    </row>
    <row r="716" spans="1:5" x14ac:dyDescent="0.25">
      <c r="A716" t="s">
        <v>1338</v>
      </c>
      <c r="B716">
        <v>43</v>
      </c>
      <c r="C716">
        <v>0</v>
      </c>
      <c r="D716">
        <v>40</v>
      </c>
      <c r="E716">
        <v>3</v>
      </c>
    </row>
    <row r="717" spans="1:5" x14ac:dyDescent="0.25">
      <c r="A717" t="s">
        <v>1370</v>
      </c>
      <c r="B717">
        <v>10</v>
      </c>
      <c r="C717">
        <v>1</v>
      </c>
      <c r="D717">
        <v>8</v>
      </c>
      <c r="E717">
        <v>1</v>
      </c>
    </row>
    <row r="718" spans="1:5" x14ac:dyDescent="0.25">
      <c r="A718" t="s">
        <v>1439</v>
      </c>
      <c r="B718">
        <v>7</v>
      </c>
      <c r="C718">
        <v>0</v>
      </c>
      <c r="D718">
        <v>6</v>
      </c>
      <c r="E718">
        <v>1</v>
      </c>
    </row>
    <row r="719" spans="1:5" x14ac:dyDescent="0.25">
      <c r="A719" t="s">
        <v>1476</v>
      </c>
      <c r="B719">
        <v>5</v>
      </c>
      <c r="C719">
        <v>0</v>
      </c>
      <c r="D719">
        <v>5</v>
      </c>
      <c r="E719">
        <v>0</v>
      </c>
    </row>
    <row r="720" spans="1:5" x14ac:dyDescent="0.25">
      <c r="A720" t="s">
        <v>5476</v>
      </c>
      <c r="B720">
        <v>2</v>
      </c>
      <c r="C720">
        <v>0</v>
      </c>
      <c r="D720">
        <v>2</v>
      </c>
      <c r="E720">
        <v>0</v>
      </c>
    </row>
    <row r="721" spans="1:5" x14ac:dyDescent="0.25">
      <c r="A721" t="s">
        <v>1399</v>
      </c>
      <c r="B721">
        <v>23</v>
      </c>
      <c r="C721">
        <v>0</v>
      </c>
      <c r="D721">
        <v>23</v>
      </c>
      <c r="E721">
        <v>0</v>
      </c>
    </row>
    <row r="722" spans="1:5" x14ac:dyDescent="0.25">
      <c r="A722" t="s">
        <v>1415</v>
      </c>
      <c r="B722">
        <v>48</v>
      </c>
      <c r="C722">
        <v>1</v>
      </c>
      <c r="D722">
        <v>47</v>
      </c>
      <c r="E722">
        <v>0</v>
      </c>
    </row>
    <row r="723" spans="1:5" x14ac:dyDescent="0.25">
      <c r="A723" t="s">
        <v>1296</v>
      </c>
      <c r="B723">
        <v>138</v>
      </c>
      <c r="C723">
        <v>2</v>
      </c>
      <c r="D723">
        <v>131</v>
      </c>
      <c r="E723">
        <v>5</v>
      </c>
    </row>
    <row r="725" spans="1:5" x14ac:dyDescent="0.25">
      <c r="A725" t="s">
        <v>6245</v>
      </c>
    </row>
    <row r="726" spans="1:5" x14ac:dyDescent="0.25">
      <c r="A726" t="s">
        <v>998</v>
      </c>
      <c r="B726" t="s">
        <v>4394</v>
      </c>
      <c r="C726" t="s">
        <v>109</v>
      </c>
      <c r="D726" t="s">
        <v>4962</v>
      </c>
      <c r="E726" t="s">
        <v>4963</v>
      </c>
    </row>
    <row r="727" spans="1:5" x14ac:dyDescent="0.25">
      <c r="A727" t="s">
        <v>109</v>
      </c>
      <c r="B727">
        <v>125</v>
      </c>
      <c r="C727" t="s">
        <v>4635</v>
      </c>
      <c r="D727" t="s">
        <v>5007</v>
      </c>
      <c r="E727" t="s">
        <v>4713</v>
      </c>
    </row>
    <row r="728" spans="1:5" x14ac:dyDescent="0.25">
      <c r="A728" t="s">
        <v>192</v>
      </c>
      <c r="B728">
        <v>13</v>
      </c>
      <c r="C728" t="s">
        <v>4406</v>
      </c>
      <c r="D728" t="s">
        <v>4993</v>
      </c>
      <c r="E728" t="s">
        <v>4705</v>
      </c>
    </row>
    <row r="729" spans="1:5" x14ac:dyDescent="0.25">
      <c r="A729" t="s">
        <v>1296</v>
      </c>
      <c r="B729">
        <v>138</v>
      </c>
      <c r="C729" t="s">
        <v>4750</v>
      </c>
      <c r="D729" t="s">
        <v>5339</v>
      </c>
      <c r="E729" t="s">
        <v>5076</v>
      </c>
    </row>
    <row r="731" spans="1:5" x14ac:dyDescent="0.25">
      <c r="A731" t="s">
        <v>6246</v>
      </c>
    </row>
    <row r="732" spans="1:5" x14ac:dyDescent="0.25">
      <c r="A732" t="s">
        <v>1295</v>
      </c>
      <c r="B732" t="s">
        <v>4394</v>
      </c>
      <c r="C732" t="s">
        <v>109</v>
      </c>
      <c r="D732" t="s">
        <v>4962</v>
      </c>
      <c r="E732" t="s">
        <v>4963</v>
      </c>
    </row>
    <row r="733" spans="1:5" x14ac:dyDescent="0.25">
      <c r="A733" t="s">
        <v>4395</v>
      </c>
      <c r="B733">
        <v>15</v>
      </c>
      <c r="C733" t="s">
        <v>4406</v>
      </c>
      <c r="D733" t="s">
        <v>4454</v>
      </c>
      <c r="E733" t="s">
        <v>4406</v>
      </c>
    </row>
    <row r="734" spans="1:5" x14ac:dyDescent="0.25">
      <c r="A734" t="s">
        <v>4396</v>
      </c>
      <c r="B734">
        <v>53</v>
      </c>
      <c r="C734" t="s">
        <v>4406</v>
      </c>
      <c r="D734" t="s">
        <v>5368</v>
      </c>
      <c r="E734" t="s">
        <v>4720</v>
      </c>
    </row>
    <row r="735" spans="1:5" x14ac:dyDescent="0.25">
      <c r="A735" t="s">
        <v>4397</v>
      </c>
      <c r="B735">
        <v>1</v>
      </c>
      <c r="C735" t="s">
        <v>4406</v>
      </c>
      <c r="D735" t="s">
        <v>4454</v>
      </c>
      <c r="E735" t="s">
        <v>4406</v>
      </c>
    </row>
    <row r="736" spans="1:5" x14ac:dyDescent="0.25">
      <c r="A736" t="s">
        <v>4398</v>
      </c>
      <c r="B736">
        <v>64</v>
      </c>
      <c r="C736" t="s">
        <v>4695</v>
      </c>
      <c r="D736" t="s">
        <v>5520</v>
      </c>
      <c r="E736" t="s">
        <v>4656</v>
      </c>
    </row>
    <row r="737" spans="1:5" x14ac:dyDescent="0.25">
      <c r="A737" t="s">
        <v>4399</v>
      </c>
      <c r="B737">
        <v>5</v>
      </c>
      <c r="C737" t="s">
        <v>4406</v>
      </c>
      <c r="D737" t="s">
        <v>4454</v>
      </c>
      <c r="E737" t="s">
        <v>4406</v>
      </c>
    </row>
    <row r="738" spans="1:5" x14ac:dyDescent="0.25">
      <c r="A738" t="s">
        <v>1296</v>
      </c>
      <c r="B738">
        <v>138</v>
      </c>
      <c r="C738" t="s">
        <v>4750</v>
      </c>
      <c r="D738" t="s">
        <v>5339</v>
      </c>
      <c r="E738" t="s">
        <v>5076</v>
      </c>
    </row>
    <row r="740" spans="1:5" x14ac:dyDescent="0.25">
      <c r="A740" t="s">
        <v>6247</v>
      </c>
    </row>
    <row r="741" spans="1:5" x14ac:dyDescent="0.25">
      <c r="A741" t="s">
        <v>1006</v>
      </c>
      <c r="B741" t="s">
        <v>4394</v>
      </c>
      <c r="C741" t="s">
        <v>109</v>
      </c>
      <c r="D741" t="s">
        <v>4962</v>
      </c>
      <c r="E741" t="s">
        <v>4963</v>
      </c>
    </row>
    <row r="742" spans="1:5" x14ac:dyDescent="0.25">
      <c r="A742" t="s">
        <v>1371</v>
      </c>
      <c r="B742">
        <v>26</v>
      </c>
      <c r="C742">
        <v>0</v>
      </c>
      <c r="D742">
        <v>25</v>
      </c>
      <c r="E742">
        <v>1</v>
      </c>
    </row>
    <row r="743" spans="1:5" x14ac:dyDescent="0.25">
      <c r="A743" t="s">
        <v>1452</v>
      </c>
      <c r="B743">
        <v>17</v>
      </c>
      <c r="C743">
        <v>0</v>
      </c>
      <c r="D743">
        <v>17</v>
      </c>
      <c r="E743">
        <v>0</v>
      </c>
    </row>
    <row r="744" spans="1:5" x14ac:dyDescent="0.25">
      <c r="A744" t="s">
        <v>5560</v>
      </c>
      <c r="B744">
        <v>14</v>
      </c>
      <c r="C744">
        <v>1</v>
      </c>
      <c r="D744">
        <v>13</v>
      </c>
      <c r="E744">
        <v>0</v>
      </c>
    </row>
    <row r="745" spans="1:5" x14ac:dyDescent="0.25">
      <c r="A745" t="s">
        <v>1424</v>
      </c>
      <c r="B745">
        <v>30</v>
      </c>
      <c r="C745">
        <v>0</v>
      </c>
      <c r="D745">
        <v>27</v>
      </c>
      <c r="E745">
        <v>3</v>
      </c>
    </row>
    <row r="746" spans="1:5" x14ac:dyDescent="0.25">
      <c r="A746" t="s">
        <v>1340</v>
      </c>
      <c r="B746">
        <v>21</v>
      </c>
      <c r="C746">
        <v>0</v>
      </c>
      <c r="D746">
        <v>20</v>
      </c>
      <c r="E746">
        <v>1</v>
      </c>
    </row>
    <row r="747" spans="1:5" x14ac:dyDescent="0.25">
      <c r="A747" t="s">
        <v>5561</v>
      </c>
      <c r="B747">
        <v>6</v>
      </c>
      <c r="C747">
        <v>1</v>
      </c>
      <c r="D747">
        <v>5</v>
      </c>
      <c r="E747">
        <v>0</v>
      </c>
    </row>
    <row r="748" spans="1:5" x14ac:dyDescent="0.25">
      <c r="A748" t="s">
        <v>1416</v>
      </c>
      <c r="B748">
        <v>24</v>
      </c>
      <c r="C748">
        <v>0</v>
      </c>
      <c r="D748">
        <v>24</v>
      </c>
      <c r="E748">
        <v>0</v>
      </c>
    </row>
    <row r="749" spans="1:5" x14ac:dyDescent="0.25">
      <c r="A749" t="s">
        <v>1296</v>
      </c>
      <c r="B749">
        <v>138</v>
      </c>
      <c r="C749">
        <v>2</v>
      </c>
      <c r="D749">
        <v>131</v>
      </c>
      <c r="E749">
        <v>5</v>
      </c>
    </row>
    <row r="751" spans="1:5" x14ac:dyDescent="0.25">
      <c r="A751" t="s">
        <v>6248</v>
      </c>
    </row>
    <row r="752" spans="1:5" x14ac:dyDescent="0.25">
      <c r="A752" t="s">
        <v>2723</v>
      </c>
      <c r="B752" t="s">
        <v>4394</v>
      </c>
      <c r="C752" t="s">
        <v>109</v>
      </c>
      <c r="D752" t="s">
        <v>4962</v>
      </c>
      <c r="E752" t="s">
        <v>4963</v>
      </c>
    </row>
    <row r="753" spans="1:5" x14ac:dyDescent="0.25">
      <c r="A753" t="s">
        <v>4433</v>
      </c>
      <c r="B753">
        <v>6</v>
      </c>
      <c r="C753" t="s">
        <v>4596</v>
      </c>
      <c r="D753" t="s">
        <v>4783</v>
      </c>
      <c r="E753" t="s">
        <v>4406</v>
      </c>
    </row>
    <row r="754" spans="1:5" x14ac:dyDescent="0.25">
      <c r="A754" t="s">
        <v>4434</v>
      </c>
      <c r="B754">
        <v>57</v>
      </c>
      <c r="C754" t="s">
        <v>4905</v>
      </c>
      <c r="D754" t="s">
        <v>5432</v>
      </c>
      <c r="E754" t="s">
        <v>4640</v>
      </c>
    </row>
    <row r="755" spans="1:5" x14ac:dyDescent="0.25">
      <c r="A755" t="s">
        <v>4435</v>
      </c>
      <c r="B755">
        <v>47</v>
      </c>
      <c r="C755" t="s">
        <v>4406</v>
      </c>
      <c r="D755" t="s">
        <v>4994</v>
      </c>
      <c r="E755" t="s">
        <v>4667</v>
      </c>
    </row>
    <row r="756" spans="1:5" x14ac:dyDescent="0.25">
      <c r="A756" t="s">
        <v>4436</v>
      </c>
      <c r="B756">
        <v>28</v>
      </c>
      <c r="C756" t="s">
        <v>4406</v>
      </c>
      <c r="D756" t="s">
        <v>4454</v>
      </c>
      <c r="E756" t="s">
        <v>4406</v>
      </c>
    </row>
    <row r="757" spans="1:5" x14ac:dyDescent="0.25">
      <c r="A757" t="s">
        <v>1296</v>
      </c>
      <c r="B757">
        <v>138</v>
      </c>
      <c r="C757" t="s">
        <v>4750</v>
      </c>
      <c r="D757" t="s">
        <v>5339</v>
      </c>
      <c r="E757" t="s">
        <v>5076</v>
      </c>
    </row>
    <row r="759" spans="1:5" x14ac:dyDescent="0.25">
      <c r="A759" t="s">
        <v>6249</v>
      </c>
    </row>
    <row r="760" spans="1:5" x14ac:dyDescent="0.25">
      <c r="A760" t="s">
        <v>1013</v>
      </c>
      <c r="B760" t="s">
        <v>4394</v>
      </c>
      <c r="C760" t="s">
        <v>109</v>
      </c>
      <c r="D760" t="s">
        <v>4962</v>
      </c>
      <c r="E760" t="s">
        <v>4963</v>
      </c>
    </row>
    <row r="761" spans="1:5" x14ac:dyDescent="0.25">
      <c r="A761" t="s">
        <v>1561</v>
      </c>
      <c r="B761">
        <v>4</v>
      </c>
      <c r="C761" t="s">
        <v>4462</v>
      </c>
      <c r="D761" t="s">
        <v>4793</v>
      </c>
      <c r="E761" t="s">
        <v>4406</v>
      </c>
    </row>
    <row r="762" spans="1:5" x14ac:dyDescent="0.25">
      <c r="A762" t="s">
        <v>1460</v>
      </c>
      <c r="B762">
        <v>32</v>
      </c>
      <c r="C762" t="s">
        <v>4695</v>
      </c>
      <c r="D762" t="s">
        <v>5032</v>
      </c>
      <c r="E762" t="s">
        <v>4873</v>
      </c>
    </row>
    <row r="763" spans="1:5" x14ac:dyDescent="0.25">
      <c r="A763" t="s">
        <v>1342</v>
      </c>
      <c r="B763">
        <v>44</v>
      </c>
      <c r="C763" t="s">
        <v>4406</v>
      </c>
      <c r="D763" t="s">
        <v>5276</v>
      </c>
      <c r="E763" t="s">
        <v>4753</v>
      </c>
    </row>
    <row r="764" spans="1:5" x14ac:dyDescent="0.25">
      <c r="A764" t="s">
        <v>1375</v>
      </c>
      <c r="B764">
        <v>38</v>
      </c>
      <c r="C764" t="s">
        <v>4406</v>
      </c>
      <c r="D764" t="s">
        <v>4970</v>
      </c>
      <c r="E764" t="s">
        <v>4640</v>
      </c>
    </row>
    <row r="765" spans="1:5" x14ac:dyDescent="0.25">
      <c r="A765" t="s">
        <v>1401</v>
      </c>
      <c r="B765">
        <v>20</v>
      </c>
      <c r="C765" t="s">
        <v>4406</v>
      </c>
      <c r="D765" t="s">
        <v>4454</v>
      </c>
      <c r="E765" t="s">
        <v>4406</v>
      </c>
    </row>
    <row r="766" spans="1:5" x14ac:dyDescent="0.25">
      <c r="A766" t="s">
        <v>1296</v>
      </c>
      <c r="B766">
        <v>138</v>
      </c>
      <c r="C766" t="s">
        <v>4750</v>
      </c>
      <c r="D766" t="s">
        <v>5339</v>
      </c>
      <c r="E766" t="s">
        <v>5076</v>
      </c>
    </row>
    <row r="768" spans="1:5" x14ac:dyDescent="0.25">
      <c r="A768" t="s">
        <v>6250</v>
      </c>
    </row>
    <row r="769" spans="1:5" x14ac:dyDescent="0.25">
      <c r="A769" t="s">
        <v>1016</v>
      </c>
      <c r="B769" t="s">
        <v>4394</v>
      </c>
      <c r="C769" t="s">
        <v>109</v>
      </c>
      <c r="D769" t="s">
        <v>4962</v>
      </c>
      <c r="E769" t="s">
        <v>4963</v>
      </c>
    </row>
    <row r="770" spans="1:5" x14ac:dyDescent="0.25">
      <c r="A770" t="s">
        <v>109</v>
      </c>
      <c r="B770">
        <v>19</v>
      </c>
      <c r="C770" t="s">
        <v>4406</v>
      </c>
      <c r="D770" t="s">
        <v>4970</v>
      </c>
      <c r="E770" t="s">
        <v>4640</v>
      </c>
    </row>
    <row r="771" spans="1:5" x14ac:dyDescent="0.25">
      <c r="A771" t="s">
        <v>192</v>
      </c>
      <c r="B771">
        <v>119</v>
      </c>
      <c r="C771" t="s">
        <v>4419</v>
      </c>
      <c r="D771" t="s">
        <v>5298</v>
      </c>
      <c r="E771" t="s">
        <v>4888</v>
      </c>
    </row>
    <row r="772" spans="1:5" x14ac:dyDescent="0.25">
      <c r="A772" t="s">
        <v>1296</v>
      </c>
      <c r="B772">
        <v>138</v>
      </c>
      <c r="C772" t="s">
        <v>4750</v>
      </c>
      <c r="D772" t="s">
        <v>5339</v>
      </c>
      <c r="E772" t="s">
        <v>5076</v>
      </c>
    </row>
    <row r="774" spans="1:5" x14ac:dyDescent="0.25">
      <c r="A774" t="s">
        <v>6251</v>
      </c>
    </row>
    <row r="775" spans="1:5" x14ac:dyDescent="0.25">
      <c r="A775" t="s">
        <v>5521</v>
      </c>
      <c r="B775" t="s">
        <v>4394</v>
      </c>
      <c r="C775" t="s">
        <v>109</v>
      </c>
      <c r="D775" t="s">
        <v>4962</v>
      </c>
      <c r="E775" t="s">
        <v>4963</v>
      </c>
    </row>
    <row r="776" spans="1:5" x14ac:dyDescent="0.25">
      <c r="A776" t="s">
        <v>4438</v>
      </c>
      <c r="B776">
        <v>53</v>
      </c>
      <c r="C776" t="s">
        <v>4952</v>
      </c>
      <c r="D776" t="s">
        <v>5093</v>
      </c>
      <c r="E776" t="s">
        <v>4720</v>
      </c>
    </row>
    <row r="777" spans="1:5" x14ac:dyDescent="0.25">
      <c r="A777" t="s">
        <v>4439</v>
      </c>
      <c r="B777">
        <v>29</v>
      </c>
      <c r="C777" t="s">
        <v>4406</v>
      </c>
      <c r="D777" t="s">
        <v>5547</v>
      </c>
      <c r="E777" t="s">
        <v>4888</v>
      </c>
    </row>
    <row r="778" spans="1:5" x14ac:dyDescent="0.25">
      <c r="A778" t="s">
        <v>1400</v>
      </c>
      <c r="B778">
        <v>4</v>
      </c>
      <c r="C778" t="s">
        <v>4406</v>
      </c>
      <c r="D778" t="s">
        <v>4793</v>
      </c>
      <c r="E778" t="s">
        <v>4462</v>
      </c>
    </row>
    <row r="779" spans="1:5" x14ac:dyDescent="0.25">
      <c r="A779" t="s">
        <v>1340</v>
      </c>
      <c r="B779">
        <v>23</v>
      </c>
      <c r="C779" t="s">
        <v>4406</v>
      </c>
      <c r="D779" t="s">
        <v>4994</v>
      </c>
      <c r="E779" t="s">
        <v>4667</v>
      </c>
    </row>
    <row r="780" spans="1:5" x14ac:dyDescent="0.25">
      <c r="A780" t="s">
        <v>1426</v>
      </c>
      <c r="B780">
        <v>1</v>
      </c>
      <c r="C780" t="s">
        <v>4406</v>
      </c>
      <c r="D780" t="s">
        <v>4454</v>
      </c>
      <c r="E780" t="s">
        <v>4406</v>
      </c>
    </row>
    <row r="781" spans="1:5" x14ac:dyDescent="0.25">
      <c r="A781" t="s">
        <v>1372</v>
      </c>
      <c r="B781">
        <v>28</v>
      </c>
      <c r="C781" t="s">
        <v>5076</v>
      </c>
      <c r="D781" t="s">
        <v>5279</v>
      </c>
      <c r="E781" t="s">
        <v>4406</v>
      </c>
    </row>
    <row r="782" spans="1:5" x14ac:dyDescent="0.25">
      <c r="A782" t="s">
        <v>1296</v>
      </c>
      <c r="B782">
        <v>138</v>
      </c>
      <c r="C782" t="s">
        <v>4750</v>
      </c>
      <c r="D782" t="s">
        <v>5339</v>
      </c>
      <c r="E782" t="s">
        <v>5076</v>
      </c>
    </row>
    <row r="784" spans="1:5" x14ac:dyDescent="0.25">
      <c r="A784" t="s">
        <v>6252</v>
      </c>
    </row>
    <row r="785" spans="1:5" x14ac:dyDescent="0.25">
      <c r="A785" t="s">
        <v>1009</v>
      </c>
      <c r="B785" t="s">
        <v>4394</v>
      </c>
      <c r="C785" t="s">
        <v>109</v>
      </c>
      <c r="D785" t="s">
        <v>4962</v>
      </c>
      <c r="E785" t="s">
        <v>4963</v>
      </c>
    </row>
    <row r="786" spans="1:5" x14ac:dyDescent="0.25">
      <c r="A786" t="s">
        <v>4438</v>
      </c>
      <c r="B786">
        <v>42</v>
      </c>
      <c r="C786" t="s">
        <v>4424</v>
      </c>
      <c r="D786" t="s">
        <v>5029</v>
      </c>
      <c r="E786" t="s">
        <v>4749</v>
      </c>
    </row>
    <row r="787" spans="1:5" x14ac:dyDescent="0.25">
      <c r="A787" t="s">
        <v>4439</v>
      </c>
      <c r="B787">
        <v>19</v>
      </c>
      <c r="C787" t="s">
        <v>4406</v>
      </c>
      <c r="D787" t="s">
        <v>4970</v>
      </c>
      <c r="E787" t="s">
        <v>4640</v>
      </c>
    </row>
    <row r="788" spans="1:5" x14ac:dyDescent="0.25">
      <c r="A788" t="s">
        <v>1400</v>
      </c>
      <c r="B788">
        <v>4</v>
      </c>
      <c r="C788" t="s">
        <v>4406</v>
      </c>
      <c r="D788" t="s">
        <v>4454</v>
      </c>
      <c r="E788" t="s">
        <v>4406</v>
      </c>
    </row>
    <row r="789" spans="1:5" x14ac:dyDescent="0.25">
      <c r="A789" t="s">
        <v>1340</v>
      </c>
      <c r="B789">
        <v>21</v>
      </c>
      <c r="C789" t="s">
        <v>4406</v>
      </c>
      <c r="D789" t="s">
        <v>5007</v>
      </c>
      <c r="E789" t="s">
        <v>4749</v>
      </c>
    </row>
    <row r="790" spans="1:5" x14ac:dyDescent="0.25">
      <c r="A790" t="s">
        <v>1426</v>
      </c>
      <c r="B790">
        <v>9</v>
      </c>
      <c r="C790" t="s">
        <v>4406</v>
      </c>
      <c r="D790" t="s">
        <v>5005</v>
      </c>
      <c r="E790" t="s">
        <v>4676</v>
      </c>
    </row>
    <row r="791" spans="1:5" x14ac:dyDescent="0.25">
      <c r="A791" t="s">
        <v>1372</v>
      </c>
      <c r="B791">
        <v>43</v>
      </c>
      <c r="C791" t="s">
        <v>4753</v>
      </c>
      <c r="D791" t="s">
        <v>5276</v>
      </c>
      <c r="E791" t="s">
        <v>4406</v>
      </c>
    </row>
    <row r="792" spans="1:5" x14ac:dyDescent="0.25">
      <c r="A792" t="s">
        <v>1296</v>
      </c>
      <c r="B792">
        <v>138</v>
      </c>
      <c r="C792" t="s">
        <v>4750</v>
      </c>
      <c r="D792" t="s">
        <v>5339</v>
      </c>
      <c r="E792" t="s">
        <v>5076</v>
      </c>
    </row>
    <row r="794" spans="1:5" x14ac:dyDescent="0.25">
      <c r="A794" t="s">
        <v>6253</v>
      </c>
    </row>
    <row r="795" spans="1:5" x14ac:dyDescent="0.25">
      <c r="A795" t="s">
        <v>903</v>
      </c>
      <c r="B795" t="s">
        <v>4394</v>
      </c>
      <c r="C795" t="s">
        <v>109</v>
      </c>
      <c r="D795" t="s">
        <v>4962</v>
      </c>
      <c r="E795" t="s">
        <v>4963</v>
      </c>
    </row>
    <row r="796" spans="1:5" x14ac:dyDescent="0.25">
      <c r="A796" t="s">
        <v>70</v>
      </c>
      <c r="B796">
        <v>37</v>
      </c>
      <c r="C796" t="s">
        <v>4931</v>
      </c>
      <c r="D796" t="s">
        <v>5343</v>
      </c>
      <c r="E796" t="s">
        <v>4406</v>
      </c>
    </row>
    <row r="797" spans="1:5" x14ac:dyDescent="0.25">
      <c r="A797" t="s">
        <v>71</v>
      </c>
      <c r="B797">
        <v>101</v>
      </c>
      <c r="C797" t="s">
        <v>4402</v>
      </c>
      <c r="D797" t="s">
        <v>4729</v>
      </c>
      <c r="E797" t="s">
        <v>4758</v>
      </c>
    </row>
    <row r="798" spans="1:5" x14ac:dyDescent="0.25">
      <c r="A798" t="s">
        <v>1296</v>
      </c>
      <c r="B798">
        <v>138</v>
      </c>
      <c r="C798" t="s">
        <v>4750</v>
      </c>
      <c r="D798" t="s">
        <v>5339</v>
      </c>
      <c r="E798" t="s">
        <v>5076</v>
      </c>
    </row>
    <row r="800" spans="1:5" x14ac:dyDescent="0.25">
      <c r="A800" t="s">
        <v>6254</v>
      </c>
    </row>
    <row r="801" spans="1:5" x14ac:dyDescent="0.25">
      <c r="A801" t="s">
        <v>2842</v>
      </c>
      <c r="B801" t="s">
        <v>4394</v>
      </c>
      <c r="C801" t="s">
        <v>4732</v>
      </c>
      <c r="D801" t="s">
        <v>109</v>
      </c>
      <c r="E801" t="s">
        <v>192</v>
      </c>
    </row>
    <row r="802" spans="1:5" x14ac:dyDescent="0.25">
      <c r="A802" t="s">
        <v>5549</v>
      </c>
      <c r="B802">
        <v>83</v>
      </c>
      <c r="C802" t="s">
        <v>4424</v>
      </c>
      <c r="D802" t="s">
        <v>5433</v>
      </c>
      <c r="E802" t="s">
        <v>4526</v>
      </c>
    </row>
    <row r="803" spans="1:5" x14ac:dyDescent="0.25">
      <c r="A803" t="s">
        <v>1397</v>
      </c>
      <c r="B803">
        <v>55</v>
      </c>
      <c r="C803" t="s">
        <v>4406</v>
      </c>
      <c r="D803" t="s">
        <v>4834</v>
      </c>
      <c r="E803" t="s">
        <v>4472</v>
      </c>
    </row>
    <row r="804" spans="1:5" x14ac:dyDescent="0.25">
      <c r="A804" t="s">
        <v>1296</v>
      </c>
      <c r="B804">
        <v>138</v>
      </c>
      <c r="C804" t="s">
        <v>4750</v>
      </c>
      <c r="D804" t="s">
        <v>4980</v>
      </c>
      <c r="E804" t="s">
        <v>4687</v>
      </c>
    </row>
    <row r="806" spans="1:5" x14ac:dyDescent="0.25">
      <c r="A806" t="s">
        <v>6255</v>
      </c>
    </row>
    <row r="807" spans="1:5" x14ac:dyDescent="0.25">
      <c r="A807" t="s">
        <v>995</v>
      </c>
      <c r="B807" t="s">
        <v>4394</v>
      </c>
      <c r="C807" t="s">
        <v>4732</v>
      </c>
      <c r="D807" t="s">
        <v>109</v>
      </c>
      <c r="E807" t="s">
        <v>192</v>
      </c>
    </row>
    <row r="808" spans="1:5" x14ac:dyDescent="0.25">
      <c r="A808" t="s">
        <v>1338</v>
      </c>
      <c r="B808">
        <v>43</v>
      </c>
      <c r="C808">
        <v>1</v>
      </c>
      <c r="D808">
        <v>31</v>
      </c>
      <c r="E808">
        <v>11</v>
      </c>
    </row>
    <row r="809" spans="1:5" x14ac:dyDescent="0.25">
      <c r="A809" t="s">
        <v>1370</v>
      </c>
      <c r="B809">
        <v>10</v>
      </c>
      <c r="C809">
        <v>0</v>
      </c>
      <c r="D809">
        <v>7</v>
      </c>
      <c r="E809">
        <v>3</v>
      </c>
    </row>
    <row r="810" spans="1:5" x14ac:dyDescent="0.25">
      <c r="A810" t="s">
        <v>1439</v>
      </c>
      <c r="B810">
        <v>7</v>
      </c>
      <c r="C810">
        <v>1</v>
      </c>
      <c r="D810">
        <v>4</v>
      </c>
      <c r="E810">
        <v>2</v>
      </c>
    </row>
    <row r="811" spans="1:5" x14ac:dyDescent="0.25">
      <c r="A811" t="s">
        <v>1476</v>
      </c>
      <c r="B811">
        <v>5</v>
      </c>
      <c r="C811">
        <v>0</v>
      </c>
      <c r="D811">
        <v>5</v>
      </c>
      <c r="E811">
        <v>0</v>
      </c>
    </row>
    <row r="812" spans="1:5" x14ac:dyDescent="0.25">
      <c r="A812" t="s">
        <v>5476</v>
      </c>
      <c r="B812">
        <v>2</v>
      </c>
      <c r="C812">
        <v>0</v>
      </c>
      <c r="D812">
        <v>2</v>
      </c>
      <c r="E812">
        <v>0</v>
      </c>
    </row>
    <row r="813" spans="1:5" x14ac:dyDescent="0.25">
      <c r="A813" t="s">
        <v>1399</v>
      </c>
      <c r="B813">
        <v>23</v>
      </c>
      <c r="C813">
        <v>0</v>
      </c>
      <c r="D813">
        <v>19</v>
      </c>
      <c r="E813">
        <v>4</v>
      </c>
    </row>
    <row r="814" spans="1:5" x14ac:dyDescent="0.25">
      <c r="A814" t="s">
        <v>1415</v>
      </c>
      <c r="B814">
        <v>48</v>
      </c>
      <c r="C814">
        <v>0</v>
      </c>
      <c r="D814">
        <v>35</v>
      </c>
      <c r="E814">
        <v>13</v>
      </c>
    </row>
    <row r="815" spans="1:5" x14ac:dyDescent="0.25">
      <c r="A815" t="s">
        <v>1296</v>
      </c>
      <c r="B815">
        <v>138</v>
      </c>
      <c r="C815">
        <v>2</v>
      </c>
      <c r="D815">
        <v>103</v>
      </c>
      <c r="E815">
        <v>33</v>
      </c>
    </row>
    <row r="817" spans="1:5" x14ac:dyDescent="0.25">
      <c r="A817" t="s">
        <v>6256</v>
      </c>
    </row>
    <row r="818" spans="1:5" x14ac:dyDescent="0.25">
      <c r="A818" t="s">
        <v>998</v>
      </c>
      <c r="B818" t="s">
        <v>4394</v>
      </c>
      <c r="C818" t="s">
        <v>4732</v>
      </c>
      <c r="D818" t="s">
        <v>109</v>
      </c>
      <c r="E818" t="s">
        <v>192</v>
      </c>
    </row>
    <row r="819" spans="1:5" x14ac:dyDescent="0.25">
      <c r="A819" t="s">
        <v>109</v>
      </c>
      <c r="B819">
        <v>125</v>
      </c>
      <c r="C819" t="s">
        <v>4417</v>
      </c>
      <c r="D819" t="s">
        <v>5313</v>
      </c>
      <c r="E819" t="s">
        <v>4443</v>
      </c>
    </row>
    <row r="820" spans="1:5" x14ac:dyDescent="0.25">
      <c r="A820" t="s">
        <v>192</v>
      </c>
      <c r="B820">
        <v>13</v>
      </c>
      <c r="C820" t="s">
        <v>4705</v>
      </c>
      <c r="D820" t="s">
        <v>4582</v>
      </c>
      <c r="E820" t="s">
        <v>4567</v>
      </c>
    </row>
    <row r="821" spans="1:5" x14ac:dyDescent="0.25">
      <c r="A821" t="s">
        <v>1296</v>
      </c>
      <c r="B821">
        <v>138</v>
      </c>
      <c r="C821" t="s">
        <v>4750</v>
      </c>
      <c r="D821" t="s">
        <v>4980</v>
      </c>
      <c r="E821" t="s">
        <v>4687</v>
      </c>
    </row>
    <row r="823" spans="1:5" x14ac:dyDescent="0.25">
      <c r="A823" t="s">
        <v>6257</v>
      </c>
    </row>
    <row r="824" spans="1:5" x14ac:dyDescent="0.25">
      <c r="A824" t="s">
        <v>2644</v>
      </c>
      <c r="B824" t="s">
        <v>4394</v>
      </c>
      <c r="C824" t="s">
        <v>4732</v>
      </c>
      <c r="D824" t="s">
        <v>109</v>
      </c>
      <c r="E824" t="s">
        <v>192</v>
      </c>
    </row>
    <row r="825" spans="1:5" x14ac:dyDescent="0.25">
      <c r="A825" t="s">
        <v>1315</v>
      </c>
      <c r="B825">
        <v>39</v>
      </c>
      <c r="C825" t="s">
        <v>4406</v>
      </c>
      <c r="D825" t="s">
        <v>5114</v>
      </c>
      <c r="E825" t="s">
        <v>5168</v>
      </c>
    </row>
    <row r="826" spans="1:5" x14ac:dyDescent="0.25">
      <c r="A826" t="s">
        <v>1353</v>
      </c>
      <c r="B826">
        <v>5</v>
      </c>
      <c r="C826" t="s">
        <v>4406</v>
      </c>
      <c r="D826" t="s">
        <v>4834</v>
      </c>
      <c r="E826" t="s">
        <v>4472</v>
      </c>
    </row>
    <row r="827" spans="1:5" x14ac:dyDescent="0.25">
      <c r="A827" t="s">
        <v>4662</v>
      </c>
      <c r="B827">
        <v>94</v>
      </c>
      <c r="C827" t="s">
        <v>4673</v>
      </c>
      <c r="D827" t="s">
        <v>5028</v>
      </c>
      <c r="E827" t="s">
        <v>4470</v>
      </c>
    </row>
    <row r="828" spans="1:5" x14ac:dyDescent="0.25">
      <c r="A828" t="s">
        <v>1296</v>
      </c>
      <c r="B828">
        <v>138</v>
      </c>
      <c r="C828" t="s">
        <v>4750</v>
      </c>
      <c r="D828" t="s">
        <v>4980</v>
      </c>
      <c r="E828" t="s">
        <v>4687</v>
      </c>
    </row>
    <row r="830" spans="1:5" x14ac:dyDescent="0.25">
      <c r="A830" t="s">
        <v>6258</v>
      </c>
    </row>
    <row r="831" spans="1:5" x14ac:dyDescent="0.25">
      <c r="A831" t="s">
        <v>2641</v>
      </c>
      <c r="B831" t="s">
        <v>4394</v>
      </c>
      <c r="C831" t="s">
        <v>4732</v>
      </c>
      <c r="D831" t="s">
        <v>109</v>
      </c>
      <c r="E831" t="s">
        <v>192</v>
      </c>
    </row>
    <row r="832" spans="1:5" x14ac:dyDescent="0.25">
      <c r="A832" t="s">
        <v>4875</v>
      </c>
      <c r="B832">
        <v>2</v>
      </c>
      <c r="C832">
        <v>0</v>
      </c>
      <c r="D832">
        <v>2</v>
      </c>
      <c r="E832">
        <v>0</v>
      </c>
    </row>
    <row r="833" spans="1:5" x14ac:dyDescent="0.25">
      <c r="A833" t="s">
        <v>4732</v>
      </c>
      <c r="B833">
        <v>4</v>
      </c>
      <c r="C833">
        <v>0</v>
      </c>
      <c r="D833">
        <v>4</v>
      </c>
      <c r="E833">
        <v>0</v>
      </c>
    </row>
    <row r="834" spans="1:5" x14ac:dyDescent="0.25">
      <c r="A834" t="s">
        <v>4876</v>
      </c>
      <c r="B834">
        <v>32</v>
      </c>
      <c r="C834">
        <v>0</v>
      </c>
      <c r="D834">
        <v>26</v>
      </c>
      <c r="E834">
        <v>6</v>
      </c>
    </row>
    <row r="835" spans="1:5" x14ac:dyDescent="0.25">
      <c r="A835" t="s">
        <v>4877</v>
      </c>
      <c r="B835">
        <v>2</v>
      </c>
      <c r="C835">
        <v>0</v>
      </c>
      <c r="D835">
        <v>2</v>
      </c>
      <c r="E835">
        <v>0</v>
      </c>
    </row>
    <row r="836" spans="1:5" x14ac:dyDescent="0.25">
      <c r="A836" t="s">
        <v>4878</v>
      </c>
      <c r="B836">
        <v>5</v>
      </c>
      <c r="C836">
        <v>0</v>
      </c>
      <c r="D836">
        <v>5</v>
      </c>
      <c r="E836">
        <v>0</v>
      </c>
    </row>
    <row r="837" spans="1:5" x14ac:dyDescent="0.25">
      <c r="A837" t="s">
        <v>30</v>
      </c>
      <c r="B837">
        <v>3</v>
      </c>
      <c r="C837">
        <v>0</v>
      </c>
      <c r="D837">
        <v>3</v>
      </c>
      <c r="E837">
        <v>0</v>
      </c>
    </row>
    <row r="838" spans="1:5" x14ac:dyDescent="0.25">
      <c r="A838" t="s">
        <v>4879</v>
      </c>
      <c r="B838">
        <v>88</v>
      </c>
      <c r="C838">
        <v>2</v>
      </c>
      <c r="D838">
        <v>60</v>
      </c>
      <c r="E838">
        <v>26</v>
      </c>
    </row>
    <row r="839" spans="1:5" x14ac:dyDescent="0.25">
      <c r="A839" t="s">
        <v>4880</v>
      </c>
      <c r="B839">
        <v>2</v>
      </c>
      <c r="C839">
        <v>0</v>
      </c>
      <c r="D839">
        <v>1</v>
      </c>
      <c r="E839">
        <v>1</v>
      </c>
    </row>
    <row r="840" spans="1:5" x14ac:dyDescent="0.25">
      <c r="A840" t="s">
        <v>1296</v>
      </c>
      <c r="B840">
        <v>138</v>
      </c>
      <c r="C840">
        <v>2</v>
      </c>
      <c r="D840">
        <v>103</v>
      </c>
      <c r="E840">
        <v>33</v>
      </c>
    </row>
    <row r="842" spans="1:5" x14ac:dyDescent="0.25">
      <c r="A842" t="s">
        <v>6259</v>
      </c>
    </row>
    <row r="843" spans="1:5" x14ac:dyDescent="0.25">
      <c r="A843" t="s">
        <v>903</v>
      </c>
      <c r="B843" t="s">
        <v>4394</v>
      </c>
      <c r="C843" t="s">
        <v>4732</v>
      </c>
      <c r="D843" t="s">
        <v>109</v>
      </c>
      <c r="E843" t="s">
        <v>192</v>
      </c>
    </row>
    <row r="844" spans="1:5" x14ac:dyDescent="0.25">
      <c r="A844" t="s">
        <v>70</v>
      </c>
      <c r="B844">
        <v>37</v>
      </c>
      <c r="C844" t="s">
        <v>4931</v>
      </c>
      <c r="D844" t="s">
        <v>5310</v>
      </c>
      <c r="E844" t="s">
        <v>4924</v>
      </c>
    </row>
    <row r="845" spans="1:5" x14ac:dyDescent="0.25">
      <c r="A845" t="s">
        <v>71</v>
      </c>
      <c r="B845">
        <v>101</v>
      </c>
      <c r="C845" t="s">
        <v>4402</v>
      </c>
      <c r="D845" t="s">
        <v>5130</v>
      </c>
      <c r="E845" t="s">
        <v>4486</v>
      </c>
    </row>
    <row r="846" spans="1:5" x14ac:dyDescent="0.25">
      <c r="A846" t="s">
        <v>1296</v>
      </c>
      <c r="B846">
        <v>138</v>
      </c>
      <c r="C846" t="s">
        <v>4750</v>
      </c>
      <c r="D846" t="s">
        <v>4980</v>
      </c>
      <c r="E846" t="s">
        <v>4687</v>
      </c>
    </row>
    <row r="848" spans="1:5" x14ac:dyDescent="0.25">
      <c r="A848" t="s">
        <v>6260</v>
      </c>
    </row>
    <row r="849" spans="1:15" x14ac:dyDescent="0.25">
      <c r="A849" t="s">
        <v>2842</v>
      </c>
      <c r="B849" t="s">
        <v>4394</v>
      </c>
      <c r="C849" t="s">
        <v>5042</v>
      </c>
      <c r="D849" t="s">
        <v>5043</v>
      </c>
      <c r="E849" t="s">
        <v>4732</v>
      </c>
      <c r="F849" t="s">
        <v>5044</v>
      </c>
      <c r="G849" t="s">
        <v>5045</v>
      </c>
      <c r="H849" t="s">
        <v>5046</v>
      </c>
      <c r="I849" t="s">
        <v>5047</v>
      </c>
      <c r="J849" t="s">
        <v>5048</v>
      </c>
      <c r="K849" t="s">
        <v>4736</v>
      </c>
      <c r="L849" t="s">
        <v>4737</v>
      </c>
      <c r="M849" t="s">
        <v>5049</v>
      </c>
      <c r="N849" t="s">
        <v>5050</v>
      </c>
      <c r="O849" t="s">
        <v>5051</v>
      </c>
    </row>
    <row r="850" spans="1:15" x14ac:dyDescent="0.25">
      <c r="A850" t="s">
        <v>5549</v>
      </c>
      <c r="B850">
        <v>83</v>
      </c>
      <c r="C850" t="s">
        <v>4666</v>
      </c>
      <c r="D850" t="s">
        <v>4403</v>
      </c>
      <c r="E850" t="s">
        <v>4965</v>
      </c>
      <c r="F850" t="s">
        <v>5142</v>
      </c>
      <c r="G850" t="s">
        <v>4403</v>
      </c>
      <c r="H850" t="s">
        <v>5434</v>
      </c>
      <c r="I850" t="s">
        <v>4406</v>
      </c>
      <c r="J850" t="s">
        <v>4406</v>
      </c>
      <c r="K850" t="s">
        <v>4424</v>
      </c>
      <c r="L850" t="s">
        <v>4406</v>
      </c>
      <c r="M850" t="s">
        <v>5205</v>
      </c>
      <c r="N850" t="s">
        <v>4583</v>
      </c>
      <c r="O850" t="s">
        <v>4666</v>
      </c>
    </row>
    <row r="851" spans="1:15" x14ac:dyDescent="0.25">
      <c r="A851" t="s">
        <v>1397</v>
      </c>
      <c r="B851">
        <v>55</v>
      </c>
      <c r="C851" t="s">
        <v>4406</v>
      </c>
      <c r="D851" t="s">
        <v>5076</v>
      </c>
      <c r="E851" t="s">
        <v>4638</v>
      </c>
      <c r="F851" t="s">
        <v>4472</v>
      </c>
      <c r="G851" t="s">
        <v>4599</v>
      </c>
      <c r="H851" t="s">
        <v>4573</v>
      </c>
      <c r="I851" t="s">
        <v>4406</v>
      </c>
      <c r="J851" t="s">
        <v>4852</v>
      </c>
      <c r="K851" t="s">
        <v>5076</v>
      </c>
      <c r="L851" t="s">
        <v>4406</v>
      </c>
      <c r="M851" t="s">
        <v>5113</v>
      </c>
      <c r="N851" t="s">
        <v>4599</v>
      </c>
      <c r="O851" t="s">
        <v>4573</v>
      </c>
    </row>
    <row r="852" spans="1:15" x14ac:dyDescent="0.25">
      <c r="A852" t="s">
        <v>1296</v>
      </c>
      <c r="B852">
        <v>138</v>
      </c>
      <c r="C852" t="s">
        <v>4667</v>
      </c>
      <c r="D852" t="s">
        <v>4666</v>
      </c>
      <c r="E852" t="s">
        <v>4953</v>
      </c>
      <c r="F852" t="s">
        <v>4663</v>
      </c>
      <c r="G852" t="s">
        <v>4681</v>
      </c>
      <c r="H852" t="s">
        <v>4465</v>
      </c>
      <c r="I852" t="s">
        <v>4406</v>
      </c>
      <c r="J852" t="s">
        <v>5076</v>
      </c>
      <c r="K852" t="s">
        <v>4697</v>
      </c>
      <c r="L852" t="s">
        <v>4406</v>
      </c>
      <c r="M852" t="s">
        <v>5199</v>
      </c>
      <c r="N852" t="s">
        <v>4549</v>
      </c>
      <c r="O852" t="s">
        <v>4681</v>
      </c>
    </row>
    <row r="854" spans="1:15" x14ac:dyDescent="0.25">
      <c r="A854" t="s">
        <v>6261</v>
      </c>
    </row>
    <row r="855" spans="1:15" x14ac:dyDescent="0.25">
      <c r="A855" t="s">
        <v>995</v>
      </c>
      <c r="B855" t="s">
        <v>4394</v>
      </c>
      <c r="C855" t="s">
        <v>5042</v>
      </c>
      <c r="D855" t="s">
        <v>5043</v>
      </c>
      <c r="E855" t="s">
        <v>4732</v>
      </c>
      <c r="F855" t="s">
        <v>5044</v>
      </c>
      <c r="G855" t="s">
        <v>5045</v>
      </c>
      <c r="H855" t="s">
        <v>5046</v>
      </c>
      <c r="I855" t="s">
        <v>5047</v>
      </c>
      <c r="J855" t="s">
        <v>5048</v>
      </c>
      <c r="K855" t="s">
        <v>4736</v>
      </c>
      <c r="L855" t="s">
        <v>4737</v>
      </c>
      <c r="M855" t="s">
        <v>5049</v>
      </c>
      <c r="N855" t="s">
        <v>5050</v>
      </c>
      <c r="O855" t="s">
        <v>5051</v>
      </c>
    </row>
    <row r="856" spans="1:15" x14ac:dyDescent="0.25">
      <c r="A856" t="s">
        <v>1338</v>
      </c>
      <c r="B856">
        <v>43</v>
      </c>
      <c r="C856">
        <v>3</v>
      </c>
      <c r="D856">
        <v>6</v>
      </c>
      <c r="E856">
        <v>7</v>
      </c>
      <c r="F856">
        <v>5</v>
      </c>
      <c r="G856">
        <v>8</v>
      </c>
      <c r="H856">
        <v>17</v>
      </c>
      <c r="I856">
        <v>0</v>
      </c>
      <c r="J856">
        <v>0</v>
      </c>
      <c r="K856">
        <v>1</v>
      </c>
      <c r="L856">
        <v>0</v>
      </c>
      <c r="M856">
        <v>21</v>
      </c>
      <c r="N856">
        <v>9</v>
      </c>
      <c r="O856">
        <v>3</v>
      </c>
    </row>
    <row r="857" spans="1:15" x14ac:dyDescent="0.25">
      <c r="A857" t="s">
        <v>1370</v>
      </c>
      <c r="B857">
        <v>10</v>
      </c>
      <c r="C857">
        <v>0</v>
      </c>
      <c r="D857">
        <v>2</v>
      </c>
      <c r="E857">
        <v>2</v>
      </c>
      <c r="F857">
        <v>3</v>
      </c>
      <c r="G857">
        <v>0</v>
      </c>
      <c r="H857">
        <v>4</v>
      </c>
      <c r="I857">
        <v>0</v>
      </c>
      <c r="J857">
        <v>0</v>
      </c>
      <c r="K857">
        <v>0</v>
      </c>
      <c r="L857">
        <v>0</v>
      </c>
      <c r="M857">
        <v>2</v>
      </c>
      <c r="N857">
        <v>1</v>
      </c>
      <c r="O857">
        <v>2</v>
      </c>
    </row>
    <row r="858" spans="1:15" x14ac:dyDescent="0.25">
      <c r="A858" t="s">
        <v>1439</v>
      </c>
      <c r="B858">
        <v>7</v>
      </c>
      <c r="C858">
        <v>1</v>
      </c>
      <c r="D858">
        <v>1</v>
      </c>
      <c r="E858">
        <v>2</v>
      </c>
      <c r="F858">
        <v>1</v>
      </c>
      <c r="G858">
        <v>0</v>
      </c>
      <c r="H858">
        <v>1</v>
      </c>
      <c r="I858">
        <v>0</v>
      </c>
      <c r="J858">
        <v>0</v>
      </c>
      <c r="K858">
        <v>0</v>
      </c>
      <c r="L858">
        <v>0</v>
      </c>
      <c r="M858">
        <v>3</v>
      </c>
      <c r="N858">
        <v>3</v>
      </c>
      <c r="O858">
        <v>1</v>
      </c>
    </row>
    <row r="859" spans="1:15" x14ac:dyDescent="0.25">
      <c r="A859" t="s">
        <v>1476</v>
      </c>
      <c r="B859">
        <v>5</v>
      </c>
      <c r="C859">
        <v>0</v>
      </c>
      <c r="D859">
        <v>0</v>
      </c>
      <c r="E859">
        <v>3</v>
      </c>
      <c r="F859">
        <v>1</v>
      </c>
      <c r="G859">
        <v>0</v>
      </c>
      <c r="H859">
        <v>2</v>
      </c>
      <c r="I859">
        <v>0</v>
      </c>
      <c r="J859">
        <v>1</v>
      </c>
      <c r="K859">
        <v>0</v>
      </c>
      <c r="L859">
        <v>0</v>
      </c>
      <c r="M859">
        <v>0</v>
      </c>
      <c r="N859">
        <v>0</v>
      </c>
      <c r="O859">
        <v>1</v>
      </c>
    </row>
    <row r="860" spans="1:15" x14ac:dyDescent="0.25">
      <c r="A860" t="s">
        <v>5476</v>
      </c>
      <c r="B860">
        <v>2</v>
      </c>
      <c r="C860">
        <v>0</v>
      </c>
      <c r="D860">
        <v>0</v>
      </c>
      <c r="E860">
        <v>1</v>
      </c>
      <c r="F860">
        <v>1</v>
      </c>
      <c r="G860">
        <v>1</v>
      </c>
      <c r="H860">
        <v>0</v>
      </c>
      <c r="I860">
        <v>0</v>
      </c>
      <c r="J860">
        <v>0</v>
      </c>
      <c r="K860">
        <v>0</v>
      </c>
      <c r="L860">
        <v>0</v>
      </c>
      <c r="M860">
        <v>1</v>
      </c>
      <c r="N860">
        <v>0</v>
      </c>
      <c r="O860">
        <v>1</v>
      </c>
    </row>
    <row r="861" spans="1:15" x14ac:dyDescent="0.25">
      <c r="A861" t="s">
        <v>1399</v>
      </c>
      <c r="B861">
        <v>23</v>
      </c>
      <c r="C861">
        <v>0</v>
      </c>
      <c r="D861">
        <v>1</v>
      </c>
      <c r="E861">
        <v>6</v>
      </c>
      <c r="F861">
        <v>1</v>
      </c>
      <c r="G861">
        <v>0</v>
      </c>
      <c r="H861">
        <v>4</v>
      </c>
      <c r="I861">
        <v>0</v>
      </c>
      <c r="J861">
        <v>3</v>
      </c>
      <c r="K861">
        <v>1</v>
      </c>
      <c r="L861">
        <v>0</v>
      </c>
      <c r="M861">
        <v>12</v>
      </c>
      <c r="N861">
        <v>5</v>
      </c>
      <c r="O861">
        <v>4</v>
      </c>
    </row>
    <row r="862" spans="1:15" x14ac:dyDescent="0.25">
      <c r="A862" t="s">
        <v>1415</v>
      </c>
      <c r="B862">
        <v>48</v>
      </c>
      <c r="C862">
        <v>2</v>
      </c>
      <c r="D862">
        <v>0</v>
      </c>
      <c r="E862">
        <v>8</v>
      </c>
      <c r="F862">
        <v>6</v>
      </c>
      <c r="G862">
        <v>6</v>
      </c>
      <c r="H862">
        <v>18</v>
      </c>
      <c r="I862">
        <v>0</v>
      </c>
      <c r="J862">
        <v>1</v>
      </c>
      <c r="K862">
        <v>2</v>
      </c>
      <c r="L862">
        <v>0</v>
      </c>
      <c r="M862">
        <v>25</v>
      </c>
      <c r="N862">
        <v>6</v>
      </c>
      <c r="O862">
        <v>3</v>
      </c>
    </row>
    <row r="863" spans="1:15" x14ac:dyDescent="0.25">
      <c r="A863" t="s">
        <v>1296</v>
      </c>
      <c r="B863">
        <v>138</v>
      </c>
      <c r="C863">
        <v>6</v>
      </c>
      <c r="D863">
        <v>10</v>
      </c>
      <c r="E863">
        <v>29</v>
      </c>
      <c r="F863">
        <v>18</v>
      </c>
      <c r="G863">
        <v>15</v>
      </c>
      <c r="H863">
        <v>46</v>
      </c>
      <c r="I863">
        <v>0</v>
      </c>
      <c r="J863">
        <v>5</v>
      </c>
      <c r="K863">
        <v>4</v>
      </c>
      <c r="L863">
        <v>0</v>
      </c>
      <c r="M863">
        <v>64</v>
      </c>
      <c r="N863">
        <v>24</v>
      </c>
      <c r="O863">
        <v>15</v>
      </c>
    </row>
    <row r="865" spans="1:15" x14ac:dyDescent="0.25">
      <c r="A865" t="s">
        <v>6262</v>
      </c>
    </row>
    <row r="866" spans="1:15" x14ac:dyDescent="0.25">
      <c r="A866" t="s">
        <v>998</v>
      </c>
      <c r="B866" t="s">
        <v>4394</v>
      </c>
      <c r="C866" t="s">
        <v>5042</v>
      </c>
      <c r="D866" t="s">
        <v>5043</v>
      </c>
      <c r="E866" t="s">
        <v>4732</v>
      </c>
      <c r="F866" t="s">
        <v>5044</v>
      </c>
      <c r="G866" t="s">
        <v>5045</v>
      </c>
      <c r="H866" t="s">
        <v>5046</v>
      </c>
      <c r="I866" t="s">
        <v>5047</v>
      </c>
      <c r="J866" t="s">
        <v>5048</v>
      </c>
      <c r="K866" t="s">
        <v>4736</v>
      </c>
      <c r="L866" t="s">
        <v>4737</v>
      </c>
      <c r="M866" t="s">
        <v>5049</v>
      </c>
      <c r="N866" t="s">
        <v>5050</v>
      </c>
      <c r="O866" t="s">
        <v>5051</v>
      </c>
    </row>
    <row r="867" spans="1:15" x14ac:dyDescent="0.25">
      <c r="A867" t="s">
        <v>109</v>
      </c>
      <c r="B867">
        <v>125</v>
      </c>
      <c r="C867" t="s">
        <v>4660</v>
      </c>
      <c r="D867" t="s">
        <v>4571</v>
      </c>
      <c r="E867" t="s">
        <v>4924</v>
      </c>
      <c r="F867" t="s">
        <v>4707</v>
      </c>
      <c r="G867" t="s">
        <v>5064</v>
      </c>
      <c r="H867" t="s">
        <v>5117</v>
      </c>
      <c r="I867" t="s">
        <v>4406</v>
      </c>
      <c r="J867" t="s">
        <v>4660</v>
      </c>
      <c r="K867" t="s">
        <v>4713</v>
      </c>
      <c r="L867" t="s">
        <v>4406</v>
      </c>
      <c r="M867" t="s">
        <v>5219</v>
      </c>
      <c r="N867" t="s">
        <v>4863</v>
      </c>
      <c r="O867" t="s">
        <v>4403</v>
      </c>
    </row>
    <row r="868" spans="1:15" x14ac:dyDescent="0.25">
      <c r="A868" t="s">
        <v>192</v>
      </c>
      <c r="B868">
        <v>13</v>
      </c>
      <c r="C868" t="s">
        <v>4705</v>
      </c>
      <c r="D868" t="s">
        <v>4566</v>
      </c>
      <c r="E868" t="s">
        <v>4474</v>
      </c>
      <c r="F868" t="s">
        <v>4566</v>
      </c>
      <c r="G868" t="s">
        <v>4705</v>
      </c>
      <c r="H868" t="s">
        <v>4711</v>
      </c>
      <c r="I868" t="s">
        <v>4406</v>
      </c>
      <c r="J868" t="s">
        <v>4406</v>
      </c>
      <c r="K868" t="s">
        <v>4406</v>
      </c>
      <c r="L868" t="s">
        <v>4406</v>
      </c>
      <c r="M868" t="s">
        <v>4711</v>
      </c>
      <c r="N868" t="s">
        <v>4711</v>
      </c>
      <c r="O868" t="s">
        <v>4566</v>
      </c>
    </row>
    <row r="869" spans="1:15" x14ac:dyDescent="0.25">
      <c r="A869" t="s">
        <v>1296</v>
      </c>
      <c r="B869">
        <v>138</v>
      </c>
      <c r="C869" t="s">
        <v>4667</v>
      </c>
      <c r="D869" t="s">
        <v>4666</v>
      </c>
      <c r="E869" t="s">
        <v>4953</v>
      </c>
      <c r="F869" t="s">
        <v>4663</v>
      </c>
      <c r="G869" t="s">
        <v>4681</v>
      </c>
      <c r="H869" t="s">
        <v>4465</v>
      </c>
      <c r="I869" t="s">
        <v>4406</v>
      </c>
      <c r="J869" t="s">
        <v>5076</v>
      </c>
      <c r="K869" t="s">
        <v>4697</v>
      </c>
      <c r="L869" t="s">
        <v>4406</v>
      </c>
      <c r="M869" t="s">
        <v>5199</v>
      </c>
      <c r="N869" t="s">
        <v>4549</v>
      </c>
      <c r="O869" t="s">
        <v>4681</v>
      </c>
    </row>
    <row r="871" spans="1:15" x14ac:dyDescent="0.25">
      <c r="A871" t="s">
        <v>6263</v>
      </c>
    </row>
    <row r="872" spans="1:15" x14ac:dyDescent="0.25">
      <c r="A872" t="s">
        <v>1295</v>
      </c>
      <c r="B872" t="s">
        <v>4394</v>
      </c>
      <c r="C872" t="s">
        <v>5042</v>
      </c>
      <c r="D872" t="s">
        <v>5043</v>
      </c>
      <c r="E872" t="s">
        <v>4732</v>
      </c>
      <c r="F872" t="s">
        <v>5044</v>
      </c>
      <c r="G872" t="s">
        <v>5045</v>
      </c>
      <c r="H872" t="s">
        <v>5046</v>
      </c>
      <c r="I872" t="s">
        <v>5047</v>
      </c>
      <c r="J872" t="s">
        <v>5048</v>
      </c>
      <c r="K872" t="s">
        <v>4736</v>
      </c>
      <c r="L872" t="s">
        <v>4737</v>
      </c>
      <c r="M872" t="s">
        <v>5049</v>
      </c>
      <c r="N872" t="s">
        <v>5050</v>
      </c>
      <c r="O872" t="s">
        <v>5051</v>
      </c>
    </row>
    <row r="873" spans="1:15" x14ac:dyDescent="0.25">
      <c r="A873" t="s">
        <v>4395</v>
      </c>
      <c r="B873">
        <v>15</v>
      </c>
      <c r="C873" t="s">
        <v>4406</v>
      </c>
      <c r="D873" t="s">
        <v>4406</v>
      </c>
      <c r="E873" t="s">
        <v>5107</v>
      </c>
      <c r="F873" t="s">
        <v>4472</v>
      </c>
      <c r="G873" t="s">
        <v>4607</v>
      </c>
      <c r="H873" t="s">
        <v>4472</v>
      </c>
      <c r="I873" t="s">
        <v>4406</v>
      </c>
      <c r="J873" t="s">
        <v>4416</v>
      </c>
      <c r="K873" t="s">
        <v>4406</v>
      </c>
      <c r="L873" t="s">
        <v>4406</v>
      </c>
      <c r="M873" t="s">
        <v>4415</v>
      </c>
      <c r="N873" t="s">
        <v>4416</v>
      </c>
      <c r="O873" t="s">
        <v>4607</v>
      </c>
    </row>
    <row r="874" spans="1:15" x14ac:dyDescent="0.25">
      <c r="A874" t="s">
        <v>4396</v>
      </c>
      <c r="B874">
        <v>53</v>
      </c>
      <c r="C874" t="s">
        <v>4952</v>
      </c>
      <c r="D874" t="s">
        <v>4406</v>
      </c>
      <c r="E874" t="s">
        <v>5003</v>
      </c>
      <c r="F874" t="s">
        <v>4950</v>
      </c>
      <c r="G874" t="s">
        <v>4869</v>
      </c>
      <c r="H874" t="s">
        <v>5219</v>
      </c>
      <c r="I874" t="s">
        <v>4406</v>
      </c>
      <c r="J874" t="s">
        <v>4406</v>
      </c>
      <c r="K874" t="s">
        <v>4406</v>
      </c>
      <c r="L874" t="s">
        <v>4406</v>
      </c>
      <c r="M874" t="s">
        <v>5250</v>
      </c>
      <c r="N874" t="s">
        <v>5182</v>
      </c>
      <c r="O874" t="s">
        <v>4650</v>
      </c>
    </row>
    <row r="875" spans="1:15" x14ac:dyDescent="0.25">
      <c r="A875" t="s">
        <v>4397</v>
      </c>
      <c r="B875">
        <v>1</v>
      </c>
      <c r="C875" t="s">
        <v>4406</v>
      </c>
      <c r="D875" t="s">
        <v>4406</v>
      </c>
      <c r="E875" t="s">
        <v>4406</v>
      </c>
      <c r="F875" t="s">
        <v>4406</v>
      </c>
      <c r="G875" t="s">
        <v>4406</v>
      </c>
      <c r="H875" t="s">
        <v>4454</v>
      </c>
      <c r="I875" t="s">
        <v>4406</v>
      </c>
      <c r="J875" t="s">
        <v>4406</v>
      </c>
      <c r="K875" t="s">
        <v>4406</v>
      </c>
      <c r="L875" t="s">
        <v>4406</v>
      </c>
      <c r="M875" t="s">
        <v>4406</v>
      </c>
      <c r="N875" t="s">
        <v>4406</v>
      </c>
      <c r="O875" t="s">
        <v>4406</v>
      </c>
    </row>
    <row r="876" spans="1:15" x14ac:dyDescent="0.25">
      <c r="A876" t="s">
        <v>4398</v>
      </c>
      <c r="B876">
        <v>64</v>
      </c>
      <c r="C876" t="s">
        <v>4917</v>
      </c>
      <c r="D876" t="s">
        <v>4681</v>
      </c>
      <c r="E876" t="s">
        <v>4944</v>
      </c>
      <c r="F876" t="s">
        <v>4543</v>
      </c>
      <c r="G876" t="s">
        <v>4681</v>
      </c>
      <c r="H876" t="s">
        <v>5179</v>
      </c>
      <c r="I876" t="s">
        <v>4406</v>
      </c>
      <c r="J876" t="s">
        <v>4917</v>
      </c>
      <c r="K876" t="s">
        <v>4917</v>
      </c>
      <c r="L876" t="s">
        <v>4406</v>
      </c>
      <c r="M876" t="s">
        <v>5226</v>
      </c>
      <c r="N876" t="s">
        <v>4882</v>
      </c>
      <c r="O876" t="s">
        <v>4854</v>
      </c>
    </row>
    <row r="877" spans="1:15" x14ac:dyDescent="0.25">
      <c r="A877" t="s">
        <v>4399</v>
      </c>
      <c r="B877">
        <v>5</v>
      </c>
      <c r="C877" t="s">
        <v>4472</v>
      </c>
      <c r="D877" t="s">
        <v>4457</v>
      </c>
      <c r="E877" t="s">
        <v>4406</v>
      </c>
      <c r="F877" t="s">
        <v>4406</v>
      </c>
      <c r="G877" t="s">
        <v>4406</v>
      </c>
      <c r="H877" t="s">
        <v>4406</v>
      </c>
      <c r="I877" t="s">
        <v>4406</v>
      </c>
      <c r="J877" t="s">
        <v>4406</v>
      </c>
      <c r="K877" t="s">
        <v>4406</v>
      </c>
      <c r="L877" t="s">
        <v>4406</v>
      </c>
      <c r="M877" t="s">
        <v>4458</v>
      </c>
      <c r="N877" t="s">
        <v>4458</v>
      </c>
      <c r="O877" t="s">
        <v>4406</v>
      </c>
    </row>
    <row r="878" spans="1:15" x14ac:dyDescent="0.25">
      <c r="A878" t="s">
        <v>1296</v>
      </c>
      <c r="B878">
        <v>138</v>
      </c>
      <c r="C878" t="s">
        <v>4667</v>
      </c>
      <c r="D878" t="s">
        <v>4666</v>
      </c>
      <c r="E878" t="s">
        <v>4953</v>
      </c>
      <c r="F878" t="s">
        <v>4663</v>
      </c>
      <c r="G878" t="s">
        <v>4681</v>
      </c>
      <c r="H878" t="s">
        <v>4465</v>
      </c>
      <c r="I878" t="s">
        <v>4406</v>
      </c>
      <c r="J878" t="s">
        <v>5076</v>
      </c>
      <c r="K878" t="s">
        <v>4697</v>
      </c>
      <c r="L878" t="s">
        <v>4406</v>
      </c>
      <c r="M878" t="s">
        <v>5199</v>
      </c>
      <c r="N878" t="s">
        <v>4549</v>
      </c>
      <c r="O878" t="s">
        <v>4681</v>
      </c>
    </row>
    <row r="880" spans="1:15" x14ac:dyDescent="0.25">
      <c r="A880" t="s">
        <v>6264</v>
      </c>
    </row>
    <row r="881" spans="1:15" x14ac:dyDescent="0.25">
      <c r="A881" t="s">
        <v>2723</v>
      </c>
      <c r="B881" t="s">
        <v>4394</v>
      </c>
      <c r="C881" t="s">
        <v>5042</v>
      </c>
      <c r="D881" t="s">
        <v>5043</v>
      </c>
      <c r="E881" t="s">
        <v>4732</v>
      </c>
      <c r="F881" t="s">
        <v>5044</v>
      </c>
      <c r="G881" t="s">
        <v>5045</v>
      </c>
      <c r="H881" t="s">
        <v>5046</v>
      </c>
      <c r="I881" t="s">
        <v>5047</v>
      </c>
      <c r="J881" t="s">
        <v>5048</v>
      </c>
      <c r="K881" t="s">
        <v>4736</v>
      </c>
      <c r="L881" t="s">
        <v>4737</v>
      </c>
      <c r="M881" t="s">
        <v>5049</v>
      </c>
      <c r="N881" t="s">
        <v>5050</v>
      </c>
      <c r="O881" t="s">
        <v>5051</v>
      </c>
    </row>
    <row r="882" spans="1:15" x14ac:dyDescent="0.25">
      <c r="A882" t="s">
        <v>4433</v>
      </c>
      <c r="B882">
        <v>6</v>
      </c>
      <c r="C882" t="s">
        <v>4406</v>
      </c>
      <c r="D882" t="s">
        <v>4465</v>
      </c>
      <c r="E882" t="s">
        <v>4596</v>
      </c>
      <c r="F882" t="s">
        <v>4596</v>
      </c>
      <c r="G882" t="s">
        <v>4406</v>
      </c>
      <c r="H882" t="s">
        <v>4596</v>
      </c>
      <c r="I882" t="s">
        <v>4406</v>
      </c>
      <c r="J882" t="s">
        <v>4406</v>
      </c>
      <c r="K882" t="s">
        <v>4406</v>
      </c>
      <c r="L882" t="s">
        <v>4406</v>
      </c>
      <c r="M882" t="s">
        <v>4465</v>
      </c>
      <c r="N882" t="s">
        <v>4465</v>
      </c>
      <c r="O882" t="s">
        <v>4465</v>
      </c>
    </row>
    <row r="883" spans="1:15" x14ac:dyDescent="0.25">
      <c r="A883" t="s">
        <v>4434</v>
      </c>
      <c r="B883">
        <v>57</v>
      </c>
      <c r="C883" t="s">
        <v>4905</v>
      </c>
      <c r="D883" t="s">
        <v>4905</v>
      </c>
      <c r="E883" t="s">
        <v>5183</v>
      </c>
      <c r="F883" t="s">
        <v>4867</v>
      </c>
      <c r="G883" t="s">
        <v>4921</v>
      </c>
      <c r="H883" t="s">
        <v>4504</v>
      </c>
      <c r="I883" t="s">
        <v>4406</v>
      </c>
      <c r="J883" t="s">
        <v>4757</v>
      </c>
      <c r="K883" t="s">
        <v>4757</v>
      </c>
      <c r="L883" t="s">
        <v>4406</v>
      </c>
      <c r="M883" t="s">
        <v>4466</v>
      </c>
      <c r="N883" t="s">
        <v>4759</v>
      </c>
      <c r="O883" t="s">
        <v>4600</v>
      </c>
    </row>
    <row r="884" spans="1:15" x14ac:dyDescent="0.25">
      <c r="A884" t="s">
        <v>4435</v>
      </c>
      <c r="B884">
        <v>47</v>
      </c>
      <c r="C884" t="s">
        <v>4423</v>
      </c>
      <c r="D884" t="s">
        <v>4706</v>
      </c>
      <c r="E884" t="s">
        <v>5003</v>
      </c>
      <c r="F884" t="s">
        <v>4423</v>
      </c>
      <c r="G884" t="s">
        <v>4856</v>
      </c>
      <c r="H884" t="s">
        <v>4947</v>
      </c>
      <c r="I884" t="s">
        <v>4406</v>
      </c>
      <c r="J884" t="s">
        <v>4667</v>
      </c>
      <c r="K884" t="s">
        <v>4667</v>
      </c>
      <c r="L884" t="s">
        <v>4406</v>
      </c>
      <c r="M884" t="s">
        <v>5101</v>
      </c>
      <c r="N884" t="s">
        <v>4423</v>
      </c>
      <c r="O884" t="s">
        <v>4423</v>
      </c>
    </row>
    <row r="885" spans="1:15" x14ac:dyDescent="0.25">
      <c r="A885" t="s">
        <v>4436</v>
      </c>
      <c r="B885">
        <v>28</v>
      </c>
      <c r="C885" t="s">
        <v>4406</v>
      </c>
      <c r="D885" t="s">
        <v>5076</v>
      </c>
      <c r="E885" t="s">
        <v>4604</v>
      </c>
      <c r="F885" t="s">
        <v>4987</v>
      </c>
      <c r="G885" t="s">
        <v>4522</v>
      </c>
      <c r="H885" t="s">
        <v>4538</v>
      </c>
      <c r="I885" t="s">
        <v>4406</v>
      </c>
      <c r="J885" t="s">
        <v>5076</v>
      </c>
      <c r="K885" t="s">
        <v>4406</v>
      </c>
      <c r="L885" t="s">
        <v>4406</v>
      </c>
      <c r="M885" t="s">
        <v>5251</v>
      </c>
      <c r="N885" t="s">
        <v>4462</v>
      </c>
      <c r="O885" t="s">
        <v>4400</v>
      </c>
    </row>
    <row r="886" spans="1:15" x14ac:dyDescent="0.25">
      <c r="A886" t="s">
        <v>1296</v>
      </c>
      <c r="B886">
        <v>138</v>
      </c>
      <c r="C886" t="s">
        <v>4667</v>
      </c>
      <c r="D886" t="s">
        <v>4666</v>
      </c>
      <c r="E886" t="s">
        <v>4953</v>
      </c>
      <c r="F886" t="s">
        <v>4663</v>
      </c>
      <c r="G886" t="s">
        <v>4681</v>
      </c>
      <c r="H886" t="s">
        <v>4465</v>
      </c>
      <c r="I886" t="s">
        <v>4406</v>
      </c>
      <c r="J886" t="s">
        <v>5076</v>
      </c>
      <c r="K886" t="s">
        <v>4697</v>
      </c>
      <c r="L886" t="s">
        <v>4406</v>
      </c>
      <c r="M886" t="s">
        <v>5199</v>
      </c>
      <c r="N886" t="s">
        <v>4549</v>
      </c>
      <c r="O886" t="s">
        <v>4681</v>
      </c>
    </row>
    <row r="888" spans="1:15" x14ac:dyDescent="0.25">
      <c r="A888" t="s">
        <v>6265</v>
      </c>
    </row>
    <row r="889" spans="1:15" x14ac:dyDescent="0.25">
      <c r="A889" t="s">
        <v>2615</v>
      </c>
      <c r="B889" t="s">
        <v>4394</v>
      </c>
      <c r="C889" t="s">
        <v>5042</v>
      </c>
      <c r="D889" t="s">
        <v>5043</v>
      </c>
      <c r="E889" t="s">
        <v>4732</v>
      </c>
      <c r="F889" t="s">
        <v>5044</v>
      </c>
      <c r="G889" t="s">
        <v>5045</v>
      </c>
      <c r="H889" t="s">
        <v>5046</v>
      </c>
      <c r="I889" t="s">
        <v>5047</v>
      </c>
      <c r="J889" t="s">
        <v>5048</v>
      </c>
      <c r="K889" t="s">
        <v>4736</v>
      </c>
      <c r="L889" t="s">
        <v>4737</v>
      </c>
      <c r="M889" t="s">
        <v>5049</v>
      </c>
      <c r="N889" t="s">
        <v>5050</v>
      </c>
      <c r="O889" t="s">
        <v>5051</v>
      </c>
    </row>
    <row r="890" spans="1:15" x14ac:dyDescent="0.25">
      <c r="A890" t="s">
        <v>5057</v>
      </c>
      <c r="B890">
        <v>81</v>
      </c>
      <c r="C890" t="s">
        <v>4958</v>
      </c>
      <c r="D890" t="s">
        <v>4850</v>
      </c>
      <c r="E890" t="s">
        <v>4464</v>
      </c>
      <c r="F890" t="s">
        <v>4425</v>
      </c>
      <c r="G890" t="s">
        <v>4425</v>
      </c>
      <c r="H890" t="s">
        <v>4683</v>
      </c>
      <c r="I890" t="s">
        <v>4406</v>
      </c>
      <c r="J890" t="s">
        <v>4406</v>
      </c>
      <c r="K890" t="s">
        <v>4645</v>
      </c>
      <c r="L890" t="s">
        <v>4406</v>
      </c>
      <c r="M890" t="s">
        <v>4611</v>
      </c>
      <c r="N890" t="s">
        <v>4874</v>
      </c>
      <c r="O890" t="s">
        <v>4958</v>
      </c>
    </row>
    <row r="891" spans="1:15" x14ac:dyDescent="0.25">
      <c r="A891" t="s">
        <v>5060</v>
      </c>
      <c r="B891">
        <v>55</v>
      </c>
      <c r="C891" t="s">
        <v>4406</v>
      </c>
      <c r="D891" t="s">
        <v>5467</v>
      </c>
      <c r="E891" t="s">
        <v>4638</v>
      </c>
      <c r="F891" t="s">
        <v>4405</v>
      </c>
      <c r="G891" t="s">
        <v>4599</v>
      </c>
      <c r="H891" t="s">
        <v>4591</v>
      </c>
      <c r="I891" t="s">
        <v>4406</v>
      </c>
      <c r="J891" t="s">
        <v>4852</v>
      </c>
      <c r="K891" t="s">
        <v>5076</v>
      </c>
      <c r="L891" t="s">
        <v>4406</v>
      </c>
      <c r="M891" t="s">
        <v>4492</v>
      </c>
      <c r="N891" t="s">
        <v>4591</v>
      </c>
      <c r="O891" t="s">
        <v>4573</v>
      </c>
    </row>
    <row r="892" spans="1:15" x14ac:dyDescent="0.25">
      <c r="A892" t="s">
        <v>5061</v>
      </c>
      <c r="B892">
        <v>2</v>
      </c>
      <c r="C892" t="s">
        <v>4406</v>
      </c>
      <c r="D892" t="s">
        <v>4406</v>
      </c>
      <c r="E892" t="s">
        <v>4468</v>
      </c>
      <c r="F892" t="s">
        <v>4406</v>
      </c>
      <c r="G892" t="s">
        <v>4406</v>
      </c>
      <c r="H892" t="s">
        <v>4468</v>
      </c>
      <c r="I892" t="s">
        <v>4406</v>
      </c>
      <c r="J892" t="s">
        <v>4406</v>
      </c>
      <c r="K892" t="s">
        <v>4406</v>
      </c>
      <c r="L892" t="s">
        <v>4406</v>
      </c>
      <c r="M892" t="s">
        <v>4406</v>
      </c>
      <c r="N892" t="s">
        <v>4406</v>
      </c>
      <c r="O892" t="s">
        <v>4406</v>
      </c>
    </row>
    <row r="893" spans="1:15" x14ac:dyDescent="0.25">
      <c r="A893" t="s">
        <v>1296</v>
      </c>
      <c r="B893">
        <v>138</v>
      </c>
      <c r="C893" t="s">
        <v>4667</v>
      </c>
      <c r="D893" t="s">
        <v>4666</v>
      </c>
      <c r="E893" t="s">
        <v>4953</v>
      </c>
      <c r="F893" t="s">
        <v>4663</v>
      </c>
      <c r="G893" t="s">
        <v>4681</v>
      </c>
      <c r="H893" t="s">
        <v>4465</v>
      </c>
      <c r="I893" t="s">
        <v>4406</v>
      </c>
      <c r="J893" t="s">
        <v>5076</v>
      </c>
      <c r="K893" t="s">
        <v>4697</v>
      </c>
      <c r="L893" t="s">
        <v>4406</v>
      </c>
      <c r="M893" t="s">
        <v>5199</v>
      </c>
      <c r="N893" t="s">
        <v>4549</v>
      </c>
      <c r="O893" t="s">
        <v>4681</v>
      </c>
    </row>
    <row r="895" spans="1:15" x14ac:dyDescent="0.25">
      <c r="A895" t="s">
        <v>6266</v>
      </c>
    </row>
    <row r="896" spans="1:15" x14ac:dyDescent="0.25">
      <c r="A896" t="s">
        <v>2644</v>
      </c>
      <c r="B896" t="s">
        <v>4394</v>
      </c>
      <c r="C896" t="s">
        <v>5042</v>
      </c>
      <c r="D896" t="s">
        <v>5043</v>
      </c>
      <c r="E896" t="s">
        <v>4732</v>
      </c>
      <c r="F896" t="s">
        <v>5044</v>
      </c>
      <c r="G896" t="s">
        <v>5045</v>
      </c>
      <c r="H896" t="s">
        <v>5046</v>
      </c>
      <c r="I896" t="s">
        <v>5047</v>
      </c>
      <c r="J896" t="s">
        <v>5048</v>
      </c>
      <c r="K896" t="s">
        <v>4736</v>
      </c>
      <c r="L896" t="s">
        <v>4737</v>
      </c>
      <c r="M896" t="s">
        <v>5049</v>
      </c>
      <c r="N896" t="s">
        <v>5050</v>
      </c>
      <c r="O896" t="s">
        <v>5051</v>
      </c>
    </row>
    <row r="897" spans="1:15" x14ac:dyDescent="0.25">
      <c r="A897" t="s">
        <v>1315</v>
      </c>
      <c r="B897">
        <v>39</v>
      </c>
      <c r="C897" t="s">
        <v>4406</v>
      </c>
      <c r="D897" t="s">
        <v>4406</v>
      </c>
      <c r="E897" t="s">
        <v>4705</v>
      </c>
      <c r="F897" t="s">
        <v>4583</v>
      </c>
      <c r="G897" t="s">
        <v>4474</v>
      </c>
      <c r="H897" t="s">
        <v>5166</v>
      </c>
      <c r="I897" t="s">
        <v>4406</v>
      </c>
      <c r="J897" t="s">
        <v>4406</v>
      </c>
      <c r="K897" t="s">
        <v>4864</v>
      </c>
      <c r="L897" t="s">
        <v>4406</v>
      </c>
      <c r="M897" t="s">
        <v>4582</v>
      </c>
      <c r="N897" t="s">
        <v>4583</v>
      </c>
      <c r="O897" t="s">
        <v>4705</v>
      </c>
    </row>
    <row r="898" spans="1:15" x14ac:dyDescent="0.25">
      <c r="A898" t="s">
        <v>1353</v>
      </c>
      <c r="B898">
        <v>5</v>
      </c>
      <c r="C898" t="s">
        <v>4406</v>
      </c>
      <c r="D898" t="s">
        <v>4406</v>
      </c>
      <c r="E898" t="s">
        <v>4472</v>
      </c>
      <c r="F898" t="s">
        <v>4457</v>
      </c>
      <c r="G898" t="s">
        <v>4472</v>
      </c>
      <c r="H898" t="s">
        <v>4472</v>
      </c>
      <c r="I898" t="s">
        <v>4406</v>
      </c>
      <c r="J898" t="s">
        <v>4406</v>
      </c>
      <c r="K898" t="s">
        <v>4406</v>
      </c>
      <c r="L898" t="s">
        <v>4406</v>
      </c>
      <c r="M898" t="s">
        <v>4457</v>
      </c>
      <c r="N898" t="s">
        <v>4472</v>
      </c>
      <c r="O898" t="s">
        <v>4457</v>
      </c>
    </row>
    <row r="899" spans="1:15" x14ac:dyDescent="0.25">
      <c r="A899" t="s">
        <v>4662</v>
      </c>
      <c r="B899">
        <v>94</v>
      </c>
      <c r="C899" t="s">
        <v>4856</v>
      </c>
      <c r="D899" t="s">
        <v>4423</v>
      </c>
      <c r="E899" t="s">
        <v>5179</v>
      </c>
      <c r="F899" t="s">
        <v>4958</v>
      </c>
      <c r="G899" t="s">
        <v>4414</v>
      </c>
      <c r="H899" t="s">
        <v>4440</v>
      </c>
      <c r="I899" t="s">
        <v>4406</v>
      </c>
      <c r="J899" t="s">
        <v>4640</v>
      </c>
      <c r="K899" t="s">
        <v>4713</v>
      </c>
      <c r="L899" t="s">
        <v>4406</v>
      </c>
      <c r="M899" t="s">
        <v>4807</v>
      </c>
      <c r="N899" t="s">
        <v>4657</v>
      </c>
      <c r="O899" t="s">
        <v>4403</v>
      </c>
    </row>
    <row r="900" spans="1:15" x14ac:dyDescent="0.25">
      <c r="A900" t="s">
        <v>1296</v>
      </c>
      <c r="B900">
        <v>138</v>
      </c>
      <c r="C900" t="s">
        <v>4667</v>
      </c>
      <c r="D900" t="s">
        <v>4666</v>
      </c>
      <c r="E900" t="s">
        <v>4953</v>
      </c>
      <c r="F900" t="s">
        <v>4663</v>
      </c>
      <c r="G900" t="s">
        <v>4681</v>
      </c>
      <c r="H900" t="s">
        <v>4465</v>
      </c>
      <c r="I900" t="s">
        <v>4406</v>
      </c>
      <c r="J900" t="s">
        <v>5076</v>
      </c>
      <c r="K900" t="s">
        <v>4697</v>
      </c>
      <c r="L900" t="s">
        <v>4406</v>
      </c>
      <c r="M900" t="s">
        <v>5199</v>
      </c>
      <c r="N900" t="s">
        <v>4549</v>
      </c>
      <c r="O900" t="s">
        <v>4681</v>
      </c>
    </row>
    <row r="902" spans="1:15" x14ac:dyDescent="0.25">
      <c r="A902" t="s">
        <v>6267</v>
      </c>
    </row>
    <row r="903" spans="1:15" x14ac:dyDescent="0.25">
      <c r="A903" t="s">
        <v>903</v>
      </c>
      <c r="B903" t="s">
        <v>4394</v>
      </c>
      <c r="C903" t="s">
        <v>5042</v>
      </c>
      <c r="D903" t="s">
        <v>5043</v>
      </c>
      <c r="E903" t="s">
        <v>4732</v>
      </c>
      <c r="F903" t="s">
        <v>5044</v>
      </c>
      <c r="G903" t="s">
        <v>5045</v>
      </c>
      <c r="H903" t="s">
        <v>5046</v>
      </c>
      <c r="I903" t="s">
        <v>5047</v>
      </c>
      <c r="J903" t="s">
        <v>5048</v>
      </c>
      <c r="K903" t="s">
        <v>4736</v>
      </c>
      <c r="L903" t="s">
        <v>4737</v>
      </c>
      <c r="M903" t="s">
        <v>5049</v>
      </c>
      <c r="N903" t="s">
        <v>5050</v>
      </c>
      <c r="O903" t="s">
        <v>5051</v>
      </c>
    </row>
    <row r="904" spans="1:15" x14ac:dyDescent="0.25">
      <c r="A904" t="s">
        <v>70</v>
      </c>
      <c r="B904">
        <v>37</v>
      </c>
      <c r="C904" t="s">
        <v>4406</v>
      </c>
      <c r="D904" t="s">
        <v>4931</v>
      </c>
      <c r="E904" t="s">
        <v>4553</v>
      </c>
      <c r="F904" t="s">
        <v>4408</v>
      </c>
      <c r="G904" t="s">
        <v>4494</v>
      </c>
      <c r="H904" t="s">
        <v>4553</v>
      </c>
      <c r="I904" t="s">
        <v>4406</v>
      </c>
      <c r="J904" t="s">
        <v>4931</v>
      </c>
      <c r="K904" t="s">
        <v>4931</v>
      </c>
      <c r="L904" t="s">
        <v>4406</v>
      </c>
      <c r="M904" t="s">
        <v>4941</v>
      </c>
      <c r="N904" t="s">
        <v>5157</v>
      </c>
      <c r="O904" t="s">
        <v>4494</v>
      </c>
    </row>
    <row r="905" spans="1:15" x14ac:dyDescent="0.25">
      <c r="A905" t="s">
        <v>71</v>
      </c>
      <c r="B905">
        <v>101</v>
      </c>
      <c r="C905" t="s">
        <v>4699</v>
      </c>
      <c r="D905" t="s">
        <v>4716</v>
      </c>
      <c r="E905" t="s">
        <v>4944</v>
      </c>
      <c r="F905" t="s">
        <v>4859</v>
      </c>
      <c r="G905" t="s">
        <v>4425</v>
      </c>
      <c r="H905" t="s">
        <v>4518</v>
      </c>
      <c r="I905" t="s">
        <v>4406</v>
      </c>
      <c r="J905" t="s">
        <v>4660</v>
      </c>
      <c r="K905" t="s">
        <v>4626</v>
      </c>
      <c r="L905" t="s">
        <v>4406</v>
      </c>
      <c r="M905" t="s">
        <v>4560</v>
      </c>
      <c r="N905" t="s">
        <v>4459</v>
      </c>
      <c r="O905" t="s">
        <v>4425</v>
      </c>
    </row>
    <row r="906" spans="1:15" x14ac:dyDescent="0.25">
      <c r="A906" t="s">
        <v>1296</v>
      </c>
      <c r="B906">
        <v>138</v>
      </c>
      <c r="C906" t="s">
        <v>4667</v>
      </c>
      <c r="D906" t="s">
        <v>4666</v>
      </c>
      <c r="E906" t="s">
        <v>4953</v>
      </c>
      <c r="F906" t="s">
        <v>4663</v>
      </c>
      <c r="G906" t="s">
        <v>4681</v>
      </c>
      <c r="H906" t="s">
        <v>4465</v>
      </c>
      <c r="I906" t="s">
        <v>4406</v>
      </c>
      <c r="J906" t="s">
        <v>5076</v>
      </c>
      <c r="K906" t="s">
        <v>4697</v>
      </c>
      <c r="L906" t="s">
        <v>4406</v>
      </c>
      <c r="M906" t="s">
        <v>5199</v>
      </c>
      <c r="N906" t="s">
        <v>4549</v>
      </c>
      <c r="O906" t="s">
        <v>4681</v>
      </c>
    </row>
    <row r="908" spans="1:15" x14ac:dyDescent="0.25">
      <c r="A908" t="s">
        <v>6268</v>
      </c>
    </row>
    <row r="909" spans="1:15" x14ac:dyDescent="0.25">
      <c r="A909" t="s">
        <v>2842</v>
      </c>
      <c r="B909" t="s">
        <v>4394</v>
      </c>
      <c r="C909" t="s">
        <v>109</v>
      </c>
      <c r="D909" t="s">
        <v>192</v>
      </c>
    </row>
    <row r="910" spans="1:15" x14ac:dyDescent="0.25">
      <c r="A910" t="s">
        <v>5549</v>
      </c>
      <c r="B910">
        <v>67</v>
      </c>
      <c r="C910" t="s">
        <v>4841</v>
      </c>
      <c r="D910" t="s">
        <v>4710</v>
      </c>
    </row>
    <row r="911" spans="1:15" x14ac:dyDescent="0.25">
      <c r="A911" t="s">
        <v>1397</v>
      </c>
      <c r="B911">
        <v>48</v>
      </c>
      <c r="C911" t="s">
        <v>4602</v>
      </c>
      <c r="D911" t="s">
        <v>4481</v>
      </c>
    </row>
    <row r="912" spans="1:15" x14ac:dyDescent="0.25">
      <c r="A912" t="s">
        <v>1296</v>
      </c>
      <c r="B912">
        <v>115</v>
      </c>
      <c r="C912" t="s">
        <v>4700</v>
      </c>
      <c r="D912" t="s">
        <v>4449</v>
      </c>
    </row>
    <row r="914" spans="1:4" x14ac:dyDescent="0.25">
      <c r="A914" t="s">
        <v>6269</v>
      </c>
    </row>
    <row r="915" spans="1:4" x14ac:dyDescent="0.25">
      <c r="A915" t="s">
        <v>992</v>
      </c>
      <c r="B915" t="s">
        <v>4394</v>
      </c>
      <c r="C915" t="s">
        <v>109</v>
      </c>
      <c r="D915" t="s">
        <v>192</v>
      </c>
    </row>
    <row r="916" spans="1:4" x14ac:dyDescent="0.25">
      <c r="A916" t="s">
        <v>4844</v>
      </c>
      <c r="B916">
        <v>19</v>
      </c>
      <c r="C916" t="s">
        <v>4407</v>
      </c>
      <c r="D916" t="s">
        <v>4504</v>
      </c>
    </row>
    <row r="917" spans="1:4" x14ac:dyDescent="0.25">
      <c r="A917" t="s">
        <v>4845</v>
      </c>
      <c r="B917">
        <v>88</v>
      </c>
      <c r="C917" t="s">
        <v>4463</v>
      </c>
      <c r="D917" t="s">
        <v>4531</v>
      </c>
    </row>
    <row r="918" spans="1:4" x14ac:dyDescent="0.25">
      <c r="A918" t="s">
        <v>4846</v>
      </c>
      <c r="B918">
        <v>8</v>
      </c>
      <c r="C918" t="s">
        <v>4945</v>
      </c>
      <c r="D918" t="s">
        <v>4479</v>
      </c>
    </row>
    <row r="919" spans="1:4" x14ac:dyDescent="0.25">
      <c r="A919" t="s">
        <v>1296</v>
      </c>
      <c r="B919">
        <v>115</v>
      </c>
      <c r="C919" t="s">
        <v>4700</v>
      </c>
      <c r="D919" t="s">
        <v>4449</v>
      </c>
    </row>
    <row r="921" spans="1:4" x14ac:dyDescent="0.25">
      <c r="A921" t="s">
        <v>6270</v>
      </c>
    </row>
    <row r="922" spans="1:4" x14ac:dyDescent="0.25">
      <c r="A922" t="s">
        <v>995</v>
      </c>
      <c r="B922" t="s">
        <v>4394</v>
      </c>
      <c r="C922" t="s">
        <v>109</v>
      </c>
      <c r="D922" t="s">
        <v>192</v>
      </c>
    </row>
    <row r="923" spans="1:4" x14ac:dyDescent="0.25">
      <c r="A923" t="s">
        <v>1338</v>
      </c>
      <c r="B923">
        <v>34</v>
      </c>
      <c r="C923" t="s">
        <v>4835</v>
      </c>
      <c r="D923" t="s">
        <v>4619</v>
      </c>
    </row>
    <row r="924" spans="1:4" x14ac:dyDescent="0.25">
      <c r="A924" t="s">
        <v>1370</v>
      </c>
      <c r="B924">
        <v>9</v>
      </c>
      <c r="C924" t="s">
        <v>4857</v>
      </c>
      <c r="D924" t="s">
        <v>4731</v>
      </c>
    </row>
    <row r="925" spans="1:4" x14ac:dyDescent="0.25">
      <c r="A925" t="s">
        <v>1439</v>
      </c>
      <c r="B925">
        <v>5</v>
      </c>
      <c r="C925" t="s">
        <v>4458</v>
      </c>
      <c r="D925" t="s">
        <v>4457</v>
      </c>
    </row>
    <row r="926" spans="1:4" x14ac:dyDescent="0.25">
      <c r="A926" t="s">
        <v>1476</v>
      </c>
      <c r="B926">
        <v>5</v>
      </c>
      <c r="C926" t="s">
        <v>4458</v>
      </c>
      <c r="D926" t="s">
        <v>4457</v>
      </c>
    </row>
    <row r="927" spans="1:4" x14ac:dyDescent="0.25">
      <c r="A927" t="s">
        <v>5476</v>
      </c>
      <c r="B927">
        <v>2</v>
      </c>
      <c r="C927" t="s">
        <v>4454</v>
      </c>
      <c r="D927" t="s">
        <v>4406</v>
      </c>
    </row>
    <row r="928" spans="1:4" x14ac:dyDescent="0.25">
      <c r="A928" t="s">
        <v>1399</v>
      </c>
      <c r="B928">
        <v>20</v>
      </c>
      <c r="C928" t="s">
        <v>4457</v>
      </c>
      <c r="D928" t="s">
        <v>4458</v>
      </c>
    </row>
    <row r="929" spans="1:4" x14ac:dyDescent="0.25">
      <c r="A929" t="s">
        <v>1415</v>
      </c>
      <c r="B929">
        <v>40</v>
      </c>
      <c r="C929" t="s">
        <v>5363</v>
      </c>
      <c r="D929" t="s">
        <v>4761</v>
      </c>
    </row>
    <row r="930" spans="1:4" x14ac:dyDescent="0.25">
      <c r="A930" t="s">
        <v>1296</v>
      </c>
      <c r="B930">
        <v>115</v>
      </c>
      <c r="C930" t="s">
        <v>4700</v>
      </c>
      <c r="D930" t="s">
        <v>4449</v>
      </c>
    </row>
    <row r="932" spans="1:4" x14ac:dyDescent="0.25">
      <c r="A932" t="s">
        <v>6271</v>
      </c>
    </row>
    <row r="933" spans="1:4" x14ac:dyDescent="0.25">
      <c r="A933" t="s">
        <v>998</v>
      </c>
      <c r="B933" t="s">
        <v>4394</v>
      </c>
      <c r="C933" t="s">
        <v>109</v>
      </c>
      <c r="D933" t="s">
        <v>192</v>
      </c>
    </row>
    <row r="934" spans="1:4" x14ac:dyDescent="0.25">
      <c r="A934" t="s">
        <v>109</v>
      </c>
      <c r="B934">
        <v>104</v>
      </c>
      <c r="C934" t="s">
        <v>4819</v>
      </c>
      <c r="D934" t="s">
        <v>4745</v>
      </c>
    </row>
    <row r="935" spans="1:4" x14ac:dyDescent="0.25">
      <c r="A935" t="s">
        <v>192</v>
      </c>
      <c r="B935">
        <v>11</v>
      </c>
      <c r="C935" t="s">
        <v>4492</v>
      </c>
      <c r="D935" t="s">
        <v>4767</v>
      </c>
    </row>
    <row r="936" spans="1:4" x14ac:dyDescent="0.25">
      <c r="A936" t="s">
        <v>1296</v>
      </c>
      <c r="B936">
        <v>115</v>
      </c>
      <c r="C936" t="s">
        <v>4700</v>
      </c>
      <c r="D936" t="s">
        <v>4449</v>
      </c>
    </row>
    <row r="938" spans="1:4" x14ac:dyDescent="0.25">
      <c r="A938" t="s">
        <v>6272</v>
      </c>
    </row>
    <row r="939" spans="1:4" x14ac:dyDescent="0.25">
      <c r="A939" t="s">
        <v>1295</v>
      </c>
      <c r="B939" t="s">
        <v>4394</v>
      </c>
      <c r="C939" t="s">
        <v>109</v>
      </c>
      <c r="D939" t="s">
        <v>192</v>
      </c>
    </row>
    <row r="940" spans="1:4" x14ac:dyDescent="0.25">
      <c r="A940" t="s">
        <v>4395</v>
      </c>
      <c r="B940">
        <v>12</v>
      </c>
      <c r="C940" t="s">
        <v>4783</v>
      </c>
      <c r="D940" t="s">
        <v>4596</v>
      </c>
    </row>
    <row r="941" spans="1:4" x14ac:dyDescent="0.25">
      <c r="A941" t="s">
        <v>4396</v>
      </c>
      <c r="B941">
        <v>43</v>
      </c>
      <c r="C941" t="s">
        <v>4605</v>
      </c>
      <c r="D941" t="s">
        <v>5458</v>
      </c>
    </row>
    <row r="942" spans="1:4" x14ac:dyDescent="0.25">
      <c r="A942" t="s">
        <v>4397</v>
      </c>
      <c r="B942">
        <v>1</v>
      </c>
      <c r="C942" t="s">
        <v>4454</v>
      </c>
      <c r="D942" t="s">
        <v>4406</v>
      </c>
    </row>
    <row r="943" spans="1:4" x14ac:dyDescent="0.25">
      <c r="A943" t="s">
        <v>4398</v>
      </c>
      <c r="B943">
        <v>55</v>
      </c>
      <c r="C943" t="s">
        <v>4939</v>
      </c>
      <c r="D943" t="s">
        <v>4762</v>
      </c>
    </row>
    <row r="944" spans="1:4" x14ac:dyDescent="0.25">
      <c r="A944" t="s">
        <v>4399</v>
      </c>
      <c r="B944">
        <v>4</v>
      </c>
      <c r="C944" t="s">
        <v>4793</v>
      </c>
      <c r="D944" t="s">
        <v>4462</v>
      </c>
    </row>
    <row r="945" spans="1:4" x14ac:dyDescent="0.25">
      <c r="A945" t="s">
        <v>1296</v>
      </c>
      <c r="B945">
        <v>115</v>
      </c>
      <c r="C945" t="s">
        <v>4700</v>
      </c>
      <c r="D945" t="s">
        <v>4449</v>
      </c>
    </row>
    <row r="947" spans="1:4" x14ac:dyDescent="0.25">
      <c r="A947" t="s">
        <v>6273</v>
      </c>
    </row>
    <row r="948" spans="1:4" x14ac:dyDescent="0.25">
      <c r="A948" t="s">
        <v>1006</v>
      </c>
      <c r="B948" t="s">
        <v>4394</v>
      </c>
      <c r="C948" t="s">
        <v>109</v>
      </c>
      <c r="D948" t="s">
        <v>192</v>
      </c>
    </row>
    <row r="949" spans="1:4" x14ac:dyDescent="0.25">
      <c r="A949" t="s">
        <v>1371</v>
      </c>
      <c r="B949">
        <v>25</v>
      </c>
      <c r="C949" t="s">
        <v>4919</v>
      </c>
      <c r="D949" t="s">
        <v>5282</v>
      </c>
    </row>
    <row r="950" spans="1:4" x14ac:dyDescent="0.25">
      <c r="A950" t="s">
        <v>1452</v>
      </c>
      <c r="B950">
        <v>17</v>
      </c>
      <c r="C950" t="s">
        <v>4835</v>
      </c>
      <c r="D950" t="s">
        <v>4619</v>
      </c>
    </row>
    <row r="951" spans="1:4" x14ac:dyDescent="0.25">
      <c r="A951" t="s">
        <v>5560</v>
      </c>
      <c r="B951">
        <v>14</v>
      </c>
      <c r="C951" t="s">
        <v>4814</v>
      </c>
      <c r="D951" t="s">
        <v>4450</v>
      </c>
    </row>
    <row r="952" spans="1:4" x14ac:dyDescent="0.25">
      <c r="A952" t="s">
        <v>1424</v>
      </c>
      <c r="B952">
        <v>30</v>
      </c>
      <c r="C952" t="s">
        <v>5106</v>
      </c>
      <c r="D952" t="s">
        <v>5107</v>
      </c>
    </row>
    <row r="953" spans="1:4" x14ac:dyDescent="0.25">
      <c r="A953" t="s">
        <v>5561</v>
      </c>
      <c r="B953">
        <v>6</v>
      </c>
      <c r="C953" t="s">
        <v>4465</v>
      </c>
      <c r="D953" t="s">
        <v>4469</v>
      </c>
    </row>
    <row r="954" spans="1:4" x14ac:dyDescent="0.25">
      <c r="A954" t="s">
        <v>1416</v>
      </c>
      <c r="B954">
        <v>23</v>
      </c>
      <c r="C954" t="s">
        <v>4971</v>
      </c>
      <c r="D954" t="s">
        <v>4684</v>
      </c>
    </row>
    <row r="955" spans="1:4" x14ac:dyDescent="0.25">
      <c r="A955" t="s">
        <v>1296</v>
      </c>
      <c r="B955">
        <v>115</v>
      </c>
      <c r="C955" t="s">
        <v>4700</v>
      </c>
      <c r="D955" t="s">
        <v>4449</v>
      </c>
    </row>
    <row r="957" spans="1:4" x14ac:dyDescent="0.25">
      <c r="A957" t="s">
        <v>6274</v>
      </c>
    </row>
    <row r="958" spans="1:4" x14ac:dyDescent="0.25">
      <c r="A958" t="s">
        <v>903</v>
      </c>
      <c r="B958" t="s">
        <v>4394</v>
      </c>
      <c r="C958" t="s">
        <v>109</v>
      </c>
      <c r="D958" t="s">
        <v>192</v>
      </c>
    </row>
    <row r="959" spans="1:4" x14ac:dyDescent="0.25">
      <c r="A959" t="s">
        <v>70</v>
      </c>
      <c r="B959">
        <v>32</v>
      </c>
      <c r="C959" t="s">
        <v>5083</v>
      </c>
      <c r="D959" t="s">
        <v>4948</v>
      </c>
    </row>
    <row r="960" spans="1:4" x14ac:dyDescent="0.25">
      <c r="A960" t="s">
        <v>71</v>
      </c>
      <c r="B960">
        <v>83</v>
      </c>
      <c r="C960" t="s">
        <v>5224</v>
      </c>
      <c r="D960" t="s">
        <v>4487</v>
      </c>
    </row>
    <row r="961" spans="1:4" x14ac:dyDescent="0.25">
      <c r="A961" t="s">
        <v>1296</v>
      </c>
      <c r="B961">
        <v>115</v>
      </c>
      <c r="C961" t="s">
        <v>4700</v>
      </c>
      <c r="D961" t="s">
        <v>4449</v>
      </c>
    </row>
    <row r="963" spans="1:4" x14ac:dyDescent="0.25">
      <c r="A963" t="s">
        <v>6275</v>
      </c>
    </row>
    <row r="964" spans="1:4" x14ac:dyDescent="0.25">
      <c r="A964" t="s">
        <v>2842</v>
      </c>
      <c r="B964" t="s">
        <v>4394</v>
      </c>
      <c r="C964" t="s">
        <v>109</v>
      </c>
      <c r="D964" t="s">
        <v>192</v>
      </c>
    </row>
    <row r="965" spans="1:4" x14ac:dyDescent="0.25">
      <c r="A965" t="s">
        <v>5549</v>
      </c>
      <c r="B965">
        <v>67</v>
      </c>
      <c r="C965" t="s">
        <v>4980</v>
      </c>
      <c r="D965" t="s">
        <v>4507</v>
      </c>
    </row>
    <row r="966" spans="1:4" x14ac:dyDescent="0.25">
      <c r="A966" t="s">
        <v>1397</v>
      </c>
      <c r="B966">
        <v>48</v>
      </c>
      <c r="C966" t="s">
        <v>4602</v>
      </c>
      <c r="D966" t="s">
        <v>4481</v>
      </c>
    </row>
    <row r="967" spans="1:4" x14ac:dyDescent="0.25">
      <c r="A967" t="s">
        <v>1296</v>
      </c>
      <c r="B967">
        <v>115</v>
      </c>
      <c r="C967" t="s">
        <v>4579</v>
      </c>
      <c r="D967" t="s">
        <v>4682</v>
      </c>
    </row>
    <row r="969" spans="1:4" x14ac:dyDescent="0.25">
      <c r="A969" t="s">
        <v>6276</v>
      </c>
    </row>
    <row r="970" spans="1:4" x14ac:dyDescent="0.25">
      <c r="A970" t="s">
        <v>992</v>
      </c>
      <c r="B970" t="s">
        <v>4394</v>
      </c>
      <c r="C970" t="s">
        <v>109</v>
      </c>
      <c r="D970" t="s">
        <v>192</v>
      </c>
    </row>
    <row r="971" spans="1:4" x14ac:dyDescent="0.25">
      <c r="A971" t="s">
        <v>4844</v>
      </c>
      <c r="B971">
        <v>19</v>
      </c>
      <c r="C971" t="s">
        <v>4830</v>
      </c>
      <c r="D971" t="s">
        <v>4600</v>
      </c>
    </row>
    <row r="972" spans="1:4" x14ac:dyDescent="0.25">
      <c r="A972" t="s">
        <v>4845</v>
      </c>
      <c r="B972">
        <v>88</v>
      </c>
      <c r="C972" t="s">
        <v>5249</v>
      </c>
      <c r="D972" t="s">
        <v>4568</v>
      </c>
    </row>
    <row r="973" spans="1:4" x14ac:dyDescent="0.25">
      <c r="A973" t="s">
        <v>4846</v>
      </c>
      <c r="B973">
        <v>8</v>
      </c>
      <c r="C973" t="s">
        <v>4602</v>
      </c>
      <c r="D973" t="s">
        <v>4481</v>
      </c>
    </row>
    <row r="974" spans="1:4" x14ac:dyDescent="0.25">
      <c r="A974" t="s">
        <v>1296</v>
      </c>
      <c r="B974">
        <v>115</v>
      </c>
      <c r="C974" t="s">
        <v>4579</v>
      </c>
      <c r="D974" t="s">
        <v>4682</v>
      </c>
    </row>
    <row r="976" spans="1:4" x14ac:dyDescent="0.25">
      <c r="A976" t="s">
        <v>6277</v>
      </c>
    </row>
    <row r="977" spans="1:4" x14ac:dyDescent="0.25">
      <c r="A977" t="s">
        <v>995</v>
      </c>
      <c r="B977" t="s">
        <v>4394</v>
      </c>
      <c r="C977" t="s">
        <v>109</v>
      </c>
      <c r="D977" t="s">
        <v>192</v>
      </c>
    </row>
    <row r="978" spans="1:4" x14ac:dyDescent="0.25">
      <c r="A978" t="s">
        <v>1338</v>
      </c>
      <c r="B978">
        <v>34</v>
      </c>
      <c r="C978" t="s">
        <v>4838</v>
      </c>
      <c r="D978" t="s">
        <v>4617</v>
      </c>
    </row>
    <row r="979" spans="1:4" x14ac:dyDescent="0.25">
      <c r="A979" t="s">
        <v>1370</v>
      </c>
      <c r="B979">
        <v>9</v>
      </c>
      <c r="C979" t="s">
        <v>4857</v>
      </c>
      <c r="D979" t="s">
        <v>4731</v>
      </c>
    </row>
    <row r="980" spans="1:4" x14ac:dyDescent="0.25">
      <c r="A980" t="s">
        <v>1439</v>
      </c>
      <c r="B980">
        <v>5</v>
      </c>
      <c r="C980" t="s">
        <v>4458</v>
      </c>
      <c r="D980" t="s">
        <v>4457</v>
      </c>
    </row>
    <row r="981" spans="1:4" x14ac:dyDescent="0.25">
      <c r="A981" t="s">
        <v>1476</v>
      </c>
      <c r="B981">
        <v>5</v>
      </c>
      <c r="C981" t="s">
        <v>4472</v>
      </c>
      <c r="D981" t="s">
        <v>4834</v>
      </c>
    </row>
    <row r="982" spans="1:4" x14ac:dyDescent="0.25">
      <c r="A982" t="s">
        <v>5476</v>
      </c>
      <c r="B982">
        <v>2</v>
      </c>
      <c r="C982" t="s">
        <v>4468</v>
      </c>
      <c r="D982" t="s">
        <v>4468</v>
      </c>
    </row>
    <row r="983" spans="1:4" x14ac:dyDescent="0.25">
      <c r="A983" t="s">
        <v>1399</v>
      </c>
      <c r="B983">
        <v>20</v>
      </c>
      <c r="C983" t="s">
        <v>4782</v>
      </c>
      <c r="D983" t="s">
        <v>4489</v>
      </c>
    </row>
    <row r="984" spans="1:4" x14ac:dyDescent="0.25">
      <c r="A984" t="s">
        <v>1415</v>
      </c>
      <c r="B984">
        <v>40</v>
      </c>
      <c r="C984" t="s">
        <v>4602</v>
      </c>
      <c r="D984" t="s">
        <v>4481</v>
      </c>
    </row>
    <row r="985" spans="1:4" x14ac:dyDescent="0.25">
      <c r="A985" t="s">
        <v>1296</v>
      </c>
      <c r="B985">
        <v>115</v>
      </c>
      <c r="C985" t="s">
        <v>4579</v>
      </c>
      <c r="D985" t="s">
        <v>4682</v>
      </c>
    </row>
    <row r="987" spans="1:4" x14ac:dyDescent="0.25">
      <c r="A987" t="s">
        <v>6278</v>
      </c>
    </row>
    <row r="988" spans="1:4" x14ac:dyDescent="0.25">
      <c r="A988" t="s">
        <v>998</v>
      </c>
      <c r="B988" t="s">
        <v>4394</v>
      </c>
      <c r="C988" t="s">
        <v>109</v>
      </c>
      <c r="D988" t="s">
        <v>192</v>
      </c>
    </row>
    <row r="989" spans="1:4" x14ac:dyDescent="0.25">
      <c r="A989" t="s">
        <v>109</v>
      </c>
      <c r="B989">
        <v>104</v>
      </c>
      <c r="C989" t="s">
        <v>5539</v>
      </c>
      <c r="D989" t="s">
        <v>4810</v>
      </c>
    </row>
    <row r="990" spans="1:4" x14ac:dyDescent="0.25">
      <c r="A990" t="s">
        <v>192</v>
      </c>
      <c r="B990">
        <v>11</v>
      </c>
      <c r="C990" t="s">
        <v>4452</v>
      </c>
      <c r="D990" t="s">
        <v>4792</v>
      </c>
    </row>
    <row r="991" spans="1:4" x14ac:dyDescent="0.25">
      <c r="A991" t="s">
        <v>1296</v>
      </c>
      <c r="B991">
        <v>115</v>
      </c>
      <c r="C991" t="s">
        <v>4579</v>
      </c>
      <c r="D991" t="s">
        <v>4682</v>
      </c>
    </row>
    <row r="993" spans="1:4" x14ac:dyDescent="0.25">
      <c r="A993" t="s">
        <v>6279</v>
      </c>
    </row>
    <row r="994" spans="1:4" x14ac:dyDescent="0.25">
      <c r="A994" t="s">
        <v>1295</v>
      </c>
      <c r="B994" t="s">
        <v>4394</v>
      </c>
      <c r="C994" t="s">
        <v>109</v>
      </c>
      <c r="D994" t="s">
        <v>192</v>
      </c>
    </row>
    <row r="995" spans="1:4" x14ac:dyDescent="0.25">
      <c r="A995" t="s">
        <v>4395</v>
      </c>
      <c r="B995">
        <v>12</v>
      </c>
      <c r="C995" t="s">
        <v>4793</v>
      </c>
      <c r="D995" t="s">
        <v>4462</v>
      </c>
    </row>
    <row r="996" spans="1:4" x14ac:dyDescent="0.25">
      <c r="A996" t="s">
        <v>4396</v>
      </c>
      <c r="B996">
        <v>43</v>
      </c>
      <c r="C996" t="s">
        <v>5539</v>
      </c>
      <c r="D996" t="s">
        <v>4810</v>
      </c>
    </row>
    <row r="997" spans="1:4" x14ac:dyDescent="0.25">
      <c r="A997" t="s">
        <v>4397</v>
      </c>
      <c r="B997">
        <v>1</v>
      </c>
      <c r="C997" t="s">
        <v>4454</v>
      </c>
      <c r="D997" t="s">
        <v>4406</v>
      </c>
    </row>
    <row r="998" spans="1:4" x14ac:dyDescent="0.25">
      <c r="A998" t="s">
        <v>4398</v>
      </c>
      <c r="B998">
        <v>55</v>
      </c>
      <c r="C998" t="s">
        <v>5073</v>
      </c>
      <c r="D998" t="s">
        <v>5113</v>
      </c>
    </row>
    <row r="999" spans="1:4" x14ac:dyDescent="0.25">
      <c r="A999" t="s">
        <v>4399</v>
      </c>
      <c r="B999">
        <v>4</v>
      </c>
      <c r="C999" t="s">
        <v>4793</v>
      </c>
      <c r="D999" t="s">
        <v>4462</v>
      </c>
    </row>
    <row r="1000" spans="1:4" x14ac:dyDescent="0.25">
      <c r="A1000" t="s">
        <v>1296</v>
      </c>
      <c r="B1000">
        <v>115</v>
      </c>
      <c r="C1000" t="s">
        <v>4579</v>
      </c>
      <c r="D1000" t="s">
        <v>4682</v>
      </c>
    </row>
    <row r="1002" spans="1:4" x14ac:dyDescent="0.25">
      <c r="A1002" t="s">
        <v>6280</v>
      </c>
    </row>
    <row r="1003" spans="1:4" x14ac:dyDescent="0.25">
      <c r="A1003" t="s">
        <v>1006</v>
      </c>
      <c r="B1003" t="s">
        <v>4394</v>
      </c>
      <c r="C1003" t="s">
        <v>109</v>
      </c>
      <c r="D1003" t="s">
        <v>192</v>
      </c>
    </row>
    <row r="1004" spans="1:4" x14ac:dyDescent="0.25">
      <c r="A1004" t="s">
        <v>1371</v>
      </c>
      <c r="B1004">
        <v>25</v>
      </c>
      <c r="C1004" t="s">
        <v>5230</v>
      </c>
      <c r="D1004" t="s">
        <v>5124</v>
      </c>
    </row>
    <row r="1005" spans="1:4" x14ac:dyDescent="0.25">
      <c r="A1005" t="s">
        <v>1452</v>
      </c>
      <c r="B1005">
        <v>17</v>
      </c>
      <c r="C1005" t="s">
        <v>4838</v>
      </c>
      <c r="D1005" t="s">
        <v>4617</v>
      </c>
    </row>
    <row r="1006" spans="1:4" x14ac:dyDescent="0.25">
      <c r="A1006" t="s">
        <v>5560</v>
      </c>
      <c r="B1006">
        <v>14</v>
      </c>
      <c r="C1006" t="s">
        <v>4700</v>
      </c>
      <c r="D1006" t="s">
        <v>4449</v>
      </c>
    </row>
    <row r="1007" spans="1:4" x14ac:dyDescent="0.25">
      <c r="A1007" t="s">
        <v>1424</v>
      </c>
      <c r="B1007">
        <v>30</v>
      </c>
      <c r="C1007" t="s">
        <v>4652</v>
      </c>
      <c r="D1007" t="s">
        <v>4512</v>
      </c>
    </row>
    <row r="1008" spans="1:4" x14ac:dyDescent="0.25">
      <c r="A1008" t="s">
        <v>5561</v>
      </c>
      <c r="B1008">
        <v>6</v>
      </c>
      <c r="C1008" t="s">
        <v>4465</v>
      </c>
      <c r="D1008" t="s">
        <v>4469</v>
      </c>
    </row>
    <row r="1009" spans="1:4" x14ac:dyDescent="0.25">
      <c r="A1009" t="s">
        <v>1416</v>
      </c>
      <c r="B1009">
        <v>23</v>
      </c>
      <c r="C1009" t="s">
        <v>4971</v>
      </c>
      <c r="D1009" t="s">
        <v>4684</v>
      </c>
    </row>
    <row r="1010" spans="1:4" x14ac:dyDescent="0.25">
      <c r="A1010" t="s">
        <v>1296</v>
      </c>
      <c r="B1010">
        <v>115</v>
      </c>
      <c r="C1010" t="s">
        <v>4579</v>
      </c>
      <c r="D1010" t="s">
        <v>4682</v>
      </c>
    </row>
    <row r="1012" spans="1:4" x14ac:dyDescent="0.25">
      <c r="A1012" t="s">
        <v>6281</v>
      </c>
    </row>
    <row r="1013" spans="1:4" x14ac:dyDescent="0.25">
      <c r="A1013" t="s">
        <v>903</v>
      </c>
      <c r="B1013" t="s">
        <v>4394</v>
      </c>
      <c r="C1013" t="s">
        <v>109</v>
      </c>
      <c r="D1013" t="s">
        <v>192</v>
      </c>
    </row>
    <row r="1014" spans="1:4" x14ac:dyDescent="0.25">
      <c r="A1014" t="s">
        <v>70</v>
      </c>
      <c r="B1014">
        <v>32</v>
      </c>
      <c r="C1014" t="s">
        <v>5083</v>
      </c>
      <c r="D1014" t="s">
        <v>4948</v>
      </c>
    </row>
    <row r="1015" spans="1:4" x14ac:dyDescent="0.25">
      <c r="A1015" t="s">
        <v>71</v>
      </c>
      <c r="B1015">
        <v>83</v>
      </c>
      <c r="C1015" t="s">
        <v>4833</v>
      </c>
      <c r="D1015" t="s">
        <v>5332</v>
      </c>
    </row>
    <row r="1016" spans="1:4" x14ac:dyDescent="0.25">
      <c r="A1016" t="s">
        <v>1296</v>
      </c>
      <c r="B1016">
        <v>115</v>
      </c>
      <c r="C1016" t="s">
        <v>4579</v>
      </c>
      <c r="D1016" t="s">
        <v>4682</v>
      </c>
    </row>
    <row r="1018" spans="1:4" x14ac:dyDescent="0.25">
      <c r="A1018" t="s">
        <v>6282</v>
      </c>
    </row>
    <row r="1019" spans="1:4" x14ac:dyDescent="0.25">
      <c r="A1019" t="s">
        <v>2842</v>
      </c>
      <c r="B1019" t="s">
        <v>4394</v>
      </c>
      <c r="C1019" t="s">
        <v>109</v>
      </c>
      <c r="D1019" t="s">
        <v>192</v>
      </c>
    </row>
    <row r="1020" spans="1:4" x14ac:dyDescent="0.25">
      <c r="A1020" t="s">
        <v>5549</v>
      </c>
      <c r="B1020">
        <v>83</v>
      </c>
      <c r="C1020" t="s">
        <v>4607</v>
      </c>
      <c r="D1020" t="s">
        <v>5092</v>
      </c>
    </row>
    <row r="1021" spans="1:4" x14ac:dyDescent="0.25">
      <c r="A1021" t="s">
        <v>1397</v>
      </c>
      <c r="B1021">
        <v>55</v>
      </c>
      <c r="C1021" t="s">
        <v>4591</v>
      </c>
      <c r="D1021" t="s">
        <v>4990</v>
      </c>
    </row>
    <row r="1022" spans="1:4" x14ac:dyDescent="0.25">
      <c r="A1022" t="s">
        <v>1296</v>
      </c>
      <c r="B1022">
        <v>138</v>
      </c>
      <c r="C1022" t="s">
        <v>4470</v>
      </c>
      <c r="D1022" t="s">
        <v>5201</v>
      </c>
    </row>
    <row r="1024" spans="1:4" x14ac:dyDescent="0.25">
      <c r="A1024" t="s">
        <v>6283</v>
      </c>
    </row>
    <row r="1025" spans="1:4" x14ac:dyDescent="0.25">
      <c r="A1025" t="s">
        <v>1006</v>
      </c>
      <c r="B1025" t="s">
        <v>4394</v>
      </c>
      <c r="C1025" t="s">
        <v>109</v>
      </c>
      <c r="D1025" t="s">
        <v>192</v>
      </c>
    </row>
    <row r="1026" spans="1:4" x14ac:dyDescent="0.25">
      <c r="A1026" t="s">
        <v>1371</v>
      </c>
      <c r="B1026">
        <v>26</v>
      </c>
      <c r="C1026">
        <v>2</v>
      </c>
      <c r="D1026">
        <v>24</v>
      </c>
    </row>
    <row r="1027" spans="1:4" x14ac:dyDescent="0.25">
      <c r="A1027" t="s">
        <v>1452</v>
      </c>
      <c r="B1027">
        <v>17</v>
      </c>
      <c r="C1027">
        <v>4</v>
      </c>
      <c r="D1027">
        <v>13</v>
      </c>
    </row>
    <row r="1028" spans="1:4" x14ac:dyDescent="0.25">
      <c r="A1028" t="s">
        <v>5560</v>
      </c>
      <c r="B1028">
        <v>14</v>
      </c>
      <c r="C1028">
        <v>3</v>
      </c>
      <c r="D1028">
        <v>11</v>
      </c>
    </row>
    <row r="1029" spans="1:4" x14ac:dyDescent="0.25">
      <c r="A1029" t="s">
        <v>1424</v>
      </c>
      <c r="B1029">
        <v>30</v>
      </c>
      <c r="C1029">
        <v>5</v>
      </c>
      <c r="D1029">
        <v>25</v>
      </c>
    </row>
    <row r="1030" spans="1:4" x14ac:dyDescent="0.25">
      <c r="A1030" t="s">
        <v>1340</v>
      </c>
      <c r="B1030">
        <v>21</v>
      </c>
      <c r="C1030">
        <v>2</v>
      </c>
      <c r="D1030">
        <v>19</v>
      </c>
    </row>
    <row r="1031" spans="1:4" x14ac:dyDescent="0.25">
      <c r="A1031" t="s">
        <v>5561</v>
      </c>
      <c r="B1031">
        <v>6</v>
      </c>
      <c r="C1031">
        <v>0</v>
      </c>
      <c r="D1031">
        <v>6</v>
      </c>
    </row>
    <row r="1032" spans="1:4" x14ac:dyDescent="0.25">
      <c r="A1032" t="s">
        <v>1416</v>
      </c>
      <c r="B1032">
        <v>24</v>
      </c>
      <c r="C1032">
        <v>3</v>
      </c>
      <c r="D1032">
        <v>21</v>
      </c>
    </row>
    <row r="1033" spans="1:4" x14ac:dyDescent="0.25">
      <c r="A1033" t="s">
        <v>1296</v>
      </c>
      <c r="B1033">
        <v>138</v>
      </c>
      <c r="C1033">
        <v>19</v>
      </c>
      <c r="D1033">
        <v>119</v>
      </c>
    </row>
    <row r="1035" spans="1:4" x14ac:dyDescent="0.25">
      <c r="A1035" t="s">
        <v>6284</v>
      </c>
    </row>
    <row r="1036" spans="1:4" x14ac:dyDescent="0.25">
      <c r="A1036" t="s">
        <v>5521</v>
      </c>
      <c r="B1036" t="s">
        <v>4394</v>
      </c>
      <c r="C1036" t="s">
        <v>109</v>
      </c>
      <c r="D1036" t="s">
        <v>192</v>
      </c>
    </row>
    <row r="1037" spans="1:4" x14ac:dyDescent="0.25">
      <c r="A1037" t="s">
        <v>4438</v>
      </c>
      <c r="B1037">
        <v>53</v>
      </c>
      <c r="C1037" t="s">
        <v>4578</v>
      </c>
      <c r="D1037" t="s">
        <v>5070</v>
      </c>
    </row>
    <row r="1038" spans="1:4" x14ac:dyDescent="0.25">
      <c r="A1038" t="s">
        <v>4439</v>
      </c>
      <c r="B1038">
        <v>29</v>
      </c>
      <c r="C1038" t="s">
        <v>4686</v>
      </c>
      <c r="D1038" t="s">
        <v>5443</v>
      </c>
    </row>
    <row r="1039" spans="1:4" x14ac:dyDescent="0.25">
      <c r="A1039" t="s">
        <v>1400</v>
      </c>
      <c r="B1039">
        <v>4</v>
      </c>
      <c r="C1039" t="s">
        <v>4406</v>
      </c>
      <c r="D1039" t="s">
        <v>4454</v>
      </c>
    </row>
    <row r="1040" spans="1:4" x14ac:dyDescent="0.25">
      <c r="A1040" t="s">
        <v>1340</v>
      </c>
      <c r="B1040">
        <v>23</v>
      </c>
      <c r="C1040" t="s">
        <v>4684</v>
      </c>
      <c r="D1040" t="s">
        <v>4971</v>
      </c>
    </row>
    <row r="1041" spans="1:4" x14ac:dyDescent="0.25">
      <c r="A1041" t="s">
        <v>1426</v>
      </c>
      <c r="B1041">
        <v>1</v>
      </c>
      <c r="C1041" t="s">
        <v>4406</v>
      </c>
      <c r="D1041" t="s">
        <v>4454</v>
      </c>
    </row>
    <row r="1042" spans="1:4" x14ac:dyDescent="0.25">
      <c r="A1042" t="s">
        <v>1372</v>
      </c>
      <c r="B1042">
        <v>28</v>
      </c>
      <c r="C1042" t="s">
        <v>4400</v>
      </c>
      <c r="D1042" t="s">
        <v>5029</v>
      </c>
    </row>
    <row r="1043" spans="1:4" x14ac:dyDescent="0.25">
      <c r="A1043" t="s">
        <v>1296</v>
      </c>
      <c r="B1043">
        <v>138</v>
      </c>
      <c r="C1043" t="s">
        <v>4470</v>
      </c>
      <c r="D1043" t="s">
        <v>5201</v>
      </c>
    </row>
    <row r="1045" spans="1:4" x14ac:dyDescent="0.25">
      <c r="A1045" t="s">
        <v>6285</v>
      </c>
    </row>
    <row r="1046" spans="1:4" x14ac:dyDescent="0.25">
      <c r="A1046" t="s">
        <v>5518</v>
      </c>
      <c r="B1046" t="s">
        <v>4394</v>
      </c>
      <c r="C1046" t="s">
        <v>109</v>
      </c>
      <c r="D1046" t="s">
        <v>192</v>
      </c>
    </row>
    <row r="1047" spans="1:4" x14ac:dyDescent="0.25">
      <c r="A1047" t="s">
        <v>4438</v>
      </c>
      <c r="B1047">
        <v>60</v>
      </c>
      <c r="C1047" t="s">
        <v>4472</v>
      </c>
      <c r="D1047" t="s">
        <v>4834</v>
      </c>
    </row>
    <row r="1048" spans="1:4" x14ac:dyDescent="0.25">
      <c r="A1048" t="s">
        <v>4439</v>
      </c>
      <c r="B1048">
        <v>26</v>
      </c>
      <c r="C1048" t="s">
        <v>4720</v>
      </c>
      <c r="D1048" t="s">
        <v>5368</v>
      </c>
    </row>
    <row r="1049" spans="1:4" x14ac:dyDescent="0.25">
      <c r="A1049" t="s">
        <v>1400</v>
      </c>
      <c r="B1049">
        <v>6</v>
      </c>
      <c r="C1049" t="s">
        <v>4465</v>
      </c>
      <c r="D1049" t="s">
        <v>4469</v>
      </c>
    </row>
    <row r="1050" spans="1:4" x14ac:dyDescent="0.25">
      <c r="A1050" t="s">
        <v>1340</v>
      </c>
      <c r="B1050">
        <v>23</v>
      </c>
      <c r="C1050" t="s">
        <v>4684</v>
      </c>
      <c r="D1050" t="s">
        <v>4971</v>
      </c>
    </row>
    <row r="1051" spans="1:4" x14ac:dyDescent="0.25">
      <c r="A1051" t="s">
        <v>1372</v>
      </c>
      <c r="B1051">
        <v>23</v>
      </c>
      <c r="C1051" t="s">
        <v>4684</v>
      </c>
      <c r="D1051" t="s">
        <v>4971</v>
      </c>
    </row>
    <row r="1052" spans="1:4" x14ac:dyDescent="0.25">
      <c r="A1052" t="s">
        <v>1296</v>
      </c>
      <c r="B1052">
        <v>138</v>
      </c>
      <c r="C1052" t="s">
        <v>4470</v>
      </c>
      <c r="D1052" t="s">
        <v>5201</v>
      </c>
    </row>
    <row r="1054" spans="1:4" x14ac:dyDescent="0.25">
      <c r="A1054" t="s">
        <v>6286</v>
      </c>
    </row>
    <row r="1055" spans="1:4" x14ac:dyDescent="0.25">
      <c r="A1055" t="s">
        <v>1009</v>
      </c>
      <c r="B1055" t="s">
        <v>4394</v>
      </c>
      <c r="C1055" t="s">
        <v>109</v>
      </c>
      <c r="D1055" t="s">
        <v>192</v>
      </c>
    </row>
    <row r="1056" spans="1:4" x14ac:dyDescent="0.25">
      <c r="A1056" t="s">
        <v>4438</v>
      </c>
      <c r="B1056">
        <v>42</v>
      </c>
      <c r="C1056" t="s">
        <v>4596</v>
      </c>
      <c r="D1056" t="s">
        <v>4783</v>
      </c>
    </row>
    <row r="1057" spans="1:4" x14ac:dyDescent="0.25">
      <c r="A1057" t="s">
        <v>4439</v>
      </c>
      <c r="B1057">
        <v>19</v>
      </c>
      <c r="C1057" t="s">
        <v>4600</v>
      </c>
      <c r="D1057" t="s">
        <v>4830</v>
      </c>
    </row>
    <row r="1058" spans="1:4" x14ac:dyDescent="0.25">
      <c r="A1058" t="s">
        <v>1400</v>
      </c>
      <c r="B1058">
        <v>4</v>
      </c>
      <c r="C1058" t="s">
        <v>4406</v>
      </c>
      <c r="D1058" t="s">
        <v>4454</v>
      </c>
    </row>
    <row r="1059" spans="1:4" x14ac:dyDescent="0.25">
      <c r="A1059" t="s">
        <v>1340</v>
      </c>
      <c r="B1059">
        <v>21</v>
      </c>
      <c r="C1059" t="s">
        <v>4675</v>
      </c>
      <c r="D1059" t="s">
        <v>5095</v>
      </c>
    </row>
    <row r="1060" spans="1:4" x14ac:dyDescent="0.25">
      <c r="A1060" t="s">
        <v>1426</v>
      </c>
      <c r="B1060">
        <v>9</v>
      </c>
      <c r="C1060" t="s">
        <v>4676</v>
      </c>
      <c r="D1060" t="s">
        <v>5005</v>
      </c>
    </row>
    <row r="1061" spans="1:4" x14ac:dyDescent="0.25">
      <c r="A1061" t="s">
        <v>1372</v>
      </c>
      <c r="B1061">
        <v>43</v>
      </c>
      <c r="C1061" t="s">
        <v>5065</v>
      </c>
      <c r="D1061" t="s">
        <v>5274</v>
      </c>
    </row>
    <row r="1062" spans="1:4" x14ac:dyDescent="0.25">
      <c r="A1062" t="s">
        <v>1296</v>
      </c>
      <c r="B1062">
        <v>138</v>
      </c>
      <c r="C1062" t="s">
        <v>4470</v>
      </c>
      <c r="D1062" t="s">
        <v>5201</v>
      </c>
    </row>
    <row r="1064" spans="1:4" x14ac:dyDescent="0.25">
      <c r="A1064" t="s">
        <v>6287</v>
      </c>
    </row>
    <row r="1065" spans="1:4" x14ac:dyDescent="0.25">
      <c r="A1065" t="s">
        <v>1011</v>
      </c>
      <c r="B1065" t="s">
        <v>4394</v>
      </c>
      <c r="C1065" t="s">
        <v>109</v>
      </c>
      <c r="D1065" t="s">
        <v>192</v>
      </c>
    </row>
    <row r="1066" spans="1:4" x14ac:dyDescent="0.25">
      <c r="A1066" t="s">
        <v>4438</v>
      </c>
      <c r="B1066">
        <v>54</v>
      </c>
      <c r="C1066" t="s">
        <v>4663</v>
      </c>
      <c r="D1066" t="s">
        <v>4923</v>
      </c>
    </row>
    <row r="1067" spans="1:4" x14ac:dyDescent="0.25">
      <c r="A1067" t="s">
        <v>4439</v>
      </c>
      <c r="B1067">
        <v>23</v>
      </c>
      <c r="C1067" t="s">
        <v>4549</v>
      </c>
      <c r="D1067" t="s">
        <v>5097</v>
      </c>
    </row>
    <row r="1068" spans="1:4" x14ac:dyDescent="0.25">
      <c r="A1068" t="s">
        <v>1400</v>
      </c>
      <c r="B1068">
        <v>2</v>
      </c>
      <c r="C1068" t="s">
        <v>4406</v>
      </c>
      <c r="D1068" t="s">
        <v>4454</v>
      </c>
    </row>
    <row r="1069" spans="1:4" x14ac:dyDescent="0.25">
      <c r="A1069" t="s">
        <v>1340</v>
      </c>
      <c r="B1069">
        <v>21</v>
      </c>
      <c r="C1069" t="s">
        <v>4675</v>
      </c>
      <c r="D1069" t="s">
        <v>5095</v>
      </c>
    </row>
    <row r="1070" spans="1:4" x14ac:dyDescent="0.25">
      <c r="A1070" t="s">
        <v>1426</v>
      </c>
      <c r="B1070">
        <v>6</v>
      </c>
      <c r="C1070" t="s">
        <v>4596</v>
      </c>
      <c r="D1070" t="s">
        <v>4783</v>
      </c>
    </row>
    <row r="1071" spans="1:4" x14ac:dyDescent="0.25">
      <c r="A1071" t="s">
        <v>1372</v>
      </c>
      <c r="B1071">
        <v>32</v>
      </c>
      <c r="C1071" t="s">
        <v>4543</v>
      </c>
      <c r="D1071" t="s">
        <v>5430</v>
      </c>
    </row>
    <row r="1072" spans="1:4" x14ac:dyDescent="0.25">
      <c r="A1072" t="s">
        <v>1296</v>
      </c>
      <c r="B1072">
        <v>138</v>
      </c>
      <c r="C1072" t="s">
        <v>4470</v>
      </c>
      <c r="D1072" t="s">
        <v>5201</v>
      </c>
    </row>
    <row r="1074" spans="1:6" x14ac:dyDescent="0.25">
      <c r="A1074" t="s">
        <v>6288</v>
      </c>
    </row>
    <row r="1075" spans="1:6" x14ac:dyDescent="0.25">
      <c r="A1075" t="s">
        <v>903</v>
      </c>
      <c r="B1075" t="s">
        <v>4394</v>
      </c>
      <c r="C1075" t="s">
        <v>109</v>
      </c>
      <c r="D1075" t="s">
        <v>192</v>
      </c>
    </row>
    <row r="1076" spans="1:6" x14ac:dyDescent="0.25">
      <c r="A1076" t="s">
        <v>70</v>
      </c>
      <c r="B1076">
        <v>37</v>
      </c>
      <c r="C1076" t="s">
        <v>4746</v>
      </c>
      <c r="D1076" t="s">
        <v>5435</v>
      </c>
    </row>
    <row r="1077" spans="1:6" x14ac:dyDescent="0.25">
      <c r="A1077" t="s">
        <v>71</v>
      </c>
      <c r="B1077">
        <v>101</v>
      </c>
      <c r="C1077" t="s">
        <v>5318</v>
      </c>
      <c r="D1077" t="s">
        <v>5399</v>
      </c>
    </row>
    <row r="1078" spans="1:6" x14ac:dyDescent="0.25">
      <c r="A1078" t="s">
        <v>1296</v>
      </c>
      <c r="B1078">
        <v>138</v>
      </c>
      <c r="C1078" t="s">
        <v>4470</v>
      </c>
      <c r="D1078" t="s">
        <v>5201</v>
      </c>
    </row>
    <row r="1080" spans="1:6" x14ac:dyDescent="0.25">
      <c r="A1080" t="s">
        <v>6289</v>
      </c>
    </row>
    <row r="1081" spans="1:6" x14ac:dyDescent="0.25">
      <c r="A1081" t="s">
        <v>2842</v>
      </c>
      <c r="B1081" t="s">
        <v>4394</v>
      </c>
      <c r="C1081" t="s">
        <v>4433</v>
      </c>
      <c r="D1081" t="s">
        <v>4434</v>
      </c>
      <c r="E1081" t="s">
        <v>4435</v>
      </c>
      <c r="F1081" t="s">
        <v>4436</v>
      </c>
    </row>
    <row r="1082" spans="1:6" x14ac:dyDescent="0.25">
      <c r="A1082" t="s">
        <v>5549</v>
      </c>
      <c r="B1082">
        <v>83</v>
      </c>
      <c r="C1082" t="s">
        <v>5076</v>
      </c>
      <c r="D1082" t="s">
        <v>4487</v>
      </c>
      <c r="E1082" t="s">
        <v>5332</v>
      </c>
      <c r="F1082" t="s">
        <v>4606</v>
      </c>
    </row>
    <row r="1083" spans="1:6" x14ac:dyDescent="0.25">
      <c r="A1083" t="s">
        <v>1397</v>
      </c>
      <c r="B1083">
        <v>55</v>
      </c>
      <c r="C1083" t="s">
        <v>5467</v>
      </c>
      <c r="D1083" t="s">
        <v>4762</v>
      </c>
      <c r="E1083" t="s">
        <v>5113</v>
      </c>
      <c r="F1083" t="s">
        <v>4405</v>
      </c>
    </row>
    <row r="1084" spans="1:6" x14ac:dyDescent="0.25">
      <c r="A1084" t="s">
        <v>1296</v>
      </c>
      <c r="B1084">
        <v>138</v>
      </c>
      <c r="C1084" t="s">
        <v>4667</v>
      </c>
      <c r="D1084" t="s">
        <v>5158</v>
      </c>
      <c r="E1084" t="s">
        <v>4568</v>
      </c>
      <c r="F1084" t="s">
        <v>4933</v>
      </c>
    </row>
    <row r="1086" spans="1:6" x14ac:dyDescent="0.25">
      <c r="A1086" t="s">
        <v>6290</v>
      </c>
    </row>
    <row r="1087" spans="1:6" x14ac:dyDescent="0.25">
      <c r="A1087" t="s">
        <v>992</v>
      </c>
      <c r="B1087" t="s">
        <v>4394</v>
      </c>
      <c r="C1087" t="s">
        <v>4433</v>
      </c>
      <c r="D1087" t="s">
        <v>4434</v>
      </c>
      <c r="E1087" t="s">
        <v>4435</v>
      </c>
      <c r="F1087" t="s">
        <v>4436</v>
      </c>
    </row>
    <row r="1088" spans="1:6" x14ac:dyDescent="0.25">
      <c r="A1088" t="s">
        <v>4844</v>
      </c>
      <c r="B1088">
        <v>21</v>
      </c>
      <c r="C1088" t="s">
        <v>4749</v>
      </c>
      <c r="D1088" t="s">
        <v>4785</v>
      </c>
      <c r="E1088" t="s">
        <v>4778</v>
      </c>
      <c r="F1088" t="s">
        <v>4785</v>
      </c>
    </row>
    <row r="1089" spans="1:6" x14ac:dyDescent="0.25">
      <c r="A1089" t="s">
        <v>4845</v>
      </c>
      <c r="B1089">
        <v>108</v>
      </c>
      <c r="C1089" t="s">
        <v>4910</v>
      </c>
      <c r="D1089" t="s">
        <v>4570</v>
      </c>
      <c r="E1089" t="s">
        <v>4609</v>
      </c>
      <c r="F1089" t="s">
        <v>4765</v>
      </c>
    </row>
    <row r="1090" spans="1:6" x14ac:dyDescent="0.25">
      <c r="A1090" t="s">
        <v>4846</v>
      </c>
      <c r="B1090">
        <v>9</v>
      </c>
      <c r="C1090" t="s">
        <v>4406</v>
      </c>
      <c r="D1090" t="s">
        <v>4727</v>
      </c>
      <c r="E1090" t="s">
        <v>4731</v>
      </c>
      <c r="F1090" t="s">
        <v>4731</v>
      </c>
    </row>
    <row r="1091" spans="1:6" x14ac:dyDescent="0.25">
      <c r="A1091" t="s">
        <v>1296</v>
      </c>
      <c r="B1091">
        <v>138</v>
      </c>
      <c r="C1091" t="s">
        <v>4667</v>
      </c>
      <c r="D1091" t="s">
        <v>5158</v>
      </c>
      <c r="E1091" t="s">
        <v>4568</v>
      </c>
      <c r="F1091" t="s">
        <v>4933</v>
      </c>
    </row>
    <row r="1093" spans="1:6" x14ac:dyDescent="0.25">
      <c r="A1093" t="s">
        <v>6291</v>
      </c>
    </row>
    <row r="1094" spans="1:6" x14ac:dyDescent="0.25">
      <c r="A1094" t="s">
        <v>5521</v>
      </c>
      <c r="B1094" t="s">
        <v>4394</v>
      </c>
      <c r="C1094" t="s">
        <v>4433</v>
      </c>
      <c r="D1094" t="s">
        <v>4434</v>
      </c>
      <c r="E1094" t="s">
        <v>4435</v>
      </c>
      <c r="F1094" t="s">
        <v>4436</v>
      </c>
    </row>
    <row r="1095" spans="1:6" x14ac:dyDescent="0.25">
      <c r="A1095" t="s">
        <v>4438</v>
      </c>
      <c r="B1095">
        <v>53</v>
      </c>
      <c r="C1095" t="s">
        <v>4654</v>
      </c>
      <c r="D1095" t="s">
        <v>5330</v>
      </c>
      <c r="E1095" t="s">
        <v>5330</v>
      </c>
      <c r="F1095" t="s">
        <v>4869</v>
      </c>
    </row>
    <row r="1096" spans="1:6" x14ac:dyDescent="0.25">
      <c r="A1096" t="s">
        <v>4439</v>
      </c>
      <c r="B1096">
        <v>29</v>
      </c>
      <c r="C1096" t="s">
        <v>4887</v>
      </c>
      <c r="D1096" t="s">
        <v>5152</v>
      </c>
      <c r="E1096" t="s">
        <v>4820</v>
      </c>
      <c r="F1096" t="s">
        <v>4843</v>
      </c>
    </row>
    <row r="1097" spans="1:6" x14ac:dyDescent="0.25">
      <c r="A1097" t="s">
        <v>1400</v>
      </c>
      <c r="B1097">
        <v>4</v>
      </c>
      <c r="C1097" t="s">
        <v>4406</v>
      </c>
      <c r="D1097" t="s">
        <v>4462</v>
      </c>
      <c r="E1097" t="s">
        <v>4793</v>
      </c>
      <c r="F1097" t="s">
        <v>4406</v>
      </c>
    </row>
    <row r="1098" spans="1:6" x14ac:dyDescent="0.25">
      <c r="A1098" t="s">
        <v>1340</v>
      </c>
      <c r="B1098">
        <v>23</v>
      </c>
      <c r="C1098" t="s">
        <v>4406</v>
      </c>
      <c r="D1098" t="s">
        <v>4748</v>
      </c>
      <c r="E1098" t="s">
        <v>4682</v>
      </c>
      <c r="F1098" t="s">
        <v>4606</v>
      </c>
    </row>
    <row r="1099" spans="1:6" x14ac:dyDescent="0.25">
      <c r="A1099" t="s">
        <v>1426</v>
      </c>
      <c r="B1099">
        <v>1</v>
      </c>
      <c r="C1099" t="s">
        <v>4406</v>
      </c>
      <c r="D1099" t="s">
        <v>4406</v>
      </c>
      <c r="E1099" t="s">
        <v>4406</v>
      </c>
      <c r="F1099" t="s">
        <v>4454</v>
      </c>
    </row>
    <row r="1100" spans="1:6" x14ac:dyDescent="0.25">
      <c r="A1100" t="s">
        <v>1372</v>
      </c>
      <c r="B1100">
        <v>28</v>
      </c>
      <c r="C1100" t="s">
        <v>5076</v>
      </c>
      <c r="D1100" t="s">
        <v>4780</v>
      </c>
      <c r="E1100" t="s">
        <v>4462</v>
      </c>
      <c r="F1100" t="s">
        <v>4538</v>
      </c>
    </row>
    <row r="1101" spans="1:6" x14ac:dyDescent="0.25">
      <c r="A1101" t="s">
        <v>1296</v>
      </c>
      <c r="B1101">
        <v>138</v>
      </c>
      <c r="C1101" t="s">
        <v>4667</v>
      </c>
      <c r="D1101" t="s">
        <v>5158</v>
      </c>
      <c r="E1101" t="s">
        <v>4568</v>
      </c>
      <c r="F1101" t="s">
        <v>4933</v>
      </c>
    </row>
    <row r="1103" spans="1:6" x14ac:dyDescent="0.25">
      <c r="A1103" t="s">
        <v>6292</v>
      </c>
    </row>
    <row r="1104" spans="1:6" x14ac:dyDescent="0.25">
      <c r="A1104" t="s">
        <v>5518</v>
      </c>
      <c r="B1104" t="s">
        <v>4394</v>
      </c>
      <c r="C1104" t="s">
        <v>4433</v>
      </c>
      <c r="D1104" t="s">
        <v>4434</v>
      </c>
      <c r="E1104" t="s">
        <v>4435</v>
      </c>
      <c r="F1104" t="s">
        <v>4436</v>
      </c>
    </row>
    <row r="1105" spans="1:6" x14ac:dyDescent="0.25">
      <c r="A1105" t="s">
        <v>4438</v>
      </c>
      <c r="B1105">
        <v>60</v>
      </c>
      <c r="C1105" t="s">
        <v>4758</v>
      </c>
      <c r="D1105" t="s">
        <v>4512</v>
      </c>
      <c r="E1105" t="s">
        <v>4702</v>
      </c>
      <c r="F1105" t="s">
        <v>4646</v>
      </c>
    </row>
    <row r="1106" spans="1:6" x14ac:dyDescent="0.25">
      <c r="A1106" t="s">
        <v>4439</v>
      </c>
      <c r="B1106">
        <v>26</v>
      </c>
      <c r="C1106" t="s">
        <v>4720</v>
      </c>
      <c r="D1106" t="s">
        <v>4468</v>
      </c>
      <c r="E1106" t="s">
        <v>4567</v>
      </c>
      <c r="F1106" t="s">
        <v>4474</v>
      </c>
    </row>
    <row r="1107" spans="1:6" x14ac:dyDescent="0.25">
      <c r="A1107" t="s">
        <v>1400</v>
      </c>
      <c r="B1107">
        <v>6</v>
      </c>
      <c r="C1107" t="s">
        <v>4406</v>
      </c>
      <c r="D1107" t="s">
        <v>4465</v>
      </c>
      <c r="E1107" t="s">
        <v>4468</v>
      </c>
      <c r="F1107" t="s">
        <v>4596</v>
      </c>
    </row>
    <row r="1108" spans="1:6" x14ac:dyDescent="0.25">
      <c r="A1108" t="s">
        <v>1340</v>
      </c>
      <c r="B1108">
        <v>23</v>
      </c>
      <c r="C1108" t="s">
        <v>4406</v>
      </c>
      <c r="D1108" t="s">
        <v>4748</v>
      </c>
      <c r="E1108" t="s">
        <v>4682</v>
      </c>
      <c r="F1108" t="s">
        <v>4606</v>
      </c>
    </row>
    <row r="1109" spans="1:6" x14ac:dyDescent="0.25">
      <c r="A1109" t="s">
        <v>1372</v>
      </c>
      <c r="B1109">
        <v>23</v>
      </c>
      <c r="C1109" t="s">
        <v>4684</v>
      </c>
      <c r="D1109" t="s">
        <v>4606</v>
      </c>
      <c r="E1109" t="s">
        <v>4549</v>
      </c>
      <c r="F1109" t="s">
        <v>4913</v>
      </c>
    </row>
    <row r="1110" spans="1:6" x14ac:dyDescent="0.25">
      <c r="A1110" t="s">
        <v>1296</v>
      </c>
      <c r="B1110">
        <v>138</v>
      </c>
      <c r="C1110" t="s">
        <v>4667</v>
      </c>
      <c r="D1110" t="s">
        <v>5158</v>
      </c>
      <c r="E1110" t="s">
        <v>4568</v>
      </c>
      <c r="F1110" t="s">
        <v>4933</v>
      </c>
    </row>
    <row r="1112" spans="1:6" x14ac:dyDescent="0.25">
      <c r="A1112" t="s">
        <v>6293</v>
      </c>
    </row>
    <row r="1113" spans="1:6" x14ac:dyDescent="0.25">
      <c r="A1113" t="s">
        <v>1009</v>
      </c>
      <c r="B1113" t="s">
        <v>4394</v>
      </c>
      <c r="C1113" t="s">
        <v>4433</v>
      </c>
      <c r="D1113" t="s">
        <v>4434</v>
      </c>
      <c r="E1113" t="s">
        <v>4435</v>
      </c>
      <c r="F1113" t="s">
        <v>4436</v>
      </c>
    </row>
    <row r="1114" spans="1:6" x14ac:dyDescent="0.25">
      <c r="A1114" t="s">
        <v>4438</v>
      </c>
      <c r="B1114">
        <v>42</v>
      </c>
      <c r="C1114" t="s">
        <v>4400</v>
      </c>
      <c r="D1114" t="s">
        <v>4941</v>
      </c>
      <c r="E1114" t="s">
        <v>4447</v>
      </c>
      <c r="F1114" t="s">
        <v>4675</v>
      </c>
    </row>
    <row r="1115" spans="1:6" x14ac:dyDescent="0.25">
      <c r="A1115" t="s">
        <v>4439</v>
      </c>
      <c r="B1115">
        <v>19</v>
      </c>
      <c r="C1115" t="s">
        <v>4600</v>
      </c>
      <c r="D1115" t="s">
        <v>4528</v>
      </c>
      <c r="E1115" t="s">
        <v>4504</v>
      </c>
      <c r="F1115" t="s">
        <v>4600</v>
      </c>
    </row>
    <row r="1116" spans="1:6" x14ac:dyDescent="0.25">
      <c r="A1116" t="s">
        <v>1400</v>
      </c>
      <c r="B1116">
        <v>4</v>
      </c>
      <c r="C1116" t="s">
        <v>4406</v>
      </c>
      <c r="D1116" t="s">
        <v>4406</v>
      </c>
      <c r="E1116" t="s">
        <v>4468</v>
      </c>
      <c r="F1116" t="s">
        <v>4468</v>
      </c>
    </row>
    <row r="1117" spans="1:6" x14ac:dyDescent="0.25">
      <c r="A1117" t="s">
        <v>1340</v>
      </c>
      <c r="B1117">
        <v>21</v>
      </c>
      <c r="C1117" t="s">
        <v>4406</v>
      </c>
      <c r="D1117" t="s">
        <v>4865</v>
      </c>
      <c r="E1117" t="s">
        <v>4450</v>
      </c>
      <c r="F1117" t="s">
        <v>4785</v>
      </c>
    </row>
    <row r="1118" spans="1:6" x14ac:dyDescent="0.25">
      <c r="A1118" t="s">
        <v>1426</v>
      </c>
      <c r="B1118">
        <v>9</v>
      </c>
      <c r="C1118" t="s">
        <v>4406</v>
      </c>
      <c r="D1118" t="s">
        <v>4731</v>
      </c>
      <c r="E1118" t="s">
        <v>4465</v>
      </c>
      <c r="F1118" t="s">
        <v>4570</v>
      </c>
    </row>
    <row r="1119" spans="1:6" x14ac:dyDescent="0.25">
      <c r="A1119" t="s">
        <v>1372</v>
      </c>
      <c r="B1119">
        <v>43</v>
      </c>
      <c r="C1119" t="s">
        <v>4753</v>
      </c>
      <c r="D1119" t="s">
        <v>4523</v>
      </c>
      <c r="E1119" t="s">
        <v>4485</v>
      </c>
      <c r="F1119" t="s">
        <v>4810</v>
      </c>
    </row>
    <row r="1120" spans="1:6" x14ac:dyDescent="0.25">
      <c r="A1120" t="s">
        <v>1296</v>
      </c>
      <c r="B1120">
        <v>138</v>
      </c>
      <c r="C1120" t="s">
        <v>4667</v>
      </c>
      <c r="D1120" t="s">
        <v>5158</v>
      </c>
      <c r="E1120" t="s">
        <v>4568</v>
      </c>
      <c r="F1120" t="s">
        <v>4933</v>
      </c>
    </row>
    <row r="1122" spans="1:6" x14ac:dyDescent="0.25">
      <c r="A1122" t="s">
        <v>6294</v>
      </c>
    </row>
    <row r="1123" spans="1:6" x14ac:dyDescent="0.25">
      <c r="A1123" t="s">
        <v>1011</v>
      </c>
      <c r="B1123" t="s">
        <v>4394</v>
      </c>
      <c r="C1123" t="s">
        <v>4433</v>
      </c>
      <c r="D1123" t="s">
        <v>4434</v>
      </c>
      <c r="E1123" t="s">
        <v>4435</v>
      </c>
      <c r="F1123" t="s">
        <v>4436</v>
      </c>
    </row>
    <row r="1124" spans="1:6" x14ac:dyDescent="0.25">
      <c r="A1124" t="s">
        <v>4438</v>
      </c>
      <c r="B1124">
        <v>54</v>
      </c>
      <c r="C1124" t="s">
        <v>4571</v>
      </c>
      <c r="D1124" t="s">
        <v>5394</v>
      </c>
      <c r="E1124" t="s">
        <v>4755</v>
      </c>
      <c r="F1124" t="s">
        <v>4571</v>
      </c>
    </row>
    <row r="1125" spans="1:6" x14ac:dyDescent="0.25">
      <c r="A1125" t="s">
        <v>4439</v>
      </c>
      <c r="B1125">
        <v>23</v>
      </c>
      <c r="C1125" t="s">
        <v>4667</v>
      </c>
      <c r="D1125" t="s">
        <v>4786</v>
      </c>
      <c r="E1125" t="s">
        <v>4712</v>
      </c>
      <c r="F1125" t="s">
        <v>4663</v>
      </c>
    </row>
    <row r="1126" spans="1:6" x14ac:dyDescent="0.25">
      <c r="A1126" t="s">
        <v>1400</v>
      </c>
      <c r="B1126">
        <v>2</v>
      </c>
      <c r="C1126" t="s">
        <v>4406</v>
      </c>
      <c r="D1126" t="s">
        <v>4406</v>
      </c>
      <c r="E1126" t="s">
        <v>4468</v>
      </c>
      <c r="F1126" t="s">
        <v>4468</v>
      </c>
    </row>
    <row r="1127" spans="1:6" x14ac:dyDescent="0.25">
      <c r="A1127" t="s">
        <v>1340</v>
      </c>
      <c r="B1127">
        <v>21</v>
      </c>
      <c r="C1127" t="s">
        <v>4406</v>
      </c>
      <c r="D1127" t="s">
        <v>4865</v>
      </c>
      <c r="E1127" t="s">
        <v>4450</v>
      </c>
      <c r="F1127" t="s">
        <v>4785</v>
      </c>
    </row>
    <row r="1128" spans="1:6" x14ac:dyDescent="0.25">
      <c r="A1128" t="s">
        <v>1426</v>
      </c>
      <c r="B1128">
        <v>6</v>
      </c>
      <c r="C1128" t="s">
        <v>4406</v>
      </c>
      <c r="D1128" t="s">
        <v>4465</v>
      </c>
      <c r="E1128" t="s">
        <v>4468</v>
      </c>
      <c r="F1128" t="s">
        <v>4596</v>
      </c>
    </row>
    <row r="1129" spans="1:6" x14ac:dyDescent="0.25">
      <c r="A1129" t="s">
        <v>1372</v>
      </c>
      <c r="B1129">
        <v>32</v>
      </c>
      <c r="C1129" t="s">
        <v>4873</v>
      </c>
      <c r="D1129" t="s">
        <v>4944</v>
      </c>
      <c r="E1129" t="s">
        <v>4462</v>
      </c>
      <c r="F1129" t="s">
        <v>4468</v>
      </c>
    </row>
    <row r="1130" spans="1:6" x14ac:dyDescent="0.25">
      <c r="A1130" t="s">
        <v>1296</v>
      </c>
      <c r="B1130">
        <v>138</v>
      </c>
      <c r="C1130" t="s">
        <v>4667</v>
      </c>
      <c r="D1130" t="s">
        <v>5158</v>
      </c>
      <c r="E1130" t="s">
        <v>4568</v>
      </c>
      <c r="F1130" t="s">
        <v>4933</v>
      </c>
    </row>
    <row r="1132" spans="1:6" x14ac:dyDescent="0.25">
      <c r="A1132" t="s">
        <v>6295</v>
      </c>
    </row>
    <row r="1133" spans="1:6" x14ac:dyDescent="0.25">
      <c r="A1133" t="s">
        <v>903</v>
      </c>
      <c r="B1133" t="s">
        <v>4394</v>
      </c>
      <c r="C1133" t="s">
        <v>4433</v>
      </c>
      <c r="D1133" t="s">
        <v>4434</v>
      </c>
      <c r="E1133" t="s">
        <v>4435</v>
      </c>
      <c r="F1133" t="s">
        <v>4436</v>
      </c>
    </row>
    <row r="1134" spans="1:6" x14ac:dyDescent="0.25">
      <c r="A1134" t="s">
        <v>70</v>
      </c>
      <c r="B1134">
        <v>37</v>
      </c>
      <c r="C1134" t="s">
        <v>4746</v>
      </c>
      <c r="D1134" t="s">
        <v>4533</v>
      </c>
      <c r="E1134" t="s">
        <v>4931</v>
      </c>
      <c r="F1134" t="s">
        <v>5301</v>
      </c>
    </row>
    <row r="1135" spans="1:6" x14ac:dyDescent="0.25">
      <c r="A1135" t="s">
        <v>71</v>
      </c>
      <c r="B1135">
        <v>101</v>
      </c>
      <c r="C1135" t="s">
        <v>4660</v>
      </c>
      <c r="D1135" t="s">
        <v>5434</v>
      </c>
      <c r="E1135" t="s">
        <v>4452</v>
      </c>
      <c r="F1135" t="s">
        <v>4699</v>
      </c>
    </row>
    <row r="1136" spans="1:6" x14ac:dyDescent="0.25">
      <c r="A1136" t="s">
        <v>1296</v>
      </c>
      <c r="B1136">
        <v>138</v>
      </c>
      <c r="C1136" t="s">
        <v>4667</v>
      </c>
      <c r="D1136" t="s">
        <v>5158</v>
      </c>
      <c r="E1136" t="s">
        <v>4568</v>
      </c>
      <c r="F1136" t="s">
        <v>4933</v>
      </c>
    </row>
    <row r="1138" spans="1:9" x14ac:dyDescent="0.25">
      <c r="A1138" t="s">
        <v>6296</v>
      </c>
    </row>
    <row r="1139" spans="1:9" x14ac:dyDescent="0.25">
      <c r="A1139" t="s">
        <v>2842</v>
      </c>
      <c r="B1139" t="s">
        <v>4394</v>
      </c>
      <c r="C1139" t="s">
        <v>4433</v>
      </c>
      <c r="D1139" t="s">
        <v>4434</v>
      </c>
      <c r="E1139" t="s">
        <v>109</v>
      </c>
      <c r="F1139" t="s">
        <v>4736</v>
      </c>
      <c r="G1139" t="s">
        <v>4737</v>
      </c>
      <c r="H1139" t="s">
        <v>4436</v>
      </c>
      <c r="I1139" t="s">
        <v>4437</v>
      </c>
    </row>
    <row r="1140" spans="1:9" x14ac:dyDescent="0.25">
      <c r="A1140" t="s">
        <v>5549</v>
      </c>
      <c r="B1140">
        <v>83</v>
      </c>
      <c r="C1140" t="s">
        <v>4406</v>
      </c>
      <c r="D1140" t="s">
        <v>4559</v>
      </c>
      <c r="E1140" t="s">
        <v>5437</v>
      </c>
      <c r="F1140" t="s">
        <v>4406</v>
      </c>
      <c r="G1140" t="s">
        <v>4406</v>
      </c>
      <c r="H1140" t="s">
        <v>4422</v>
      </c>
      <c r="I1140" t="s">
        <v>4843</v>
      </c>
    </row>
    <row r="1141" spans="1:9" x14ac:dyDescent="0.25">
      <c r="A1141" t="s">
        <v>1397</v>
      </c>
      <c r="B1141">
        <v>55</v>
      </c>
      <c r="C1141" t="s">
        <v>4406</v>
      </c>
      <c r="D1141" t="s">
        <v>4406</v>
      </c>
      <c r="E1141" t="s">
        <v>5134</v>
      </c>
      <c r="F1141" t="s">
        <v>4406</v>
      </c>
      <c r="G1141" t="s">
        <v>4406</v>
      </c>
      <c r="H1141" t="s">
        <v>5076</v>
      </c>
      <c r="I1141" t="s">
        <v>4472</v>
      </c>
    </row>
    <row r="1142" spans="1:9" x14ac:dyDescent="0.25">
      <c r="A1142" t="s">
        <v>1296</v>
      </c>
      <c r="B1142">
        <v>138</v>
      </c>
      <c r="C1142" t="s">
        <v>4406</v>
      </c>
      <c r="D1142" t="s">
        <v>5076</v>
      </c>
      <c r="E1142" t="s">
        <v>5218</v>
      </c>
      <c r="F1142" t="s">
        <v>4406</v>
      </c>
      <c r="G1142" t="s">
        <v>4406</v>
      </c>
      <c r="H1142" t="s">
        <v>4581</v>
      </c>
      <c r="I1142" t="s">
        <v>4480</v>
      </c>
    </row>
    <row r="1144" spans="1:9" x14ac:dyDescent="0.25">
      <c r="A1144" t="s">
        <v>6297</v>
      </c>
    </row>
    <row r="1145" spans="1:9" x14ac:dyDescent="0.25">
      <c r="A1145" t="s">
        <v>903</v>
      </c>
      <c r="B1145" t="s">
        <v>4394</v>
      </c>
      <c r="C1145" t="s">
        <v>4433</v>
      </c>
      <c r="D1145" t="s">
        <v>4434</v>
      </c>
      <c r="E1145" t="s">
        <v>109</v>
      </c>
      <c r="F1145" t="s">
        <v>4736</v>
      </c>
      <c r="G1145" t="s">
        <v>4737</v>
      </c>
      <c r="H1145" t="s">
        <v>4436</v>
      </c>
      <c r="I1145" t="s">
        <v>4437</v>
      </c>
    </row>
    <row r="1146" spans="1:9" x14ac:dyDescent="0.25">
      <c r="A1146" t="s">
        <v>70</v>
      </c>
      <c r="B1146">
        <v>37</v>
      </c>
      <c r="C1146" t="s">
        <v>4406</v>
      </c>
      <c r="D1146" t="s">
        <v>4746</v>
      </c>
      <c r="E1146" t="s">
        <v>5229</v>
      </c>
      <c r="F1146" t="s">
        <v>4406</v>
      </c>
      <c r="G1146" t="s">
        <v>4406</v>
      </c>
      <c r="H1146" t="s">
        <v>4746</v>
      </c>
      <c r="I1146" t="s">
        <v>4553</v>
      </c>
    </row>
    <row r="1147" spans="1:9" x14ac:dyDescent="0.25">
      <c r="A1147" t="s">
        <v>71</v>
      </c>
      <c r="B1147">
        <v>101</v>
      </c>
      <c r="C1147" t="s">
        <v>4406</v>
      </c>
      <c r="D1147" t="s">
        <v>4626</v>
      </c>
      <c r="E1147" t="s">
        <v>4836</v>
      </c>
      <c r="F1147" t="s">
        <v>4406</v>
      </c>
      <c r="G1147" t="s">
        <v>4406</v>
      </c>
      <c r="H1147" t="s">
        <v>4402</v>
      </c>
      <c r="I1147" t="s">
        <v>4909</v>
      </c>
    </row>
    <row r="1148" spans="1:9" x14ac:dyDescent="0.25">
      <c r="A1148" t="s">
        <v>1296</v>
      </c>
      <c r="B1148">
        <v>138</v>
      </c>
      <c r="C1148" t="s">
        <v>4406</v>
      </c>
      <c r="D1148" t="s">
        <v>5076</v>
      </c>
      <c r="E1148" t="s">
        <v>5218</v>
      </c>
      <c r="F1148" t="s">
        <v>4406</v>
      </c>
      <c r="G1148" t="s">
        <v>4406</v>
      </c>
      <c r="H1148" t="s">
        <v>4581</v>
      </c>
      <c r="I1148" t="s">
        <v>4480</v>
      </c>
    </row>
    <row r="1150" spans="1:9" x14ac:dyDescent="0.25">
      <c r="A1150" t="s">
        <v>6298</v>
      </c>
    </row>
    <row r="1151" spans="1:9" x14ac:dyDescent="0.25">
      <c r="A1151" t="s">
        <v>2842</v>
      </c>
      <c r="B1151" t="s">
        <v>4394</v>
      </c>
      <c r="C1151" t="s">
        <v>1338</v>
      </c>
      <c r="D1151" t="s">
        <v>1370</v>
      </c>
      <c r="E1151" t="s">
        <v>1439</v>
      </c>
      <c r="F1151" t="s">
        <v>1476</v>
      </c>
      <c r="G1151" t="s">
        <v>5476</v>
      </c>
      <c r="H1151" t="s">
        <v>1399</v>
      </c>
      <c r="I1151" t="s">
        <v>1415</v>
      </c>
    </row>
    <row r="1152" spans="1:9" x14ac:dyDescent="0.25">
      <c r="A1152" t="s">
        <v>5549</v>
      </c>
      <c r="B1152">
        <v>83</v>
      </c>
      <c r="C1152" t="s">
        <v>4690</v>
      </c>
      <c r="D1152" t="s">
        <v>4749</v>
      </c>
      <c r="E1152" t="s">
        <v>5142</v>
      </c>
      <c r="F1152" t="s">
        <v>4422</v>
      </c>
      <c r="G1152" t="s">
        <v>4406</v>
      </c>
      <c r="H1152" t="s">
        <v>4749</v>
      </c>
      <c r="I1152" t="s">
        <v>5226</v>
      </c>
    </row>
    <row r="1153" spans="1:9" x14ac:dyDescent="0.25">
      <c r="A1153" t="s">
        <v>1397</v>
      </c>
      <c r="B1153">
        <v>55</v>
      </c>
      <c r="C1153" t="s">
        <v>4472</v>
      </c>
      <c r="D1153" t="s">
        <v>4681</v>
      </c>
      <c r="E1153" t="s">
        <v>4406</v>
      </c>
      <c r="F1153" t="s">
        <v>5206</v>
      </c>
      <c r="G1153" t="s">
        <v>5076</v>
      </c>
      <c r="H1153" t="s">
        <v>5113</v>
      </c>
      <c r="I1153" t="s">
        <v>4747</v>
      </c>
    </row>
    <row r="1154" spans="1:9" x14ac:dyDescent="0.25">
      <c r="A1154" t="s">
        <v>1296</v>
      </c>
      <c r="B1154">
        <v>138</v>
      </c>
      <c r="C1154" t="s">
        <v>4918</v>
      </c>
      <c r="D1154" t="s">
        <v>4666</v>
      </c>
      <c r="E1154" t="s">
        <v>4627</v>
      </c>
      <c r="F1154" t="s">
        <v>5076</v>
      </c>
      <c r="G1154" t="s">
        <v>4750</v>
      </c>
      <c r="H1154" t="s">
        <v>4596</v>
      </c>
      <c r="I1154" t="s">
        <v>4664</v>
      </c>
    </row>
    <row r="1156" spans="1:9" x14ac:dyDescent="0.25">
      <c r="A1156" t="s">
        <v>6299</v>
      </c>
    </row>
    <row r="1157" spans="1:9" x14ac:dyDescent="0.25">
      <c r="A1157" t="s">
        <v>903</v>
      </c>
      <c r="B1157" t="s">
        <v>4394</v>
      </c>
      <c r="C1157" t="s">
        <v>1338</v>
      </c>
      <c r="D1157" t="s">
        <v>1370</v>
      </c>
      <c r="E1157" t="s">
        <v>1439</v>
      </c>
      <c r="F1157" t="s">
        <v>1476</v>
      </c>
      <c r="G1157" t="s">
        <v>5476</v>
      </c>
      <c r="H1157" t="s">
        <v>1399</v>
      </c>
      <c r="I1157" t="s">
        <v>1415</v>
      </c>
    </row>
    <row r="1158" spans="1:9" x14ac:dyDescent="0.25">
      <c r="A1158" t="s">
        <v>70</v>
      </c>
      <c r="B1158">
        <v>37</v>
      </c>
      <c r="C1158" t="s">
        <v>4718</v>
      </c>
      <c r="D1158" t="s">
        <v>4746</v>
      </c>
      <c r="E1158" t="s">
        <v>4746</v>
      </c>
      <c r="F1158" t="s">
        <v>4931</v>
      </c>
      <c r="G1158" t="s">
        <v>4746</v>
      </c>
      <c r="H1158" t="s">
        <v>4625</v>
      </c>
      <c r="I1158" t="s">
        <v>5222</v>
      </c>
    </row>
    <row r="1159" spans="1:9" x14ac:dyDescent="0.25">
      <c r="A1159" t="s">
        <v>71</v>
      </c>
      <c r="B1159">
        <v>101</v>
      </c>
      <c r="C1159" t="s">
        <v>4545</v>
      </c>
      <c r="D1159" t="s">
        <v>4714</v>
      </c>
      <c r="E1159" t="s">
        <v>4758</v>
      </c>
      <c r="F1159" t="s">
        <v>4660</v>
      </c>
      <c r="G1159" t="s">
        <v>4406</v>
      </c>
      <c r="H1159" t="s">
        <v>5318</v>
      </c>
      <c r="I1159" t="s">
        <v>4955</v>
      </c>
    </row>
    <row r="1160" spans="1:9" x14ac:dyDescent="0.25">
      <c r="A1160" t="s">
        <v>1296</v>
      </c>
      <c r="B1160">
        <v>138</v>
      </c>
      <c r="C1160" t="s">
        <v>4918</v>
      </c>
      <c r="D1160" t="s">
        <v>4666</v>
      </c>
      <c r="E1160" t="s">
        <v>4627</v>
      </c>
      <c r="F1160" t="s">
        <v>5076</v>
      </c>
      <c r="G1160" t="s">
        <v>4750</v>
      </c>
      <c r="H1160" t="s">
        <v>4596</v>
      </c>
      <c r="I1160" t="s">
        <v>4664</v>
      </c>
    </row>
    <row r="1162" spans="1:9" x14ac:dyDescent="0.25">
      <c r="A1162" t="s">
        <v>6300</v>
      </c>
    </row>
    <row r="1163" spans="1:9" x14ac:dyDescent="0.25">
      <c r="A1163" t="s">
        <v>2842</v>
      </c>
      <c r="B1163" t="s">
        <v>4394</v>
      </c>
      <c r="C1163" t="s">
        <v>1561</v>
      </c>
      <c r="D1163" t="s">
        <v>1460</v>
      </c>
      <c r="E1163" t="s">
        <v>1342</v>
      </c>
      <c r="F1163" t="s">
        <v>1375</v>
      </c>
      <c r="G1163" t="s">
        <v>1401</v>
      </c>
    </row>
    <row r="1164" spans="1:9" x14ac:dyDescent="0.25">
      <c r="A1164" t="s">
        <v>5549</v>
      </c>
      <c r="B1164">
        <v>83</v>
      </c>
      <c r="C1164" t="s">
        <v>5076</v>
      </c>
      <c r="D1164" t="s">
        <v>4936</v>
      </c>
      <c r="E1164" t="s">
        <v>4535</v>
      </c>
      <c r="F1164" t="s">
        <v>5438</v>
      </c>
      <c r="G1164" t="s">
        <v>4591</v>
      </c>
    </row>
    <row r="1165" spans="1:9" x14ac:dyDescent="0.25">
      <c r="A1165" t="s">
        <v>1397</v>
      </c>
      <c r="B1165">
        <v>55</v>
      </c>
      <c r="C1165" t="s">
        <v>4905</v>
      </c>
      <c r="D1165" t="s">
        <v>4638</v>
      </c>
      <c r="E1165" t="s">
        <v>4500</v>
      </c>
      <c r="F1165" t="s">
        <v>4747</v>
      </c>
      <c r="G1165" t="s">
        <v>4591</v>
      </c>
    </row>
    <row r="1166" spans="1:9" x14ac:dyDescent="0.25">
      <c r="A1166" t="s">
        <v>1296</v>
      </c>
      <c r="B1166">
        <v>138</v>
      </c>
      <c r="C1166" t="s">
        <v>4697</v>
      </c>
      <c r="D1166" t="s">
        <v>4443</v>
      </c>
      <c r="E1166" t="s">
        <v>4509</v>
      </c>
      <c r="F1166" t="s">
        <v>4760</v>
      </c>
      <c r="G1166" t="s">
        <v>4591</v>
      </c>
    </row>
    <row r="1168" spans="1:9" x14ac:dyDescent="0.25">
      <c r="A1168" t="s">
        <v>6301</v>
      </c>
    </row>
    <row r="1169" spans="1:7" x14ac:dyDescent="0.25">
      <c r="A1169" t="s">
        <v>2723</v>
      </c>
      <c r="B1169" t="s">
        <v>4394</v>
      </c>
      <c r="C1169" t="s">
        <v>1561</v>
      </c>
      <c r="D1169" t="s">
        <v>1460</v>
      </c>
      <c r="E1169" t="s">
        <v>1342</v>
      </c>
      <c r="F1169" t="s">
        <v>1375</v>
      </c>
      <c r="G1169" t="s">
        <v>1401</v>
      </c>
    </row>
    <row r="1170" spans="1:7" x14ac:dyDescent="0.25">
      <c r="A1170" t="s">
        <v>4433</v>
      </c>
      <c r="B1170">
        <v>6</v>
      </c>
      <c r="C1170" t="s">
        <v>4469</v>
      </c>
      <c r="D1170" t="s">
        <v>4406</v>
      </c>
      <c r="E1170" t="s">
        <v>4406</v>
      </c>
      <c r="F1170" t="s">
        <v>4465</v>
      </c>
      <c r="G1170" t="s">
        <v>4406</v>
      </c>
    </row>
    <row r="1171" spans="1:7" x14ac:dyDescent="0.25">
      <c r="A1171" t="s">
        <v>4434</v>
      </c>
      <c r="B1171">
        <v>57</v>
      </c>
      <c r="C1171" t="s">
        <v>4406</v>
      </c>
      <c r="D1171" t="s">
        <v>5329</v>
      </c>
      <c r="E1171" t="s">
        <v>4406</v>
      </c>
      <c r="F1171" t="s">
        <v>5172</v>
      </c>
      <c r="G1171" t="s">
        <v>4406</v>
      </c>
    </row>
    <row r="1172" spans="1:7" x14ac:dyDescent="0.25">
      <c r="A1172" t="s">
        <v>4435</v>
      </c>
      <c r="B1172">
        <v>47</v>
      </c>
      <c r="C1172" t="s">
        <v>4406</v>
      </c>
      <c r="D1172" t="s">
        <v>4406</v>
      </c>
      <c r="E1172" t="s">
        <v>5031</v>
      </c>
      <c r="F1172" t="s">
        <v>4856</v>
      </c>
      <c r="G1172" t="s">
        <v>4406</v>
      </c>
    </row>
    <row r="1173" spans="1:7" x14ac:dyDescent="0.25">
      <c r="A1173" t="s">
        <v>4436</v>
      </c>
      <c r="B1173">
        <v>28</v>
      </c>
      <c r="C1173" t="s">
        <v>4406</v>
      </c>
      <c r="D1173" t="s">
        <v>4406</v>
      </c>
      <c r="E1173" t="s">
        <v>4406</v>
      </c>
      <c r="F1173" t="s">
        <v>4450</v>
      </c>
      <c r="G1173" t="s">
        <v>4814</v>
      </c>
    </row>
    <row r="1174" spans="1:7" x14ac:dyDescent="0.25">
      <c r="A1174" t="s">
        <v>1296</v>
      </c>
      <c r="B1174">
        <v>138</v>
      </c>
      <c r="C1174" t="s">
        <v>4697</v>
      </c>
      <c r="D1174" t="s">
        <v>4443</v>
      </c>
      <c r="E1174" t="s">
        <v>4509</v>
      </c>
      <c r="F1174" t="s">
        <v>4760</v>
      </c>
      <c r="G1174" t="s">
        <v>4591</v>
      </c>
    </row>
    <row r="1176" spans="1:7" x14ac:dyDescent="0.25">
      <c r="A1176" t="s">
        <v>6302</v>
      </c>
    </row>
    <row r="1177" spans="1:7" x14ac:dyDescent="0.25">
      <c r="A1177" t="s">
        <v>992</v>
      </c>
      <c r="B1177" t="s">
        <v>4394</v>
      </c>
      <c r="C1177" t="s">
        <v>1561</v>
      </c>
      <c r="D1177" t="s">
        <v>1460</v>
      </c>
      <c r="E1177" t="s">
        <v>1342</v>
      </c>
      <c r="F1177" t="s">
        <v>1375</v>
      </c>
      <c r="G1177" t="s">
        <v>1401</v>
      </c>
    </row>
    <row r="1178" spans="1:7" x14ac:dyDescent="0.25">
      <c r="A1178" t="s">
        <v>4844</v>
      </c>
      <c r="B1178">
        <v>21</v>
      </c>
      <c r="C1178" t="s">
        <v>4749</v>
      </c>
      <c r="D1178" t="s">
        <v>4522</v>
      </c>
      <c r="E1178" t="s">
        <v>4778</v>
      </c>
      <c r="F1178" t="s">
        <v>4522</v>
      </c>
      <c r="G1178" t="s">
        <v>4675</v>
      </c>
    </row>
    <row r="1179" spans="1:7" x14ac:dyDescent="0.25">
      <c r="A1179" t="s">
        <v>4845</v>
      </c>
      <c r="B1179">
        <v>108</v>
      </c>
      <c r="C1179" t="s">
        <v>4649</v>
      </c>
      <c r="D1179" t="s">
        <v>4593</v>
      </c>
      <c r="E1179" t="s">
        <v>4482</v>
      </c>
      <c r="F1179" t="s">
        <v>5177</v>
      </c>
      <c r="G1179" t="s">
        <v>4464</v>
      </c>
    </row>
    <row r="1180" spans="1:7" x14ac:dyDescent="0.25">
      <c r="A1180" t="s">
        <v>4846</v>
      </c>
      <c r="B1180">
        <v>9</v>
      </c>
      <c r="C1180" t="s">
        <v>4406</v>
      </c>
      <c r="D1180" t="s">
        <v>4676</v>
      </c>
      <c r="E1180" t="s">
        <v>4731</v>
      </c>
      <c r="F1180" t="s">
        <v>4570</v>
      </c>
      <c r="G1180" t="s">
        <v>4731</v>
      </c>
    </row>
    <row r="1181" spans="1:7" x14ac:dyDescent="0.25">
      <c r="A1181" t="s">
        <v>1296</v>
      </c>
      <c r="B1181">
        <v>138</v>
      </c>
      <c r="C1181" t="s">
        <v>4697</v>
      </c>
      <c r="D1181" t="s">
        <v>4443</v>
      </c>
      <c r="E1181" t="s">
        <v>4509</v>
      </c>
      <c r="F1181" t="s">
        <v>4760</v>
      </c>
      <c r="G1181" t="s">
        <v>4591</v>
      </c>
    </row>
    <row r="1183" spans="1:7" x14ac:dyDescent="0.25">
      <c r="A1183" t="s">
        <v>6303</v>
      </c>
    </row>
    <row r="1184" spans="1:7" x14ac:dyDescent="0.25">
      <c r="A1184" t="s">
        <v>1006</v>
      </c>
      <c r="B1184" t="s">
        <v>4394</v>
      </c>
      <c r="C1184" t="s">
        <v>1561</v>
      </c>
      <c r="D1184" t="s">
        <v>1460</v>
      </c>
      <c r="E1184" t="s">
        <v>1342</v>
      </c>
      <c r="F1184" t="s">
        <v>1375</v>
      </c>
      <c r="G1184" t="s">
        <v>1401</v>
      </c>
    </row>
    <row r="1185" spans="1:7" x14ac:dyDescent="0.25">
      <c r="A1185" t="s">
        <v>1371</v>
      </c>
      <c r="B1185">
        <v>26</v>
      </c>
      <c r="C1185">
        <v>2</v>
      </c>
      <c r="D1185">
        <v>5</v>
      </c>
      <c r="E1185">
        <v>9</v>
      </c>
      <c r="F1185">
        <v>5</v>
      </c>
      <c r="G1185">
        <v>5</v>
      </c>
    </row>
    <row r="1186" spans="1:7" x14ac:dyDescent="0.25">
      <c r="A1186" t="s">
        <v>1452</v>
      </c>
      <c r="B1186">
        <v>17</v>
      </c>
      <c r="C1186">
        <v>1</v>
      </c>
      <c r="D1186">
        <v>3</v>
      </c>
      <c r="E1186">
        <v>6</v>
      </c>
      <c r="F1186">
        <v>6</v>
      </c>
      <c r="G1186">
        <v>1</v>
      </c>
    </row>
    <row r="1187" spans="1:7" x14ac:dyDescent="0.25">
      <c r="A1187" t="s">
        <v>5560</v>
      </c>
      <c r="B1187">
        <v>14</v>
      </c>
      <c r="C1187">
        <v>1</v>
      </c>
      <c r="D1187">
        <v>2</v>
      </c>
      <c r="E1187">
        <v>3</v>
      </c>
      <c r="F1187">
        <v>4</v>
      </c>
      <c r="G1187">
        <v>4</v>
      </c>
    </row>
    <row r="1188" spans="1:7" x14ac:dyDescent="0.25">
      <c r="A1188" t="s">
        <v>1424</v>
      </c>
      <c r="B1188">
        <v>30</v>
      </c>
      <c r="C1188">
        <v>0</v>
      </c>
      <c r="D1188">
        <v>5</v>
      </c>
      <c r="E1188">
        <v>12</v>
      </c>
      <c r="F1188">
        <v>10</v>
      </c>
      <c r="G1188">
        <v>3</v>
      </c>
    </row>
    <row r="1189" spans="1:7" x14ac:dyDescent="0.25">
      <c r="A1189" t="s">
        <v>1340</v>
      </c>
      <c r="B1189">
        <v>21</v>
      </c>
      <c r="C1189">
        <v>0</v>
      </c>
      <c r="D1189">
        <v>6</v>
      </c>
      <c r="E1189">
        <v>6</v>
      </c>
      <c r="F1189">
        <v>5</v>
      </c>
      <c r="G1189">
        <v>4</v>
      </c>
    </row>
    <row r="1190" spans="1:7" x14ac:dyDescent="0.25">
      <c r="A1190" t="s">
        <v>5561</v>
      </c>
      <c r="B1190">
        <v>6</v>
      </c>
      <c r="C1190">
        <v>0</v>
      </c>
      <c r="D1190">
        <v>4</v>
      </c>
      <c r="E1190">
        <v>1</v>
      </c>
      <c r="F1190">
        <v>0</v>
      </c>
      <c r="G1190">
        <v>1</v>
      </c>
    </row>
    <row r="1191" spans="1:7" x14ac:dyDescent="0.25">
      <c r="A1191" t="s">
        <v>1416</v>
      </c>
      <c r="B1191">
        <v>24</v>
      </c>
      <c r="C1191">
        <v>0</v>
      </c>
      <c r="D1191">
        <v>7</v>
      </c>
      <c r="E1191">
        <v>7</v>
      </c>
      <c r="F1191">
        <v>8</v>
      </c>
      <c r="G1191">
        <v>2</v>
      </c>
    </row>
    <row r="1192" spans="1:7" x14ac:dyDescent="0.25">
      <c r="A1192" t="s">
        <v>1296</v>
      </c>
      <c r="B1192">
        <v>138</v>
      </c>
      <c r="C1192">
        <v>4</v>
      </c>
      <c r="D1192">
        <v>32</v>
      </c>
      <c r="E1192">
        <v>44</v>
      </c>
      <c r="F1192">
        <v>38</v>
      </c>
      <c r="G1192">
        <v>20</v>
      </c>
    </row>
    <row r="1194" spans="1:7" x14ac:dyDescent="0.25">
      <c r="A1194" t="s">
        <v>6304</v>
      </c>
    </row>
    <row r="1195" spans="1:7" x14ac:dyDescent="0.25">
      <c r="A1195" t="s">
        <v>2644</v>
      </c>
      <c r="B1195" t="s">
        <v>4394</v>
      </c>
      <c r="C1195" t="s">
        <v>1561</v>
      </c>
      <c r="D1195" t="s">
        <v>1460</v>
      </c>
      <c r="E1195" t="s">
        <v>1342</v>
      </c>
      <c r="F1195" t="s">
        <v>1375</v>
      </c>
      <c r="G1195" t="s">
        <v>1401</v>
      </c>
    </row>
    <row r="1196" spans="1:7" x14ac:dyDescent="0.25">
      <c r="A1196" t="s">
        <v>1315</v>
      </c>
      <c r="B1196">
        <v>39</v>
      </c>
      <c r="C1196" t="s">
        <v>4864</v>
      </c>
      <c r="D1196" t="s">
        <v>4474</v>
      </c>
      <c r="E1196" t="s">
        <v>4711</v>
      </c>
      <c r="F1196" t="s">
        <v>4566</v>
      </c>
      <c r="G1196" t="s">
        <v>4583</v>
      </c>
    </row>
    <row r="1197" spans="1:7" x14ac:dyDescent="0.25">
      <c r="A1197" t="s">
        <v>1353</v>
      </c>
      <c r="B1197">
        <v>5</v>
      </c>
      <c r="C1197" t="s">
        <v>4406</v>
      </c>
      <c r="D1197" t="s">
        <v>4458</v>
      </c>
      <c r="E1197" t="s">
        <v>4472</v>
      </c>
      <c r="F1197" t="s">
        <v>4458</v>
      </c>
      <c r="G1197" t="s">
        <v>4406</v>
      </c>
    </row>
    <row r="1198" spans="1:7" x14ac:dyDescent="0.25">
      <c r="A1198" t="s">
        <v>4662</v>
      </c>
      <c r="B1198">
        <v>94</v>
      </c>
      <c r="C1198" t="s">
        <v>4713</v>
      </c>
      <c r="D1198" t="s">
        <v>5252</v>
      </c>
      <c r="E1198" t="s">
        <v>4740</v>
      </c>
      <c r="F1198" t="s">
        <v>5177</v>
      </c>
      <c r="G1198" t="s">
        <v>4706</v>
      </c>
    </row>
    <row r="1199" spans="1:7" x14ac:dyDescent="0.25">
      <c r="A1199" t="s">
        <v>1296</v>
      </c>
      <c r="B1199">
        <v>138</v>
      </c>
      <c r="C1199" t="s">
        <v>4697</v>
      </c>
      <c r="D1199" t="s">
        <v>4443</v>
      </c>
      <c r="E1199" t="s">
        <v>4509</v>
      </c>
      <c r="F1199" t="s">
        <v>4760</v>
      </c>
      <c r="G1199" t="s">
        <v>4591</v>
      </c>
    </row>
    <row r="1201" spans="1:7" x14ac:dyDescent="0.25">
      <c r="A1201" t="s">
        <v>6305</v>
      </c>
    </row>
    <row r="1202" spans="1:7" x14ac:dyDescent="0.25">
      <c r="A1202" t="s">
        <v>5521</v>
      </c>
      <c r="B1202" t="s">
        <v>4394</v>
      </c>
      <c r="C1202" t="s">
        <v>1561</v>
      </c>
      <c r="D1202" t="s">
        <v>1460</v>
      </c>
      <c r="E1202" t="s">
        <v>1342</v>
      </c>
      <c r="F1202" t="s">
        <v>1375</v>
      </c>
      <c r="G1202" t="s">
        <v>1401</v>
      </c>
    </row>
    <row r="1203" spans="1:7" x14ac:dyDescent="0.25">
      <c r="A1203" t="s">
        <v>4438</v>
      </c>
      <c r="B1203">
        <v>53</v>
      </c>
      <c r="C1203" t="s">
        <v>4654</v>
      </c>
      <c r="D1203" t="s">
        <v>4909</v>
      </c>
      <c r="E1203" t="s">
        <v>5330</v>
      </c>
      <c r="F1203" t="s">
        <v>5123</v>
      </c>
      <c r="G1203" t="s">
        <v>4654</v>
      </c>
    </row>
    <row r="1204" spans="1:7" x14ac:dyDescent="0.25">
      <c r="A1204" t="s">
        <v>4439</v>
      </c>
      <c r="B1204">
        <v>29</v>
      </c>
      <c r="C1204" t="s">
        <v>4406</v>
      </c>
      <c r="D1204" t="s">
        <v>4843</v>
      </c>
      <c r="E1204" t="s">
        <v>4820</v>
      </c>
      <c r="F1204" t="s">
        <v>4820</v>
      </c>
      <c r="G1204" t="s">
        <v>5074</v>
      </c>
    </row>
    <row r="1205" spans="1:7" x14ac:dyDescent="0.25">
      <c r="A1205" t="s">
        <v>1400</v>
      </c>
      <c r="B1205">
        <v>4</v>
      </c>
      <c r="C1205" t="s">
        <v>4406</v>
      </c>
      <c r="D1205" t="s">
        <v>4462</v>
      </c>
      <c r="E1205" t="s">
        <v>4406</v>
      </c>
      <c r="F1205" t="s">
        <v>4793</v>
      </c>
      <c r="G1205" t="s">
        <v>4406</v>
      </c>
    </row>
    <row r="1206" spans="1:7" x14ac:dyDescent="0.25">
      <c r="A1206" t="s">
        <v>1340</v>
      </c>
      <c r="B1206">
        <v>23</v>
      </c>
      <c r="C1206" t="s">
        <v>4406</v>
      </c>
      <c r="D1206" t="s">
        <v>4926</v>
      </c>
      <c r="E1206" t="s">
        <v>4682</v>
      </c>
      <c r="F1206" t="s">
        <v>4606</v>
      </c>
      <c r="G1206" t="s">
        <v>4606</v>
      </c>
    </row>
    <row r="1207" spans="1:7" x14ac:dyDescent="0.25">
      <c r="A1207" t="s">
        <v>1426</v>
      </c>
      <c r="B1207">
        <v>1</v>
      </c>
      <c r="C1207" t="s">
        <v>4406</v>
      </c>
      <c r="D1207" t="s">
        <v>4406</v>
      </c>
      <c r="E1207" t="s">
        <v>4406</v>
      </c>
      <c r="F1207" t="s">
        <v>4454</v>
      </c>
      <c r="G1207" t="s">
        <v>4406</v>
      </c>
    </row>
    <row r="1208" spans="1:7" x14ac:dyDescent="0.25">
      <c r="A1208" t="s">
        <v>1372</v>
      </c>
      <c r="B1208">
        <v>28</v>
      </c>
      <c r="C1208" t="s">
        <v>5076</v>
      </c>
      <c r="D1208" t="s">
        <v>4462</v>
      </c>
      <c r="E1208" t="s">
        <v>4462</v>
      </c>
      <c r="F1208" t="s">
        <v>4462</v>
      </c>
      <c r="G1208" t="s">
        <v>4604</v>
      </c>
    </row>
    <row r="1209" spans="1:7" x14ac:dyDescent="0.25">
      <c r="A1209" t="s">
        <v>1296</v>
      </c>
      <c r="B1209">
        <v>138</v>
      </c>
      <c r="C1209" t="s">
        <v>4697</v>
      </c>
      <c r="D1209" t="s">
        <v>4443</v>
      </c>
      <c r="E1209" t="s">
        <v>4509</v>
      </c>
      <c r="F1209" t="s">
        <v>4760</v>
      </c>
      <c r="G1209" t="s">
        <v>4591</v>
      </c>
    </row>
    <row r="1211" spans="1:7" x14ac:dyDescent="0.25">
      <c r="A1211" t="s">
        <v>6306</v>
      </c>
    </row>
    <row r="1212" spans="1:7" x14ac:dyDescent="0.25">
      <c r="A1212" t="s">
        <v>5518</v>
      </c>
      <c r="B1212" t="s">
        <v>4394</v>
      </c>
      <c r="C1212" t="s">
        <v>1561</v>
      </c>
      <c r="D1212" t="s">
        <v>1460</v>
      </c>
      <c r="E1212" t="s">
        <v>1342</v>
      </c>
      <c r="F1212" t="s">
        <v>1375</v>
      </c>
      <c r="G1212" t="s">
        <v>1401</v>
      </c>
    </row>
    <row r="1213" spans="1:7" x14ac:dyDescent="0.25">
      <c r="A1213" t="s">
        <v>4438</v>
      </c>
      <c r="B1213">
        <v>60</v>
      </c>
      <c r="C1213" t="s">
        <v>4758</v>
      </c>
      <c r="D1213" t="s">
        <v>4824</v>
      </c>
      <c r="E1213" t="s">
        <v>4702</v>
      </c>
      <c r="F1213" t="s">
        <v>4489</v>
      </c>
      <c r="G1213" t="s">
        <v>4758</v>
      </c>
    </row>
    <row r="1214" spans="1:7" x14ac:dyDescent="0.25">
      <c r="A1214" t="s">
        <v>4439</v>
      </c>
      <c r="B1214">
        <v>26</v>
      </c>
      <c r="C1214" t="s">
        <v>4406</v>
      </c>
      <c r="D1214" t="s">
        <v>4711</v>
      </c>
      <c r="E1214" t="s">
        <v>4567</v>
      </c>
      <c r="F1214" t="s">
        <v>4474</v>
      </c>
      <c r="G1214" t="s">
        <v>4474</v>
      </c>
    </row>
    <row r="1215" spans="1:7" x14ac:dyDescent="0.25">
      <c r="A1215" t="s">
        <v>1400</v>
      </c>
      <c r="B1215">
        <v>6</v>
      </c>
      <c r="C1215" t="s">
        <v>4406</v>
      </c>
      <c r="D1215" t="s">
        <v>4596</v>
      </c>
      <c r="E1215" t="s">
        <v>4596</v>
      </c>
      <c r="F1215" t="s">
        <v>4468</v>
      </c>
      <c r="G1215" t="s">
        <v>4596</v>
      </c>
    </row>
    <row r="1216" spans="1:7" x14ac:dyDescent="0.25">
      <c r="A1216" t="s">
        <v>1340</v>
      </c>
      <c r="B1216">
        <v>23</v>
      </c>
      <c r="C1216" t="s">
        <v>4406</v>
      </c>
      <c r="D1216" t="s">
        <v>4926</v>
      </c>
      <c r="E1216" t="s">
        <v>4682</v>
      </c>
      <c r="F1216" t="s">
        <v>4606</v>
      </c>
      <c r="G1216" t="s">
        <v>4606</v>
      </c>
    </row>
    <row r="1217" spans="1:7" x14ac:dyDescent="0.25">
      <c r="A1217" t="s">
        <v>1372</v>
      </c>
      <c r="B1217">
        <v>23</v>
      </c>
      <c r="C1217" t="s">
        <v>4667</v>
      </c>
      <c r="D1217" t="s">
        <v>4549</v>
      </c>
      <c r="E1217" t="s">
        <v>4663</v>
      </c>
      <c r="F1217" t="s">
        <v>4664</v>
      </c>
      <c r="G1217" t="s">
        <v>4682</v>
      </c>
    </row>
    <row r="1218" spans="1:7" x14ac:dyDescent="0.25">
      <c r="A1218" t="s">
        <v>1296</v>
      </c>
      <c r="B1218">
        <v>138</v>
      </c>
      <c r="C1218" t="s">
        <v>4697</v>
      </c>
      <c r="D1218" t="s">
        <v>4443</v>
      </c>
      <c r="E1218" t="s">
        <v>4509</v>
      </c>
      <c r="F1218" t="s">
        <v>4760</v>
      </c>
      <c r="G1218" t="s">
        <v>4591</v>
      </c>
    </row>
    <row r="1220" spans="1:7" x14ac:dyDescent="0.25">
      <c r="A1220" t="s">
        <v>6307</v>
      </c>
    </row>
    <row r="1221" spans="1:7" x14ac:dyDescent="0.25">
      <c r="A1221" t="s">
        <v>1009</v>
      </c>
      <c r="B1221" t="s">
        <v>4394</v>
      </c>
      <c r="C1221" t="s">
        <v>1561</v>
      </c>
      <c r="D1221" t="s">
        <v>1460</v>
      </c>
      <c r="E1221" t="s">
        <v>1342</v>
      </c>
      <c r="F1221" t="s">
        <v>1375</v>
      </c>
      <c r="G1221" t="s">
        <v>1401</v>
      </c>
    </row>
    <row r="1222" spans="1:7" x14ac:dyDescent="0.25">
      <c r="A1222" t="s">
        <v>4438</v>
      </c>
      <c r="B1222">
        <v>42</v>
      </c>
      <c r="C1222" t="s">
        <v>4400</v>
      </c>
      <c r="D1222" t="s">
        <v>4604</v>
      </c>
      <c r="E1222" t="s">
        <v>4447</v>
      </c>
      <c r="F1222" t="s">
        <v>4556</v>
      </c>
      <c r="G1222" t="s">
        <v>4749</v>
      </c>
    </row>
    <row r="1223" spans="1:7" x14ac:dyDescent="0.25">
      <c r="A1223" t="s">
        <v>4439</v>
      </c>
      <c r="B1223">
        <v>19</v>
      </c>
      <c r="C1223" t="s">
        <v>4406</v>
      </c>
      <c r="D1223" t="s">
        <v>4504</v>
      </c>
      <c r="E1223" t="s">
        <v>4504</v>
      </c>
      <c r="F1223" t="s">
        <v>4491</v>
      </c>
      <c r="G1223" t="s">
        <v>4600</v>
      </c>
    </row>
    <row r="1224" spans="1:7" x14ac:dyDescent="0.25">
      <c r="A1224" t="s">
        <v>1400</v>
      </c>
      <c r="B1224">
        <v>4</v>
      </c>
      <c r="C1224" t="s">
        <v>4406</v>
      </c>
      <c r="D1224" t="s">
        <v>4406</v>
      </c>
      <c r="E1224" t="s">
        <v>4462</v>
      </c>
      <c r="F1224" t="s">
        <v>4462</v>
      </c>
      <c r="G1224" t="s">
        <v>4468</v>
      </c>
    </row>
    <row r="1225" spans="1:7" x14ac:dyDescent="0.25">
      <c r="A1225" t="s">
        <v>1340</v>
      </c>
      <c r="B1225">
        <v>21</v>
      </c>
      <c r="C1225" t="s">
        <v>4406</v>
      </c>
      <c r="D1225" t="s">
        <v>4450</v>
      </c>
      <c r="E1225" t="s">
        <v>4450</v>
      </c>
      <c r="F1225" t="s">
        <v>4556</v>
      </c>
      <c r="G1225" t="s">
        <v>4785</v>
      </c>
    </row>
    <row r="1226" spans="1:7" x14ac:dyDescent="0.25">
      <c r="A1226" t="s">
        <v>1426</v>
      </c>
      <c r="B1226">
        <v>9</v>
      </c>
      <c r="C1226" t="s">
        <v>4406</v>
      </c>
      <c r="D1226" t="s">
        <v>4731</v>
      </c>
      <c r="E1226" t="s">
        <v>4676</v>
      </c>
      <c r="F1226" t="s">
        <v>4570</v>
      </c>
      <c r="G1226" t="s">
        <v>4731</v>
      </c>
    </row>
    <row r="1227" spans="1:7" x14ac:dyDescent="0.25">
      <c r="A1227" t="s">
        <v>1372</v>
      </c>
      <c r="B1227">
        <v>43</v>
      </c>
      <c r="C1227" t="s">
        <v>4753</v>
      </c>
      <c r="D1227" t="s">
        <v>5039</v>
      </c>
      <c r="E1227" t="s">
        <v>4485</v>
      </c>
      <c r="F1227" t="s">
        <v>4685</v>
      </c>
      <c r="G1227" t="s">
        <v>4516</v>
      </c>
    </row>
    <row r="1228" spans="1:7" x14ac:dyDescent="0.25">
      <c r="A1228" t="s">
        <v>1296</v>
      </c>
      <c r="B1228">
        <v>138</v>
      </c>
      <c r="C1228" t="s">
        <v>4697</v>
      </c>
      <c r="D1228" t="s">
        <v>4443</v>
      </c>
      <c r="E1228" t="s">
        <v>4509</v>
      </c>
      <c r="F1228" t="s">
        <v>4760</v>
      </c>
      <c r="G1228" t="s">
        <v>4591</v>
      </c>
    </row>
    <row r="1230" spans="1:7" x14ac:dyDescent="0.25">
      <c r="A1230" t="s">
        <v>6308</v>
      </c>
    </row>
    <row r="1231" spans="1:7" x14ac:dyDescent="0.25">
      <c r="A1231" t="s">
        <v>1011</v>
      </c>
      <c r="B1231" t="s">
        <v>4394</v>
      </c>
      <c r="C1231" t="s">
        <v>1561</v>
      </c>
      <c r="D1231" t="s">
        <v>1460</v>
      </c>
      <c r="E1231" t="s">
        <v>1342</v>
      </c>
      <c r="F1231" t="s">
        <v>1375</v>
      </c>
      <c r="G1231" t="s">
        <v>1401</v>
      </c>
    </row>
    <row r="1232" spans="1:7" x14ac:dyDescent="0.25">
      <c r="A1232" t="s">
        <v>4438</v>
      </c>
      <c r="B1232">
        <v>54</v>
      </c>
      <c r="C1232" t="s">
        <v>4571</v>
      </c>
      <c r="D1232" t="s">
        <v>4593</v>
      </c>
      <c r="E1232" t="s">
        <v>4755</v>
      </c>
      <c r="F1232" t="s">
        <v>4708</v>
      </c>
      <c r="G1232" t="s">
        <v>4952</v>
      </c>
    </row>
    <row r="1233" spans="1:7" x14ac:dyDescent="0.25">
      <c r="A1233" t="s">
        <v>4439</v>
      </c>
      <c r="B1233">
        <v>23</v>
      </c>
      <c r="C1233" t="s">
        <v>4406</v>
      </c>
      <c r="D1233" t="s">
        <v>4606</v>
      </c>
      <c r="E1233" t="s">
        <v>4712</v>
      </c>
      <c r="F1233" t="s">
        <v>4926</v>
      </c>
      <c r="G1233" t="s">
        <v>4663</v>
      </c>
    </row>
    <row r="1234" spans="1:7" x14ac:dyDescent="0.25">
      <c r="A1234" t="s">
        <v>1400</v>
      </c>
      <c r="B1234">
        <v>2</v>
      </c>
      <c r="C1234" t="s">
        <v>4406</v>
      </c>
      <c r="D1234" t="s">
        <v>4406</v>
      </c>
      <c r="E1234" t="s">
        <v>4468</v>
      </c>
      <c r="F1234" t="s">
        <v>4406</v>
      </c>
      <c r="G1234" t="s">
        <v>4468</v>
      </c>
    </row>
    <row r="1235" spans="1:7" x14ac:dyDescent="0.25">
      <c r="A1235" t="s">
        <v>1340</v>
      </c>
      <c r="B1235">
        <v>21</v>
      </c>
      <c r="C1235" t="s">
        <v>4406</v>
      </c>
      <c r="D1235" t="s">
        <v>4450</v>
      </c>
      <c r="E1235" t="s">
        <v>4450</v>
      </c>
      <c r="F1235" t="s">
        <v>4556</v>
      </c>
      <c r="G1235" t="s">
        <v>4785</v>
      </c>
    </row>
    <row r="1236" spans="1:7" x14ac:dyDescent="0.25">
      <c r="A1236" t="s">
        <v>1426</v>
      </c>
      <c r="B1236">
        <v>6</v>
      </c>
      <c r="C1236" t="s">
        <v>4406</v>
      </c>
      <c r="D1236" t="s">
        <v>4465</v>
      </c>
      <c r="E1236" t="s">
        <v>4596</v>
      </c>
      <c r="F1236" t="s">
        <v>4465</v>
      </c>
      <c r="G1236" t="s">
        <v>4596</v>
      </c>
    </row>
    <row r="1237" spans="1:7" x14ac:dyDescent="0.25">
      <c r="A1237" t="s">
        <v>1372</v>
      </c>
      <c r="B1237">
        <v>32</v>
      </c>
      <c r="C1237" t="s">
        <v>4695</v>
      </c>
      <c r="D1237" t="s">
        <v>4543</v>
      </c>
      <c r="E1237" t="s">
        <v>4948</v>
      </c>
      <c r="F1237" t="s">
        <v>5173</v>
      </c>
      <c r="G1237" t="s">
        <v>4520</v>
      </c>
    </row>
    <row r="1238" spans="1:7" x14ac:dyDescent="0.25">
      <c r="A1238" t="s">
        <v>1296</v>
      </c>
      <c r="B1238">
        <v>138</v>
      </c>
      <c r="C1238" t="s">
        <v>4697</v>
      </c>
      <c r="D1238" t="s">
        <v>4443</v>
      </c>
      <c r="E1238" t="s">
        <v>4509</v>
      </c>
      <c r="F1238" t="s">
        <v>4760</v>
      </c>
      <c r="G1238" t="s">
        <v>4591</v>
      </c>
    </row>
    <row r="1240" spans="1:7" x14ac:dyDescent="0.25">
      <c r="A1240" t="s">
        <v>6309</v>
      </c>
    </row>
    <row r="1241" spans="1:7" x14ac:dyDescent="0.25">
      <c r="A1241" t="s">
        <v>903</v>
      </c>
      <c r="B1241" t="s">
        <v>4394</v>
      </c>
      <c r="C1241" t="s">
        <v>1561</v>
      </c>
      <c r="D1241" t="s">
        <v>1460</v>
      </c>
      <c r="E1241" t="s">
        <v>1342</v>
      </c>
      <c r="F1241" t="s">
        <v>1375</v>
      </c>
      <c r="G1241" t="s">
        <v>1401</v>
      </c>
    </row>
    <row r="1242" spans="1:7" x14ac:dyDescent="0.25">
      <c r="A1242" t="s">
        <v>70</v>
      </c>
      <c r="B1242">
        <v>37</v>
      </c>
      <c r="C1242" t="s">
        <v>4931</v>
      </c>
      <c r="D1242" t="s">
        <v>4625</v>
      </c>
      <c r="E1242" t="s">
        <v>4406</v>
      </c>
      <c r="F1242" t="s">
        <v>4495</v>
      </c>
      <c r="G1242" t="s">
        <v>4816</v>
      </c>
    </row>
    <row r="1243" spans="1:7" x14ac:dyDescent="0.25">
      <c r="A1243" t="s">
        <v>71</v>
      </c>
      <c r="B1243">
        <v>101</v>
      </c>
      <c r="C1243" t="s">
        <v>4626</v>
      </c>
      <c r="D1243" t="s">
        <v>4612</v>
      </c>
      <c r="E1243" t="s">
        <v>4510</v>
      </c>
      <c r="F1243" t="s">
        <v>4556</v>
      </c>
      <c r="G1243" t="s">
        <v>4660</v>
      </c>
    </row>
    <row r="1244" spans="1:7" x14ac:dyDescent="0.25">
      <c r="A1244" t="s">
        <v>1296</v>
      </c>
      <c r="B1244">
        <v>138</v>
      </c>
      <c r="C1244" t="s">
        <v>4697</v>
      </c>
      <c r="D1244" t="s">
        <v>4443</v>
      </c>
      <c r="E1244" t="s">
        <v>4509</v>
      </c>
      <c r="F1244" t="s">
        <v>4760</v>
      </c>
      <c r="G1244" t="s">
        <v>4591</v>
      </c>
    </row>
    <row r="1246" spans="1:7" x14ac:dyDescent="0.25">
      <c r="A1246" t="s">
        <v>6310</v>
      </c>
    </row>
    <row r="1247" spans="1:7" x14ac:dyDescent="0.25">
      <c r="A1247" t="s">
        <v>2842</v>
      </c>
      <c r="B1247" t="s">
        <v>4394</v>
      </c>
      <c r="C1247" t="s">
        <v>109</v>
      </c>
      <c r="D1247" t="s">
        <v>192</v>
      </c>
    </row>
    <row r="1248" spans="1:7" x14ac:dyDescent="0.25">
      <c r="A1248" t="s">
        <v>5549</v>
      </c>
      <c r="B1248">
        <v>67</v>
      </c>
      <c r="C1248" t="s">
        <v>4626</v>
      </c>
      <c r="D1248" t="s">
        <v>5342</v>
      </c>
    </row>
    <row r="1249" spans="1:4" x14ac:dyDescent="0.25">
      <c r="A1249" t="s">
        <v>1397</v>
      </c>
      <c r="B1249">
        <v>37</v>
      </c>
      <c r="C1249" t="s">
        <v>4883</v>
      </c>
      <c r="D1249" t="s">
        <v>5160</v>
      </c>
    </row>
    <row r="1250" spans="1:4" x14ac:dyDescent="0.25">
      <c r="A1250" t="s">
        <v>1296</v>
      </c>
      <c r="B1250">
        <v>104</v>
      </c>
      <c r="C1250" t="s">
        <v>4749</v>
      </c>
      <c r="D1250" t="s">
        <v>5007</v>
      </c>
    </row>
    <row r="1252" spans="1:4" x14ac:dyDescent="0.25">
      <c r="A1252" t="s">
        <v>6311</v>
      </c>
    </row>
    <row r="1253" spans="1:4" x14ac:dyDescent="0.25">
      <c r="A1253" t="s">
        <v>2842</v>
      </c>
      <c r="B1253" t="s">
        <v>4394</v>
      </c>
      <c r="C1253" t="s">
        <v>109</v>
      </c>
      <c r="D1253" t="s">
        <v>192</v>
      </c>
    </row>
    <row r="1254" spans="1:4" x14ac:dyDescent="0.25">
      <c r="A1254" t="s">
        <v>5549</v>
      </c>
      <c r="B1254">
        <v>63</v>
      </c>
      <c r="C1254" t="s">
        <v>4635</v>
      </c>
      <c r="D1254" t="s">
        <v>7521</v>
      </c>
    </row>
    <row r="1255" spans="1:4" x14ac:dyDescent="0.25">
      <c r="A1255" t="s">
        <v>1397</v>
      </c>
      <c r="B1255">
        <v>40</v>
      </c>
      <c r="C1255" t="s">
        <v>4406</v>
      </c>
      <c r="D1255" t="s">
        <v>4454</v>
      </c>
    </row>
    <row r="1256" spans="1:4" x14ac:dyDescent="0.25">
      <c r="A1256" t="s">
        <v>1296</v>
      </c>
      <c r="B1256">
        <v>103</v>
      </c>
      <c r="C1256" t="s">
        <v>4402</v>
      </c>
      <c r="D1256" t="s">
        <v>5161</v>
      </c>
    </row>
    <row r="1258" spans="1:4" x14ac:dyDescent="0.25">
      <c r="A1258" t="s">
        <v>6312</v>
      </c>
    </row>
    <row r="1259" spans="1:4" x14ac:dyDescent="0.25">
      <c r="A1259" t="s">
        <v>2842</v>
      </c>
      <c r="B1259" t="s">
        <v>4394</v>
      </c>
      <c r="C1259" t="s">
        <v>109</v>
      </c>
      <c r="D1259" t="s">
        <v>192</v>
      </c>
    </row>
    <row r="1260" spans="1:4" x14ac:dyDescent="0.25">
      <c r="A1260" t="s">
        <v>5549</v>
      </c>
      <c r="B1260">
        <v>47</v>
      </c>
      <c r="C1260" t="s">
        <v>5475</v>
      </c>
      <c r="D1260" t="s">
        <v>5378</v>
      </c>
    </row>
    <row r="1261" spans="1:4" x14ac:dyDescent="0.25">
      <c r="A1261" t="s">
        <v>1397</v>
      </c>
      <c r="B1261">
        <v>28</v>
      </c>
      <c r="C1261" t="s">
        <v>4538</v>
      </c>
      <c r="D1261" t="s">
        <v>5068</v>
      </c>
    </row>
    <row r="1262" spans="1:4" x14ac:dyDescent="0.25">
      <c r="A1262" t="s">
        <v>1296</v>
      </c>
      <c r="B1262">
        <v>75</v>
      </c>
      <c r="C1262" t="s">
        <v>4955</v>
      </c>
      <c r="D1262" t="s">
        <v>7522</v>
      </c>
    </row>
    <row r="1264" spans="1:4" x14ac:dyDescent="0.25">
      <c r="A1264" t="s">
        <v>6313</v>
      </c>
    </row>
    <row r="1265" spans="1:7" x14ac:dyDescent="0.25">
      <c r="A1265" t="s">
        <v>2842</v>
      </c>
      <c r="B1265" t="s">
        <v>4394</v>
      </c>
      <c r="C1265" t="s">
        <v>109</v>
      </c>
      <c r="D1265" t="s">
        <v>192</v>
      </c>
    </row>
    <row r="1266" spans="1:7" x14ac:dyDescent="0.25">
      <c r="A1266" t="s">
        <v>5549</v>
      </c>
      <c r="B1266">
        <v>46</v>
      </c>
      <c r="C1266" t="s">
        <v>4682</v>
      </c>
      <c r="D1266" t="s">
        <v>4579</v>
      </c>
    </row>
    <row r="1267" spans="1:7" x14ac:dyDescent="0.25">
      <c r="A1267" t="s">
        <v>1397</v>
      </c>
      <c r="B1267">
        <v>27</v>
      </c>
      <c r="C1267" t="s">
        <v>4548</v>
      </c>
      <c r="D1267" t="s">
        <v>5121</v>
      </c>
    </row>
    <row r="1268" spans="1:7" x14ac:dyDescent="0.25">
      <c r="A1268" t="s">
        <v>1296</v>
      </c>
      <c r="B1268">
        <v>73</v>
      </c>
      <c r="C1268" t="s">
        <v>5174</v>
      </c>
      <c r="D1268" t="s">
        <v>4823</v>
      </c>
    </row>
    <row r="1270" spans="1:7" x14ac:dyDescent="0.25">
      <c r="A1270" t="s">
        <v>6314</v>
      </c>
    </row>
    <row r="1271" spans="1:7" x14ac:dyDescent="0.25">
      <c r="A1271" t="s">
        <v>4394</v>
      </c>
      <c r="B1271" t="s">
        <v>4428</v>
      </c>
      <c r="C1271" t="s">
        <v>4429</v>
      </c>
      <c r="D1271" t="s">
        <v>4430</v>
      </c>
      <c r="E1271" t="s">
        <v>4431</v>
      </c>
      <c r="F1271" t="s">
        <v>4432</v>
      </c>
    </row>
    <row r="1272" spans="1:7" x14ac:dyDescent="0.25">
      <c r="A1272">
        <v>138</v>
      </c>
      <c r="B1272">
        <v>2.77</v>
      </c>
      <c r="C1272">
        <v>3</v>
      </c>
      <c r="D1272">
        <v>1</v>
      </c>
      <c r="E1272">
        <v>6</v>
      </c>
      <c r="F1272">
        <v>382</v>
      </c>
    </row>
    <row r="1274" spans="1:7" x14ac:dyDescent="0.25">
      <c r="A1274" t="s">
        <v>6315</v>
      </c>
    </row>
    <row r="1275" spans="1:7" x14ac:dyDescent="0.25">
      <c r="A1275" t="s">
        <v>2842</v>
      </c>
      <c r="B1275" t="s">
        <v>4394</v>
      </c>
      <c r="C1275" t="s">
        <v>4428</v>
      </c>
      <c r="D1275" t="s">
        <v>4429</v>
      </c>
      <c r="E1275" t="s">
        <v>4430</v>
      </c>
      <c r="F1275" t="s">
        <v>4431</v>
      </c>
      <c r="G1275" t="s">
        <v>4432</v>
      </c>
    </row>
    <row r="1276" spans="1:7" x14ac:dyDescent="0.25">
      <c r="A1276" t="s">
        <v>5549</v>
      </c>
      <c r="B1276">
        <v>83</v>
      </c>
      <c r="C1276">
        <v>2.8</v>
      </c>
      <c r="D1276">
        <v>3</v>
      </c>
      <c r="E1276">
        <v>1</v>
      </c>
      <c r="F1276">
        <v>5</v>
      </c>
      <c r="G1276">
        <v>232</v>
      </c>
    </row>
    <row r="1277" spans="1:7" x14ac:dyDescent="0.25">
      <c r="A1277" t="s">
        <v>1397</v>
      </c>
      <c r="B1277">
        <v>55</v>
      </c>
      <c r="C1277">
        <v>2.73</v>
      </c>
      <c r="D1277">
        <v>2</v>
      </c>
      <c r="E1277">
        <v>1</v>
      </c>
      <c r="F1277">
        <v>6</v>
      </c>
      <c r="G1277">
        <v>150</v>
      </c>
    </row>
    <row r="1279" spans="1:7" x14ac:dyDescent="0.25">
      <c r="A1279" t="s">
        <v>6316</v>
      </c>
    </row>
    <row r="1280" spans="1:7" x14ac:dyDescent="0.25">
      <c r="A1280" t="s">
        <v>2842</v>
      </c>
      <c r="B1280" t="s">
        <v>4394</v>
      </c>
      <c r="C1280" t="s">
        <v>4844</v>
      </c>
      <c r="D1280" t="s">
        <v>4845</v>
      </c>
      <c r="E1280" t="s">
        <v>4846</v>
      </c>
    </row>
    <row r="1281" spans="1:5" x14ac:dyDescent="0.25">
      <c r="A1281" t="s">
        <v>5549</v>
      </c>
      <c r="B1281">
        <v>83</v>
      </c>
      <c r="C1281" t="s">
        <v>4591</v>
      </c>
      <c r="D1281" t="s">
        <v>5439</v>
      </c>
      <c r="E1281" t="s">
        <v>4424</v>
      </c>
    </row>
    <row r="1282" spans="1:5" x14ac:dyDescent="0.25">
      <c r="A1282" t="s">
        <v>1397</v>
      </c>
      <c r="B1282">
        <v>55</v>
      </c>
      <c r="C1282" t="s">
        <v>4573</v>
      </c>
      <c r="D1282" t="s">
        <v>5508</v>
      </c>
      <c r="E1282" t="s">
        <v>4599</v>
      </c>
    </row>
    <row r="1283" spans="1:5" x14ac:dyDescent="0.25">
      <c r="A1283" t="s">
        <v>1296</v>
      </c>
      <c r="B1283">
        <v>138</v>
      </c>
      <c r="C1283" t="s">
        <v>4863</v>
      </c>
      <c r="D1283" t="s">
        <v>4986</v>
      </c>
      <c r="E1283" t="s">
        <v>4670</v>
      </c>
    </row>
    <row r="1285" spans="1:5" x14ac:dyDescent="0.25">
      <c r="A1285" t="s">
        <v>6317</v>
      </c>
    </row>
    <row r="1286" spans="1:5" x14ac:dyDescent="0.25">
      <c r="A1286" t="s">
        <v>4394</v>
      </c>
      <c r="B1286" t="s">
        <v>5795</v>
      </c>
      <c r="C1286" t="s">
        <v>1378</v>
      </c>
      <c r="D1286" t="s">
        <v>1403</v>
      </c>
    </row>
    <row r="1287" spans="1:5" x14ac:dyDescent="0.25">
      <c r="A1287">
        <v>138</v>
      </c>
      <c r="B1287" t="s">
        <v>5395</v>
      </c>
      <c r="C1287" t="s">
        <v>4667</v>
      </c>
      <c r="D1287" t="s">
        <v>5136</v>
      </c>
    </row>
    <row r="1289" spans="1:5" x14ac:dyDescent="0.25">
      <c r="A1289" t="s">
        <v>6318</v>
      </c>
    </row>
    <row r="1290" spans="1:5" x14ac:dyDescent="0.25">
      <c r="A1290" t="s">
        <v>4394</v>
      </c>
      <c r="B1290" t="s">
        <v>5549</v>
      </c>
      <c r="C1290" t="s">
        <v>1397</v>
      </c>
    </row>
    <row r="1291" spans="1:5" x14ac:dyDescent="0.25">
      <c r="A1291">
        <v>138</v>
      </c>
      <c r="B1291" t="s">
        <v>5135</v>
      </c>
      <c r="C1291" t="s">
        <v>5136</v>
      </c>
    </row>
    <row r="1293" spans="1:5" x14ac:dyDescent="0.25">
      <c r="A1293" t="s">
        <v>5522</v>
      </c>
    </row>
    <row r="1294" spans="1:5" x14ac:dyDescent="0.25">
      <c r="A1294" t="s">
        <v>4394</v>
      </c>
      <c r="B1294" t="s">
        <v>109</v>
      </c>
      <c r="C1294" t="s">
        <v>192</v>
      </c>
    </row>
    <row r="1295" spans="1:5" x14ac:dyDescent="0.25">
      <c r="A1295">
        <v>138</v>
      </c>
      <c r="B1295" t="s">
        <v>4994</v>
      </c>
      <c r="C1295" t="s">
        <v>4667</v>
      </c>
    </row>
    <row r="1297" spans="1:4" x14ac:dyDescent="0.25">
      <c r="A1297" t="s">
        <v>5523</v>
      </c>
    </row>
    <row r="1298" spans="1:4" x14ac:dyDescent="0.25">
      <c r="A1298" t="s">
        <v>998</v>
      </c>
      <c r="B1298" t="s">
        <v>4394</v>
      </c>
      <c r="C1298" t="s">
        <v>109</v>
      </c>
      <c r="D1298" t="s">
        <v>192</v>
      </c>
    </row>
    <row r="1299" spans="1:4" x14ac:dyDescent="0.25">
      <c r="A1299" t="s">
        <v>109</v>
      </c>
      <c r="B1299">
        <v>125</v>
      </c>
      <c r="C1299" t="s">
        <v>5415</v>
      </c>
      <c r="D1299" t="s">
        <v>4417</v>
      </c>
    </row>
    <row r="1300" spans="1:4" x14ac:dyDescent="0.25">
      <c r="A1300" t="s">
        <v>192</v>
      </c>
      <c r="B1300">
        <v>13</v>
      </c>
      <c r="C1300" t="s">
        <v>4582</v>
      </c>
      <c r="D1300" t="s">
        <v>4711</v>
      </c>
    </row>
    <row r="1301" spans="1:4" x14ac:dyDescent="0.25">
      <c r="A1301" t="s">
        <v>1296</v>
      </c>
      <c r="B1301">
        <v>138</v>
      </c>
      <c r="C1301" t="s">
        <v>4994</v>
      </c>
      <c r="D1301" t="s">
        <v>4667</v>
      </c>
    </row>
    <row r="1303" spans="1:4" x14ac:dyDescent="0.25">
      <c r="A1303" t="s">
        <v>5524</v>
      </c>
    </row>
    <row r="1304" spans="1:4" x14ac:dyDescent="0.25">
      <c r="A1304" t="s">
        <v>2842</v>
      </c>
      <c r="B1304" t="s">
        <v>4394</v>
      </c>
      <c r="C1304" t="s">
        <v>109</v>
      </c>
      <c r="D1304" t="s">
        <v>192</v>
      </c>
    </row>
    <row r="1305" spans="1:4" x14ac:dyDescent="0.25">
      <c r="A1305" t="s">
        <v>5549</v>
      </c>
      <c r="B1305">
        <v>83</v>
      </c>
      <c r="C1305" t="s">
        <v>5440</v>
      </c>
      <c r="D1305" t="s">
        <v>4408</v>
      </c>
    </row>
    <row r="1306" spans="1:4" x14ac:dyDescent="0.25">
      <c r="A1306" t="s">
        <v>1397</v>
      </c>
      <c r="B1306">
        <v>55</v>
      </c>
      <c r="C1306" t="s">
        <v>5519</v>
      </c>
      <c r="D1306" t="s">
        <v>5206</v>
      </c>
    </row>
    <row r="1307" spans="1:4" x14ac:dyDescent="0.25">
      <c r="A1307" t="s">
        <v>1296</v>
      </c>
      <c r="B1307">
        <v>138</v>
      </c>
      <c r="C1307" t="s">
        <v>5032</v>
      </c>
      <c r="D1307" t="s">
        <v>4950</v>
      </c>
    </row>
    <row r="1309" spans="1:4" x14ac:dyDescent="0.25">
      <c r="A1309" t="s">
        <v>5525</v>
      </c>
    </row>
    <row r="1310" spans="1:4" x14ac:dyDescent="0.25">
      <c r="A1310" t="s">
        <v>903</v>
      </c>
      <c r="B1310" t="s">
        <v>4394</v>
      </c>
      <c r="C1310" t="s">
        <v>109</v>
      </c>
      <c r="D1310" t="s">
        <v>192</v>
      </c>
    </row>
    <row r="1311" spans="1:4" x14ac:dyDescent="0.25">
      <c r="A1311" t="s">
        <v>70</v>
      </c>
      <c r="B1311">
        <v>37</v>
      </c>
      <c r="C1311" t="s">
        <v>5440</v>
      </c>
      <c r="D1311" t="s">
        <v>4408</v>
      </c>
    </row>
    <row r="1312" spans="1:4" x14ac:dyDescent="0.25">
      <c r="A1312" t="s">
        <v>71</v>
      </c>
      <c r="B1312">
        <v>101</v>
      </c>
      <c r="C1312" t="s">
        <v>5526</v>
      </c>
      <c r="D1312" t="s">
        <v>4716</v>
      </c>
    </row>
    <row r="1313" spans="1:6" x14ac:dyDescent="0.25">
      <c r="A1313" t="s">
        <v>1296</v>
      </c>
      <c r="B1313">
        <v>138</v>
      </c>
      <c r="C1313" t="s">
        <v>5032</v>
      </c>
      <c r="D1313" t="s">
        <v>4950</v>
      </c>
    </row>
    <row r="1315" spans="1:6" x14ac:dyDescent="0.25">
      <c r="A1315" t="s">
        <v>5527</v>
      </c>
    </row>
    <row r="1316" spans="1:6" x14ac:dyDescent="0.25">
      <c r="A1316" t="s">
        <v>1819</v>
      </c>
      <c r="B1316" t="s">
        <v>4394</v>
      </c>
      <c r="C1316" t="s">
        <v>5057</v>
      </c>
      <c r="D1316" t="s">
        <v>5060</v>
      </c>
      <c r="E1316" t="s">
        <v>5061</v>
      </c>
    </row>
    <row r="1317" spans="1:6" x14ac:dyDescent="0.25">
      <c r="A1317" t="s">
        <v>109</v>
      </c>
      <c r="B1317">
        <v>78</v>
      </c>
      <c r="C1317" t="s">
        <v>4454</v>
      </c>
      <c r="D1317" t="s">
        <v>4406</v>
      </c>
      <c r="E1317" t="s">
        <v>4406</v>
      </c>
    </row>
    <row r="1318" spans="1:6" x14ac:dyDescent="0.25">
      <c r="A1318" t="s">
        <v>192</v>
      </c>
      <c r="B1318">
        <v>60</v>
      </c>
      <c r="C1318" t="s">
        <v>4758</v>
      </c>
      <c r="D1318" t="s">
        <v>5030</v>
      </c>
      <c r="E1318" t="s">
        <v>4651</v>
      </c>
    </row>
    <row r="1319" spans="1:6" x14ac:dyDescent="0.25">
      <c r="A1319" t="s">
        <v>1296</v>
      </c>
      <c r="B1319">
        <v>138</v>
      </c>
      <c r="C1319" t="s">
        <v>4826</v>
      </c>
      <c r="D1319" t="s">
        <v>5136</v>
      </c>
      <c r="E1319" t="s">
        <v>4750</v>
      </c>
    </row>
    <row r="1321" spans="1:6" x14ac:dyDescent="0.25">
      <c r="A1321" t="s">
        <v>6319</v>
      </c>
    </row>
    <row r="1322" spans="1:6" x14ac:dyDescent="0.25">
      <c r="A1322" t="s">
        <v>2842</v>
      </c>
      <c r="B1322" t="s">
        <v>4394</v>
      </c>
      <c r="C1322" t="s">
        <v>5148</v>
      </c>
      <c r="D1322" t="s">
        <v>5149</v>
      </c>
      <c r="E1322" t="s">
        <v>5150</v>
      </c>
      <c r="F1322" t="s">
        <v>5151</v>
      </c>
    </row>
    <row r="1323" spans="1:6" x14ac:dyDescent="0.25">
      <c r="A1323" t="s">
        <v>5549</v>
      </c>
      <c r="B1323">
        <v>83</v>
      </c>
      <c r="C1323" t="s">
        <v>5063</v>
      </c>
      <c r="D1323" t="s">
        <v>4559</v>
      </c>
      <c r="E1323" t="s">
        <v>5076</v>
      </c>
      <c r="F1323" t="s">
        <v>4541</v>
      </c>
    </row>
    <row r="1324" spans="1:6" x14ac:dyDescent="0.25">
      <c r="A1324" t="s">
        <v>1397</v>
      </c>
      <c r="B1324">
        <v>55</v>
      </c>
      <c r="C1324" t="s">
        <v>5508</v>
      </c>
      <c r="D1324" t="s">
        <v>4591</v>
      </c>
      <c r="E1324" t="s">
        <v>5467</v>
      </c>
      <c r="F1324" t="s">
        <v>4852</v>
      </c>
    </row>
    <row r="1325" spans="1:6" x14ac:dyDescent="0.25">
      <c r="A1325" t="s">
        <v>1296</v>
      </c>
      <c r="B1325">
        <v>138</v>
      </c>
      <c r="C1325" t="s">
        <v>5218</v>
      </c>
      <c r="D1325" t="s">
        <v>4950</v>
      </c>
      <c r="E1325" t="s">
        <v>4667</v>
      </c>
      <c r="F1325" t="s">
        <v>4470</v>
      </c>
    </row>
    <row r="1327" spans="1:6" x14ac:dyDescent="0.25">
      <c r="A1327" t="s">
        <v>6320</v>
      </c>
    </row>
    <row r="1328" spans="1:6" x14ac:dyDescent="0.25">
      <c r="A1328" t="s">
        <v>992</v>
      </c>
      <c r="B1328" t="s">
        <v>4394</v>
      </c>
      <c r="C1328" t="s">
        <v>5148</v>
      </c>
      <c r="D1328" t="s">
        <v>5149</v>
      </c>
      <c r="E1328" t="s">
        <v>5150</v>
      </c>
      <c r="F1328" t="s">
        <v>5151</v>
      </c>
    </row>
    <row r="1329" spans="1:6" x14ac:dyDescent="0.25">
      <c r="A1329" t="s">
        <v>4844</v>
      </c>
      <c r="B1329">
        <v>21</v>
      </c>
      <c r="C1329" t="s">
        <v>4784</v>
      </c>
      <c r="D1329" t="s">
        <v>4675</v>
      </c>
      <c r="E1329" t="s">
        <v>4749</v>
      </c>
      <c r="F1329" t="s">
        <v>4749</v>
      </c>
    </row>
    <row r="1330" spans="1:6" x14ac:dyDescent="0.25">
      <c r="A1330" t="s">
        <v>4845</v>
      </c>
      <c r="B1330">
        <v>108</v>
      </c>
      <c r="C1330" t="s">
        <v>5078</v>
      </c>
      <c r="D1330" t="s">
        <v>4698</v>
      </c>
      <c r="E1330" t="s">
        <v>4910</v>
      </c>
      <c r="F1330" t="s">
        <v>4965</v>
      </c>
    </row>
    <row r="1331" spans="1:6" x14ac:dyDescent="0.25">
      <c r="A1331" t="s">
        <v>4846</v>
      </c>
      <c r="B1331">
        <v>9</v>
      </c>
      <c r="C1331" t="s">
        <v>4857</v>
      </c>
      <c r="D1331" t="s">
        <v>4676</v>
      </c>
      <c r="E1331" t="s">
        <v>4406</v>
      </c>
      <c r="F1331" t="s">
        <v>4676</v>
      </c>
    </row>
    <row r="1332" spans="1:6" x14ac:dyDescent="0.25">
      <c r="A1332" t="s">
        <v>1296</v>
      </c>
      <c r="B1332">
        <v>138</v>
      </c>
      <c r="C1332" t="s">
        <v>5218</v>
      </c>
      <c r="D1332" t="s">
        <v>4950</v>
      </c>
      <c r="E1332" t="s">
        <v>4667</v>
      </c>
      <c r="F1332" t="s">
        <v>4470</v>
      </c>
    </row>
    <row r="1334" spans="1:6" x14ac:dyDescent="0.25">
      <c r="A1334" t="s">
        <v>6321</v>
      </c>
    </row>
    <row r="1335" spans="1:6" x14ac:dyDescent="0.25">
      <c r="A1335" t="s">
        <v>995</v>
      </c>
      <c r="B1335" t="s">
        <v>4394</v>
      </c>
      <c r="C1335" t="s">
        <v>5148</v>
      </c>
      <c r="D1335" t="s">
        <v>5149</v>
      </c>
      <c r="E1335" t="s">
        <v>5150</v>
      </c>
      <c r="F1335" t="s">
        <v>5151</v>
      </c>
    </row>
    <row r="1336" spans="1:6" x14ac:dyDescent="0.25">
      <c r="A1336" t="s">
        <v>1338</v>
      </c>
      <c r="B1336">
        <v>43</v>
      </c>
      <c r="C1336">
        <v>36</v>
      </c>
      <c r="D1336">
        <v>2</v>
      </c>
      <c r="E1336">
        <v>1</v>
      </c>
      <c r="F1336">
        <v>4</v>
      </c>
    </row>
    <row r="1337" spans="1:6" x14ac:dyDescent="0.25">
      <c r="A1337" t="s">
        <v>1370</v>
      </c>
      <c r="B1337">
        <v>10</v>
      </c>
      <c r="C1337">
        <v>4</v>
      </c>
      <c r="D1337">
        <v>3</v>
      </c>
      <c r="E1337">
        <v>1</v>
      </c>
      <c r="F1337">
        <v>2</v>
      </c>
    </row>
    <row r="1338" spans="1:6" x14ac:dyDescent="0.25">
      <c r="A1338" t="s">
        <v>1439</v>
      </c>
      <c r="B1338">
        <v>7</v>
      </c>
      <c r="C1338">
        <v>3</v>
      </c>
      <c r="D1338">
        <v>3</v>
      </c>
      <c r="E1338">
        <v>1</v>
      </c>
      <c r="F1338">
        <v>0</v>
      </c>
    </row>
    <row r="1339" spans="1:6" x14ac:dyDescent="0.25">
      <c r="A1339" t="s">
        <v>1476</v>
      </c>
      <c r="B1339">
        <v>5</v>
      </c>
      <c r="C1339">
        <v>4</v>
      </c>
      <c r="D1339">
        <v>1</v>
      </c>
      <c r="E1339">
        <v>0</v>
      </c>
      <c r="F1339">
        <v>0</v>
      </c>
    </row>
    <row r="1340" spans="1:6" x14ac:dyDescent="0.25">
      <c r="A1340" t="s">
        <v>5476</v>
      </c>
      <c r="B1340">
        <v>2</v>
      </c>
      <c r="C1340">
        <v>2</v>
      </c>
      <c r="D1340">
        <v>0</v>
      </c>
      <c r="E1340">
        <v>0</v>
      </c>
      <c r="F1340">
        <v>0</v>
      </c>
    </row>
    <row r="1341" spans="1:6" x14ac:dyDescent="0.25">
      <c r="A1341" t="s">
        <v>1399</v>
      </c>
      <c r="B1341">
        <v>23</v>
      </c>
      <c r="C1341">
        <v>18</v>
      </c>
      <c r="D1341">
        <v>2</v>
      </c>
      <c r="E1341">
        <v>1</v>
      </c>
      <c r="F1341">
        <v>2</v>
      </c>
    </row>
    <row r="1342" spans="1:6" x14ac:dyDescent="0.25">
      <c r="A1342" t="s">
        <v>1415</v>
      </c>
      <c r="B1342">
        <v>48</v>
      </c>
      <c r="C1342">
        <v>33</v>
      </c>
      <c r="D1342">
        <v>2</v>
      </c>
      <c r="E1342">
        <v>2</v>
      </c>
      <c r="F1342">
        <v>11</v>
      </c>
    </row>
    <row r="1343" spans="1:6" x14ac:dyDescent="0.25">
      <c r="A1343" t="s">
        <v>1296</v>
      </c>
      <c r="B1343">
        <v>138</v>
      </c>
      <c r="C1343">
        <v>100</v>
      </c>
      <c r="D1343">
        <v>13</v>
      </c>
      <c r="E1343">
        <v>6</v>
      </c>
      <c r="F1343">
        <v>19</v>
      </c>
    </row>
    <row r="1345" spans="1:6" x14ac:dyDescent="0.25">
      <c r="A1345" t="s">
        <v>6322</v>
      </c>
    </row>
    <row r="1346" spans="1:6" x14ac:dyDescent="0.25">
      <c r="A1346" t="s">
        <v>998</v>
      </c>
      <c r="B1346" t="s">
        <v>4394</v>
      </c>
      <c r="C1346" t="s">
        <v>5148</v>
      </c>
      <c r="D1346" t="s">
        <v>5149</v>
      </c>
      <c r="E1346" t="s">
        <v>5150</v>
      </c>
      <c r="F1346" t="s">
        <v>5151</v>
      </c>
    </row>
    <row r="1347" spans="1:6" x14ac:dyDescent="0.25">
      <c r="A1347" t="s">
        <v>109</v>
      </c>
      <c r="B1347">
        <v>125</v>
      </c>
      <c r="C1347" t="s">
        <v>5313</v>
      </c>
      <c r="D1347" t="s">
        <v>4856</v>
      </c>
      <c r="E1347" t="s">
        <v>4713</v>
      </c>
      <c r="F1347" t="s">
        <v>4546</v>
      </c>
    </row>
    <row r="1348" spans="1:6" x14ac:dyDescent="0.25">
      <c r="A1348" t="s">
        <v>192</v>
      </c>
      <c r="B1348">
        <v>13</v>
      </c>
      <c r="C1348" t="s">
        <v>4711</v>
      </c>
      <c r="D1348" t="s">
        <v>4711</v>
      </c>
      <c r="E1348" t="s">
        <v>4474</v>
      </c>
      <c r="F1348" t="s">
        <v>4705</v>
      </c>
    </row>
    <row r="1349" spans="1:6" x14ac:dyDescent="0.25">
      <c r="A1349" t="s">
        <v>1296</v>
      </c>
      <c r="B1349">
        <v>138</v>
      </c>
      <c r="C1349" t="s">
        <v>5218</v>
      </c>
      <c r="D1349" t="s">
        <v>4950</v>
      </c>
      <c r="E1349" t="s">
        <v>4667</v>
      </c>
      <c r="F1349" t="s">
        <v>4470</v>
      </c>
    </row>
    <row r="1351" spans="1:6" x14ac:dyDescent="0.25">
      <c r="A1351" t="s">
        <v>6323</v>
      </c>
    </row>
    <row r="1352" spans="1:6" x14ac:dyDescent="0.25">
      <c r="A1352" t="s">
        <v>1295</v>
      </c>
      <c r="B1352" t="s">
        <v>4394</v>
      </c>
      <c r="C1352" t="s">
        <v>5148</v>
      </c>
      <c r="D1352" t="s">
        <v>5149</v>
      </c>
      <c r="E1352" t="s">
        <v>5150</v>
      </c>
      <c r="F1352" t="s">
        <v>5151</v>
      </c>
    </row>
    <row r="1353" spans="1:6" x14ac:dyDescent="0.25">
      <c r="A1353" t="s">
        <v>4395</v>
      </c>
      <c r="B1353">
        <v>15</v>
      </c>
      <c r="C1353" t="s">
        <v>4469</v>
      </c>
      <c r="D1353" t="s">
        <v>4607</v>
      </c>
      <c r="E1353" t="s">
        <v>4607</v>
      </c>
      <c r="F1353" t="s">
        <v>4416</v>
      </c>
    </row>
    <row r="1354" spans="1:6" x14ac:dyDescent="0.25">
      <c r="A1354" t="s">
        <v>4396</v>
      </c>
      <c r="B1354">
        <v>53</v>
      </c>
      <c r="C1354" t="s">
        <v>5087</v>
      </c>
      <c r="D1354" t="s">
        <v>4654</v>
      </c>
      <c r="E1354" t="s">
        <v>4406</v>
      </c>
      <c r="F1354" t="s">
        <v>4578</v>
      </c>
    </row>
    <row r="1355" spans="1:6" x14ac:dyDescent="0.25">
      <c r="A1355" t="s">
        <v>4397</v>
      </c>
      <c r="B1355">
        <v>1</v>
      </c>
      <c r="C1355" t="s">
        <v>4406</v>
      </c>
      <c r="D1355" t="s">
        <v>4454</v>
      </c>
      <c r="E1355" t="s">
        <v>4406</v>
      </c>
      <c r="F1355" t="s">
        <v>4406</v>
      </c>
    </row>
    <row r="1356" spans="1:6" x14ac:dyDescent="0.25">
      <c r="A1356" t="s">
        <v>4398</v>
      </c>
      <c r="B1356">
        <v>64</v>
      </c>
      <c r="C1356" t="s">
        <v>5528</v>
      </c>
      <c r="D1356" t="s">
        <v>4950</v>
      </c>
      <c r="E1356" t="s">
        <v>4873</v>
      </c>
      <c r="F1356" t="s">
        <v>5066</v>
      </c>
    </row>
    <row r="1357" spans="1:6" x14ac:dyDescent="0.25">
      <c r="A1357" t="s">
        <v>4399</v>
      </c>
      <c r="B1357">
        <v>5</v>
      </c>
      <c r="C1357" t="s">
        <v>4457</v>
      </c>
      <c r="D1357" t="s">
        <v>4472</v>
      </c>
      <c r="E1357" t="s">
        <v>4406</v>
      </c>
      <c r="F1357" t="s">
        <v>4472</v>
      </c>
    </row>
    <row r="1358" spans="1:6" x14ac:dyDescent="0.25">
      <c r="A1358" t="s">
        <v>1296</v>
      </c>
      <c r="B1358">
        <v>138</v>
      </c>
      <c r="C1358" t="s">
        <v>5218</v>
      </c>
      <c r="D1358" t="s">
        <v>4950</v>
      </c>
      <c r="E1358" t="s">
        <v>4667</v>
      </c>
      <c r="F1358" t="s">
        <v>4470</v>
      </c>
    </row>
    <row r="1360" spans="1:6" x14ac:dyDescent="0.25">
      <c r="A1360" t="s">
        <v>6324</v>
      </c>
    </row>
    <row r="1361" spans="1:6" x14ac:dyDescent="0.25">
      <c r="A1361" t="s">
        <v>1006</v>
      </c>
      <c r="B1361" t="s">
        <v>4394</v>
      </c>
      <c r="C1361" t="s">
        <v>5148</v>
      </c>
      <c r="D1361" t="s">
        <v>5149</v>
      </c>
      <c r="E1361" t="s">
        <v>5150</v>
      </c>
      <c r="F1361" t="s">
        <v>5151</v>
      </c>
    </row>
    <row r="1362" spans="1:6" x14ac:dyDescent="0.25">
      <c r="A1362" t="s">
        <v>1371</v>
      </c>
      <c r="B1362">
        <v>26</v>
      </c>
      <c r="C1362">
        <v>16</v>
      </c>
      <c r="D1362">
        <v>2</v>
      </c>
      <c r="E1362">
        <v>0</v>
      </c>
      <c r="F1362">
        <v>8</v>
      </c>
    </row>
    <row r="1363" spans="1:6" x14ac:dyDescent="0.25">
      <c r="A1363" t="s">
        <v>1452</v>
      </c>
      <c r="B1363">
        <v>17</v>
      </c>
      <c r="C1363">
        <v>16</v>
      </c>
      <c r="D1363">
        <v>0</v>
      </c>
      <c r="E1363">
        <v>0</v>
      </c>
      <c r="F1363">
        <v>1</v>
      </c>
    </row>
    <row r="1364" spans="1:6" x14ac:dyDescent="0.25">
      <c r="A1364" t="s">
        <v>5560</v>
      </c>
      <c r="B1364">
        <v>14</v>
      </c>
      <c r="C1364">
        <v>11</v>
      </c>
      <c r="D1364">
        <v>3</v>
      </c>
      <c r="E1364">
        <v>0</v>
      </c>
      <c r="F1364">
        <v>0</v>
      </c>
    </row>
    <row r="1365" spans="1:6" x14ac:dyDescent="0.25">
      <c r="A1365" t="s">
        <v>1424</v>
      </c>
      <c r="B1365">
        <v>30</v>
      </c>
      <c r="C1365">
        <v>19</v>
      </c>
      <c r="D1365">
        <v>5</v>
      </c>
      <c r="E1365">
        <v>1</v>
      </c>
      <c r="F1365">
        <v>5</v>
      </c>
    </row>
    <row r="1366" spans="1:6" x14ac:dyDescent="0.25">
      <c r="A1366" t="s">
        <v>1340</v>
      </c>
      <c r="B1366">
        <v>21</v>
      </c>
      <c r="C1366">
        <v>13</v>
      </c>
      <c r="D1366">
        <v>2</v>
      </c>
      <c r="E1366">
        <v>2</v>
      </c>
      <c r="F1366">
        <v>4</v>
      </c>
    </row>
    <row r="1367" spans="1:6" x14ac:dyDescent="0.25">
      <c r="A1367" t="s">
        <v>5561</v>
      </c>
      <c r="B1367">
        <v>6</v>
      </c>
      <c r="C1367">
        <v>3</v>
      </c>
      <c r="D1367">
        <v>1</v>
      </c>
      <c r="E1367">
        <v>2</v>
      </c>
      <c r="F1367">
        <v>0</v>
      </c>
    </row>
    <row r="1368" spans="1:6" x14ac:dyDescent="0.25">
      <c r="A1368" t="s">
        <v>1416</v>
      </c>
      <c r="B1368">
        <v>24</v>
      </c>
      <c r="C1368">
        <v>22</v>
      </c>
      <c r="D1368">
        <v>0</v>
      </c>
      <c r="E1368">
        <v>1</v>
      </c>
      <c r="F1368">
        <v>1</v>
      </c>
    </row>
    <row r="1369" spans="1:6" x14ac:dyDescent="0.25">
      <c r="A1369" t="s">
        <v>1296</v>
      </c>
      <c r="B1369">
        <v>138</v>
      </c>
      <c r="C1369">
        <v>100</v>
      </c>
      <c r="D1369">
        <v>13</v>
      </c>
      <c r="E1369">
        <v>6</v>
      </c>
      <c r="F1369">
        <v>19</v>
      </c>
    </row>
    <row r="1371" spans="1:6" x14ac:dyDescent="0.25">
      <c r="A1371" t="s">
        <v>6325</v>
      </c>
    </row>
    <row r="1372" spans="1:6" x14ac:dyDescent="0.25">
      <c r="A1372" t="s">
        <v>5521</v>
      </c>
      <c r="B1372" t="s">
        <v>4394</v>
      </c>
      <c r="C1372" t="s">
        <v>5148</v>
      </c>
      <c r="D1372" t="s">
        <v>5149</v>
      </c>
      <c r="E1372" t="s">
        <v>5150</v>
      </c>
      <c r="F1372" t="s">
        <v>5151</v>
      </c>
    </row>
    <row r="1373" spans="1:6" x14ac:dyDescent="0.25">
      <c r="A1373" t="s">
        <v>4438</v>
      </c>
      <c r="B1373">
        <v>53</v>
      </c>
      <c r="C1373" t="s">
        <v>4966</v>
      </c>
      <c r="D1373" t="s">
        <v>4654</v>
      </c>
      <c r="E1373" t="s">
        <v>4952</v>
      </c>
      <c r="F1373" t="s">
        <v>4869</v>
      </c>
    </row>
    <row r="1374" spans="1:6" x14ac:dyDescent="0.25">
      <c r="A1374" t="s">
        <v>4439</v>
      </c>
      <c r="B1374">
        <v>29</v>
      </c>
      <c r="C1374" t="s">
        <v>5208</v>
      </c>
      <c r="D1374" t="s">
        <v>4882</v>
      </c>
      <c r="E1374" t="s">
        <v>4686</v>
      </c>
      <c r="F1374" t="s">
        <v>4470</v>
      </c>
    </row>
    <row r="1375" spans="1:6" x14ac:dyDescent="0.25">
      <c r="A1375" t="s">
        <v>1400</v>
      </c>
      <c r="B1375">
        <v>4</v>
      </c>
      <c r="C1375" t="s">
        <v>4462</v>
      </c>
      <c r="D1375" t="s">
        <v>4793</v>
      </c>
      <c r="E1375" t="s">
        <v>4406</v>
      </c>
      <c r="F1375" t="s">
        <v>4406</v>
      </c>
    </row>
    <row r="1376" spans="1:6" x14ac:dyDescent="0.25">
      <c r="A1376" t="s">
        <v>1340</v>
      </c>
      <c r="B1376">
        <v>23</v>
      </c>
      <c r="C1376" t="s">
        <v>5139</v>
      </c>
      <c r="D1376" t="s">
        <v>4684</v>
      </c>
      <c r="E1376" t="s">
        <v>4684</v>
      </c>
      <c r="F1376" t="s">
        <v>4606</v>
      </c>
    </row>
    <row r="1377" spans="1:6" x14ac:dyDescent="0.25">
      <c r="A1377" t="s">
        <v>1426</v>
      </c>
      <c r="B1377">
        <v>1</v>
      </c>
      <c r="C1377" t="s">
        <v>4454</v>
      </c>
      <c r="D1377" t="s">
        <v>4406</v>
      </c>
      <c r="E1377" t="s">
        <v>4406</v>
      </c>
      <c r="F1377" t="s">
        <v>4406</v>
      </c>
    </row>
    <row r="1378" spans="1:6" x14ac:dyDescent="0.25">
      <c r="A1378" t="s">
        <v>1372</v>
      </c>
      <c r="B1378">
        <v>28</v>
      </c>
      <c r="C1378" t="s">
        <v>4946</v>
      </c>
      <c r="D1378" t="s">
        <v>4406</v>
      </c>
      <c r="E1378" t="s">
        <v>4406</v>
      </c>
      <c r="F1378" t="s">
        <v>4522</v>
      </c>
    </row>
    <row r="1379" spans="1:6" x14ac:dyDescent="0.25">
      <c r="A1379" t="s">
        <v>1296</v>
      </c>
      <c r="B1379">
        <v>138</v>
      </c>
      <c r="C1379" t="s">
        <v>5218</v>
      </c>
      <c r="D1379" t="s">
        <v>4950</v>
      </c>
      <c r="E1379" t="s">
        <v>4667</v>
      </c>
      <c r="F1379" t="s">
        <v>4470</v>
      </c>
    </row>
    <row r="1381" spans="1:6" x14ac:dyDescent="0.25">
      <c r="A1381" t="s">
        <v>6326</v>
      </c>
    </row>
    <row r="1382" spans="1:6" x14ac:dyDescent="0.25">
      <c r="A1382" t="s">
        <v>5518</v>
      </c>
      <c r="B1382" t="s">
        <v>4394</v>
      </c>
      <c r="C1382" t="s">
        <v>5148</v>
      </c>
      <c r="D1382" t="s">
        <v>5149</v>
      </c>
      <c r="E1382" t="s">
        <v>5150</v>
      </c>
      <c r="F1382" t="s">
        <v>5151</v>
      </c>
    </row>
    <row r="1383" spans="1:6" x14ac:dyDescent="0.25">
      <c r="A1383" t="s">
        <v>4438</v>
      </c>
      <c r="B1383">
        <v>60</v>
      </c>
      <c r="C1383" t="s">
        <v>4968</v>
      </c>
      <c r="D1383" t="s">
        <v>4758</v>
      </c>
      <c r="E1383" t="s">
        <v>4419</v>
      </c>
      <c r="F1383" t="s">
        <v>4693</v>
      </c>
    </row>
    <row r="1384" spans="1:6" x14ac:dyDescent="0.25">
      <c r="A1384" t="s">
        <v>4439</v>
      </c>
      <c r="B1384">
        <v>26</v>
      </c>
      <c r="C1384" t="s">
        <v>4582</v>
      </c>
      <c r="D1384" t="s">
        <v>4474</v>
      </c>
      <c r="E1384" t="s">
        <v>4632</v>
      </c>
      <c r="F1384" t="s">
        <v>4632</v>
      </c>
    </row>
    <row r="1385" spans="1:6" x14ac:dyDescent="0.25">
      <c r="A1385" t="s">
        <v>1400</v>
      </c>
      <c r="B1385">
        <v>6</v>
      </c>
      <c r="C1385" t="s">
        <v>4465</v>
      </c>
      <c r="D1385" t="s">
        <v>4468</v>
      </c>
      <c r="E1385" t="s">
        <v>4406</v>
      </c>
      <c r="F1385" t="s">
        <v>4596</v>
      </c>
    </row>
    <row r="1386" spans="1:6" x14ac:dyDescent="0.25">
      <c r="A1386" t="s">
        <v>1340</v>
      </c>
      <c r="B1386">
        <v>23</v>
      </c>
      <c r="C1386" t="s">
        <v>5139</v>
      </c>
      <c r="D1386" t="s">
        <v>4684</v>
      </c>
      <c r="E1386" t="s">
        <v>4684</v>
      </c>
      <c r="F1386" t="s">
        <v>4606</v>
      </c>
    </row>
    <row r="1387" spans="1:6" x14ac:dyDescent="0.25">
      <c r="A1387" t="s">
        <v>1372</v>
      </c>
      <c r="B1387">
        <v>23</v>
      </c>
      <c r="C1387" t="s">
        <v>5097</v>
      </c>
      <c r="D1387" t="s">
        <v>4667</v>
      </c>
      <c r="E1387" t="s">
        <v>4406</v>
      </c>
      <c r="F1387" t="s">
        <v>4663</v>
      </c>
    </row>
    <row r="1388" spans="1:6" x14ac:dyDescent="0.25">
      <c r="A1388" t="s">
        <v>1296</v>
      </c>
      <c r="B1388">
        <v>138</v>
      </c>
      <c r="C1388" t="s">
        <v>5218</v>
      </c>
      <c r="D1388" t="s">
        <v>4950</v>
      </c>
      <c r="E1388" t="s">
        <v>4667</v>
      </c>
      <c r="F1388" t="s">
        <v>4470</v>
      </c>
    </row>
    <row r="1390" spans="1:6" x14ac:dyDescent="0.25">
      <c r="A1390" t="s">
        <v>6327</v>
      </c>
    </row>
    <row r="1391" spans="1:6" x14ac:dyDescent="0.25">
      <c r="A1391" t="s">
        <v>1009</v>
      </c>
      <c r="B1391" t="s">
        <v>4394</v>
      </c>
      <c r="C1391" t="s">
        <v>5148</v>
      </c>
      <c r="D1391" t="s">
        <v>5149</v>
      </c>
      <c r="E1391" t="s">
        <v>5150</v>
      </c>
      <c r="F1391" t="s">
        <v>5151</v>
      </c>
    </row>
    <row r="1392" spans="1:6" x14ac:dyDescent="0.25">
      <c r="A1392" t="s">
        <v>4438</v>
      </c>
      <c r="B1392">
        <v>42</v>
      </c>
      <c r="C1392" t="s">
        <v>4836</v>
      </c>
      <c r="D1392" t="s">
        <v>4400</v>
      </c>
      <c r="E1392" t="s">
        <v>4424</v>
      </c>
      <c r="F1392" t="s">
        <v>4522</v>
      </c>
    </row>
    <row r="1393" spans="1:6" x14ac:dyDescent="0.25">
      <c r="A1393" t="s">
        <v>4439</v>
      </c>
      <c r="B1393">
        <v>19</v>
      </c>
      <c r="C1393" t="s">
        <v>4461</v>
      </c>
      <c r="D1393" t="s">
        <v>4504</v>
      </c>
      <c r="E1393" t="s">
        <v>4640</v>
      </c>
      <c r="F1393" t="s">
        <v>4600</v>
      </c>
    </row>
    <row r="1394" spans="1:6" x14ac:dyDescent="0.25">
      <c r="A1394" t="s">
        <v>1400</v>
      </c>
      <c r="B1394">
        <v>4</v>
      </c>
      <c r="C1394" t="s">
        <v>4454</v>
      </c>
      <c r="D1394" t="s">
        <v>4406</v>
      </c>
      <c r="E1394" t="s">
        <v>4406</v>
      </c>
      <c r="F1394" t="s">
        <v>4406</v>
      </c>
    </row>
    <row r="1395" spans="1:6" x14ac:dyDescent="0.25">
      <c r="A1395" t="s">
        <v>1340</v>
      </c>
      <c r="B1395">
        <v>21</v>
      </c>
      <c r="C1395" t="s">
        <v>5285</v>
      </c>
      <c r="D1395" t="s">
        <v>4675</v>
      </c>
      <c r="E1395" t="s">
        <v>4675</v>
      </c>
      <c r="F1395" t="s">
        <v>4785</v>
      </c>
    </row>
    <row r="1396" spans="1:6" x14ac:dyDescent="0.25">
      <c r="A1396" t="s">
        <v>1426</v>
      </c>
      <c r="B1396">
        <v>9</v>
      </c>
      <c r="C1396" t="s">
        <v>4465</v>
      </c>
      <c r="D1396" t="s">
        <v>4465</v>
      </c>
      <c r="E1396" t="s">
        <v>4731</v>
      </c>
      <c r="F1396" t="s">
        <v>4676</v>
      </c>
    </row>
    <row r="1397" spans="1:6" x14ac:dyDescent="0.25">
      <c r="A1397" t="s">
        <v>1372</v>
      </c>
      <c r="B1397">
        <v>43</v>
      </c>
      <c r="C1397" t="s">
        <v>4996</v>
      </c>
      <c r="D1397" t="s">
        <v>4406</v>
      </c>
      <c r="E1397" t="s">
        <v>4406</v>
      </c>
      <c r="F1397" t="s">
        <v>4921</v>
      </c>
    </row>
    <row r="1398" spans="1:6" x14ac:dyDescent="0.25">
      <c r="A1398" t="s">
        <v>1296</v>
      </c>
      <c r="B1398">
        <v>138</v>
      </c>
      <c r="C1398" t="s">
        <v>5218</v>
      </c>
      <c r="D1398" t="s">
        <v>4950</v>
      </c>
      <c r="E1398" t="s">
        <v>4667</v>
      </c>
      <c r="F1398" t="s">
        <v>4470</v>
      </c>
    </row>
    <row r="1400" spans="1:6" x14ac:dyDescent="0.25">
      <c r="A1400" t="s">
        <v>6328</v>
      </c>
    </row>
    <row r="1401" spans="1:6" x14ac:dyDescent="0.25">
      <c r="A1401" t="s">
        <v>1011</v>
      </c>
      <c r="B1401" t="s">
        <v>4394</v>
      </c>
      <c r="C1401" t="s">
        <v>5148</v>
      </c>
      <c r="D1401" t="s">
        <v>5149</v>
      </c>
      <c r="E1401" t="s">
        <v>5150</v>
      </c>
      <c r="F1401" t="s">
        <v>5151</v>
      </c>
    </row>
    <row r="1402" spans="1:6" x14ac:dyDescent="0.25">
      <c r="A1402" t="s">
        <v>4438</v>
      </c>
      <c r="B1402">
        <v>54</v>
      </c>
      <c r="C1402" t="s">
        <v>5036</v>
      </c>
      <c r="D1402" t="s">
        <v>4954</v>
      </c>
      <c r="E1402" t="s">
        <v>4952</v>
      </c>
      <c r="F1402" t="s">
        <v>4464</v>
      </c>
    </row>
    <row r="1403" spans="1:6" x14ac:dyDescent="0.25">
      <c r="A1403" t="s">
        <v>4439</v>
      </c>
      <c r="B1403">
        <v>23</v>
      </c>
      <c r="C1403" t="s">
        <v>4912</v>
      </c>
      <c r="D1403" t="s">
        <v>4606</v>
      </c>
      <c r="E1403" t="s">
        <v>4667</v>
      </c>
      <c r="F1403" t="s">
        <v>4684</v>
      </c>
    </row>
    <row r="1404" spans="1:6" x14ac:dyDescent="0.25">
      <c r="A1404" t="s">
        <v>1400</v>
      </c>
      <c r="B1404">
        <v>2</v>
      </c>
      <c r="C1404" t="s">
        <v>4454</v>
      </c>
      <c r="D1404" t="s">
        <v>4406</v>
      </c>
      <c r="E1404" t="s">
        <v>4406</v>
      </c>
      <c r="F1404" t="s">
        <v>4406</v>
      </c>
    </row>
    <row r="1405" spans="1:6" x14ac:dyDescent="0.25">
      <c r="A1405" t="s">
        <v>1340</v>
      </c>
      <c r="B1405">
        <v>21</v>
      </c>
      <c r="C1405" t="s">
        <v>5285</v>
      </c>
      <c r="D1405" t="s">
        <v>4675</v>
      </c>
      <c r="E1405" t="s">
        <v>4675</v>
      </c>
      <c r="F1405" t="s">
        <v>4785</v>
      </c>
    </row>
    <row r="1406" spans="1:6" x14ac:dyDescent="0.25">
      <c r="A1406" t="s">
        <v>1426</v>
      </c>
      <c r="B1406">
        <v>6</v>
      </c>
      <c r="C1406" t="s">
        <v>4596</v>
      </c>
      <c r="D1406" t="s">
        <v>4468</v>
      </c>
      <c r="E1406" t="s">
        <v>4465</v>
      </c>
      <c r="F1406" t="s">
        <v>4406</v>
      </c>
    </row>
    <row r="1407" spans="1:6" x14ac:dyDescent="0.25">
      <c r="A1407" t="s">
        <v>1372</v>
      </c>
      <c r="B1407">
        <v>32</v>
      </c>
      <c r="C1407" t="s">
        <v>4984</v>
      </c>
      <c r="D1407" t="s">
        <v>4695</v>
      </c>
      <c r="E1407" t="s">
        <v>4406</v>
      </c>
      <c r="F1407" t="s">
        <v>4543</v>
      </c>
    </row>
    <row r="1408" spans="1:6" x14ac:dyDescent="0.25">
      <c r="A1408" t="s">
        <v>1296</v>
      </c>
      <c r="B1408">
        <v>138</v>
      </c>
      <c r="C1408" t="s">
        <v>5218</v>
      </c>
      <c r="D1408" t="s">
        <v>4950</v>
      </c>
      <c r="E1408" t="s">
        <v>4667</v>
      </c>
      <c r="F1408" t="s">
        <v>4470</v>
      </c>
    </row>
    <row r="1410" spans="1:6" x14ac:dyDescent="0.25">
      <c r="A1410" t="s">
        <v>6329</v>
      </c>
    </row>
    <row r="1411" spans="1:6" x14ac:dyDescent="0.25">
      <c r="A1411" t="s">
        <v>903</v>
      </c>
      <c r="B1411" t="s">
        <v>4394</v>
      </c>
      <c r="C1411" t="s">
        <v>5148</v>
      </c>
      <c r="D1411" t="s">
        <v>5149</v>
      </c>
      <c r="E1411" t="s">
        <v>5150</v>
      </c>
      <c r="F1411" t="s">
        <v>5151</v>
      </c>
    </row>
    <row r="1412" spans="1:6" x14ac:dyDescent="0.25">
      <c r="A1412" t="s">
        <v>70</v>
      </c>
      <c r="B1412">
        <v>37</v>
      </c>
      <c r="C1412" t="s">
        <v>4929</v>
      </c>
      <c r="D1412" t="s">
        <v>4883</v>
      </c>
      <c r="E1412" t="s">
        <v>4406</v>
      </c>
      <c r="F1412" t="s">
        <v>5157</v>
      </c>
    </row>
    <row r="1413" spans="1:6" x14ac:dyDescent="0.25">
      <c r="A1413" t="s">
        <v>71</v>
      </c>
      <c r="B1413">
        <v>101</v>
      </c>
      <c r="C1413" t="s">
        <v>5130</v>
      </c>
      <c r="D1413" t="s">
        <v>4425</v>
      </c>
      <c r="E1413" t="s">
        <v>4699</v>
      </c>
      <c r="F1413" t="s">
        <v>4425</v>
      </c>
    </row>
    <row r="1414" spans="1:6" x14ac:dyDescent="0.25">
      <c r="A1414" t="s">
        <v>1296</v>
      </c>
      <c r="B1414">
        <v>138</v>
      </c>
      <c r="C1414" t="s">
        <v>5218</v>
      </c>
      <c r="D1414" t="s">
        <v>4950</v>
      </c>
      <c r="E1414" t="s">
        <v>4667</v>
      </c>
      <c r="F1414" t="s">
        <v>4470</v>
      </c>
    </row>
    <row r="1416" spans="1:6" x14ac:dyDescent="0.25">
      <c r="A1416" t="s">
        <v>6330</v>
      </c>
    </row>
    <row r="1417" spans="1:6" x14ac:dyDescent="0.25">
      <c r="A1417" t="s">
        <v>2842</v>
      </c>
      <c r="B1417" t="s">
        <v>4394</v>
      </c>
      <c r="C1417" t="s">
        <v>1307</v>
      </c>
      <c r="D1417" t="s">
        <v>1319</v>
      </c>
    </row>
    <row r="1418" spans="1:6" x14ac:dyDescent="0.25">
      <c r="A1418" t="s">
        <v>5549</v>
      </c>
      <c r="B1418">
        <v>83</v>
      </c>
      <c r="C1418" t="s">
        <v>4829</v>
      </c>
      <c r="D1418" t="s">
        <v>5153</v>
      </c>
    </row>
    <row r="1419" spans="1:6" x14ac:dyDescent="0.25">
      <c r="A1419" t="s">
        <v>1397</v>
      </c>
      <c r="B1419">
        <v>55</v>
      </c>
      <c r="C1419" t="s">
        <v>5134</v>
      </c>
      <c r="D1419" t="s">
        <v>4747</v>
      </c>
    </row>
    <row r="1420" spans="1:6" x14ac:dyDescent="0.25">
      <c r="A1420" t="s">
        <v>1296</v>
      </c>
      <c r="B1420">
        <v>138</v>
      </c>
      <c r="C1420" t="s">
        <v>4550</v>
      </c>
      <c r="D1420" t="s">
        <v>4509</v>
      </c>
    </row>
    <row r="1422" spans="1:6" x14ac:dyDescent="0.25">
      <c r="A1422" t="s">
        <v>6331</v>
      </c>
    </row>
    <row r="1423" spans="1:6" x14ac:dyDescent="0.25">
      <c r="A1423" t="s">
        <v>998</v>
      </c>
      <c r="B1423" t="s">
        <v>4394</v>
      </c>
      <c r="C1423" t="s">
        <v>1307</v>
      </c>
      <c r="D1423" t="s">
        <v>1319</v>
      </c>
    </row>
    <row r="1424" spans="1:6" x14ac:dyDescent="0.25">
      <c r="A1424" t="s">
        <v>109</v>
      </c>
      <c r="B1424">
        <v>125</v>
      </c>
      <c r="C1424" t="s">
        <v>5078</v>
      </c>
      <c r="D1424" t="s">
        <v>4708</v>
      </c>
    </row>
    <row r="1425" spans="1:4" x14ac:dyDescent="0.25">
      <c r="A1425" t="s">
        <v>192</v>
      </c>
      <c r="B1425">
        <v>13</v>
      </c>
      <c r="C1425" t="s">
        <v>4565</v>
      </c>
      <c r="D1425" t="s">
        <v>4915</v>
      </c>
    </row>
    <row r="1426" spans="1:4" x14ac:dyDescent="0.25">
      <c r="A1426" t="s">
        <v>1296</v>
      </c>
      <c r="B1426">
        <v>138</v>
      </c>
      <c r="C1426" t="s">
        <v>4550</v>
      </c>
      <c r="D1426" t="s">
        <v>4509</v>
      </c>
    </row>
    <row r="1428" spans="1:4" x14ac:dyDescent="0.25">
      <c r="A1428" t="s">
        <v>6332</v>
      </c>
    </row>
    <row r="1429" spans="1:4" x14ac:dyDescent="0.25">
      <c r="A1429" t="s">
        <v>1295</v>
      </c>
      <c r="B1429" t="s">
        <v>4394</v>
      </c>
      <c r="C1429" t="s">
        <v>1307</v>
      </c>
      <c r="D1429" t="s">
        <v>1319</v>
      </c>
    </row>
    <row r="1430" spans="1:4" x14ac:dyDescent="0.25">
      <c r="A1430" t="s">
        <v>4395</v>
      </c>
      <c r="B1430">
        <v>15</v>
      </c>
      <c r="C1430" t="s">
        <v>5200</v>
      </c>
      <c r="D1430" t="s">
        <v>4416</v>
      </c>
    </row>
    <row r="1431" spans="1:4" x14ac:dyDescent="0.25">
      <c r="A1431" t="s">
        <v>4396</v>
      </c>
      <c r="B1431">
        <v>53</v>
      </c>
      <c r="C1431" t="s">
        <v>4648</v>
      </c>
      <c r="D1431" t="s">
        <v>5219</v>
      </c>
    </row>
    <row r="1432" spans="1:4" x14ac:dyDescent="0.25">
      <c r="A1432" t="s">
        <v>4397</v>
      </c>
      <c r="B1432">
        <v>1</v>
      </c>
      <c r="C1432" t="s">
        <v>4406</v>
      </c>
      <c r="D1432" t="s">
        <v>4454</v>
      </c>
    </row>
    <row r="1433" spans="1:4" x14ac:dyDescent="0.25">
      <c r="A1433" t="s">
        <v>4398</v>
      </c>
      <c r="B1433">
        <v>64</v>
      </c>
      <c r="C1433" t="s">
        <v>4793</v>
      </c>
      <c r="D1433" t="s">
        <v>4462</v>
      </c>
    </row>
    <row r="1434" spans="1:4" x14ac:dyDescent="0.25">
      <c r="A1434" t="s">
        <v>4399</v>
      </c>
      <c r="B1434">
        <v>5</v>
      </c>
      <c r="C1434" t="s">
        <v>4834</v>
      </c>
      <c r="D1434" t="s">
        <v>4472</v>
      </c>
    </row>
    <row r="1435" spans="1:4" x14ac:dyDescent="0.25">
      <c r="A1435" t="s">
        <v>1296</v>
      </c>
      <c r="B1435">
        <v>138</v>
      </c>
      <c r="C1435" t="s">
        <v>4550</v>
      </c>
      <c r="D1435" t="s">
        <v>4509</v>
      </c>
    </row>
    <row r="1437" spans="1:4" x14ac:dyDescent="0.25">
      <c r="A1437" t="s">
        <v>6333</v>
      </c>
    </row>
    <row r="1438" spans="1:4" x14ac:dyDescent="0.25">
      <c r="A1438" t="s">
        <v>1006</v>
      </c>
      <c r="B1438" t="s">
        <v>4394</v>
      </c>
      <c r="C1438" t="s">
        <v>1307</v>
      </c>
      <c r="D1438" t="s">
        <v>1319</v>
      </c>
    </row>
    <row r="1439" spans="1:4" x14ac:dyDescent="0.25">
      <c r="A1439" t="s">
        <v>1371</v>
      </c>
      <c r="B1439">
        <v>26</v>
      </c>
      <c r="C1439">
        <v>17</v>
      </c>
      <c r="D1439">
        <v>9</v>
      </c>
    </row>
    <row r="1440" spans="1:4" x14ac:dyDescent="0.25">
      <c r="A1440" t="s">
        <v>1452</v>
      </c>
      <c r="B1440">
        <v>17</v>
      </c>
      <c r="C1440">
        <v>9</v>
      </c>
      <c r="D1440">
        <v>8</v>
      </c>
    </row>
    <row r="1441" spans="1:4" x14ac:dyDescent="0.25">
      <c r="A1441" t="s">
        <v>5560</v>
      </c>
      <c r="B1441">
        <v>14</v>
      </c>
      <c r="C1441">
        <v>9</v>
      </c>
      <c r="D1441">
        <v>5</v>
      </c>
    </row>
    <row r="1442" spans="1:4" x14ac:dyDescent="0.25">
      <c r="A1442" t="s">
        <v>1424</v>
      </c>
      <c r="B1442">
        <v>30</v>
      </c>
      <c r="C1442">
        <v>22</v>
      </c>
      <c r="D1442">
        <v>8</v>
      </c>
    </row>
    <row r="1443" spans="1:4" x14ac:dyDescent="0.25">
      <c r="A1443" t="s">
        <v>1340</v>
      </c>
      <c r="B1443">
        <v>21</v>
      </c>
      <c r="C1443">
        <v>17</v>
      </c>
      <c r="D1443">
        <v>4</v>
      </c>
    </row>
    <row r="1444" spans="1:4" x14ac:dyDescent="0.25">
      <c r="A1444" t="s">
        <v>5561</v>
      </c>
      <c r="B1444">
        <v>6</v>
      </c>
      <c r="C1444">
        <v>6</v>
      </c>
      <c r="D1444">
        <v>0</v>
      </c>
    </row>
    <row r="1445" spans="1:4" x14ac:dyDescent="0.25">
      <c r="A1445" t="s">
        <v>1416</v>
      </c>
      <c r="B1445">
        <v>24</v>
      </c>
      <c r="C1445">
        <v>14</v>
      </c>
      <c r="D1445">
        <v>10</v>
      </c>
    </row>
    <row r="1446" spans="1:4" x14ac:dyDescent="0.25">
      <c r="A1446" t="s">
        <v>1296</v>
      </c>
      <c r="B1446">
        <v>138</v>
      </c>
      <c r="C1446">
        <v>94</v>
      </c>
      <c r="D1446">
        <v>44</v>
      </c>
    </row>
    <row r="1448" spans="1:4" x14ac:dyDescent="0.25">
      <c r="A1448" t="s">
        <v>6334</v>
      </c>
    </row>
    <row r="1449" spans="1:4" x14ac:dyDescent="0.25">
      <c r="A1449" t="s">
        <v>2723</v>
      </c>
      <c r="B1449" t="s">
        <v>4394</v>
      </c>
      <c r="C1449" t="s">
        <v>1307</v>
      </c>
      <c r="D1449" t="s">
        <v>1319</v>
      </c>
    </row>
    <row r="1450" spans="1:4" x14ac:dyDescent="0.25">
      <c r="A1450" t="s">
        <v>4433</v>
      </c>
      <c r="B1450">
        <v>6</v>
      </c>
      <c r="C1450" t="s">
        <v>4469</v>
      </c>
      <c r="D1450" t="s">
        <v>4465</v>
      </c>
    </row>
    <row r="1451" spans="1:4" x14ac:dyDescent="0.25">
      <c r="A1451" t="s">
        <v>4434</v>
      </c>
      <c r="B1451">
        <v>57</v>
      </c>
      <c r="C1451" t="s">
        <v>5184</v>
      </c>
      <c r="D1451" t="s">
        <v>5183</v>
      </c>
    </row>
    <row r="1452" spans="1:4" x14ac:dyDescent="0.25">
      <c r="A1452" t="s">
        <v>4435</v>
      </c>
      <c r="B1452">
        <v>47</v>
      </c>
      <c r="C1452" t="s">
        <v>5258</v>
      </c>
      <c r="D1452" t="s">
        <v>5128</v>
      </c>
    </row>
    <row r="1453" spans="1:4" x14ac:dyDescent="0.25">
      <c r="A1453" t="s">
        <v>4436</v>
      </c>
      <c r="B1453">
        <v>28</v>
      </c>
      <c r="C1453" t="s">
        <v>4778</v>
      </c>
      <c r="D1453" t="s">
        <v>4447</v>
      </c>
    </row>
    <row r="1454" spans="1:4" x14ac:dyDescent="0.25">
      <c r="A1454" t="s">
        <v>1296</v>
      </c>
      <c r="B1454">
        <v>138</v>
      </c>
      <c r="C1454" t="s">
        <v>4550</v>
      </c>
      <c r="D1454" t="s">
        <v>4509</v>
      </c>
    </row>
    <row r="1456" spans="1:4" x14ac:dyDescent="0.25">
      <c r="A1456" t="s">
        <v>6335</v>
      </c>
    </row>
    <row r="1457" spans="1:4" x14ac:dyDescent="0.25">
      <c r="A1457" t="s">
        <v>1013</v>
      </c>
      <c r="B1457" t="s">
        <v>4394</v>
      </c>
      <c r="C1457" t="s">
        <v>1307</v>
      </c>
      <c r="D1457" t="s">
        <v>1319</v>
      </c>
    </row>
    <row r="1458" spans="1:4" x14ac:dyDescent="0.25">
      <c r="A1458" t="s">
        <v>1561</v>
      </c>
      <c r="B1458">
        <v>4</v>
      </c>
      <c r="C1458" t="s">
        <v>4793</v>
      </c>
      <c r="D1458" t="s">
        <v>4462</v>
      </c>
    </row>
    <row r="1459" spans="1:4" x14ac:dyDescent="0.25">
      <c r="A1459" t="s">
        <v>1460</v>
      </c>
      <c r="B1459">
        <v>32</v>
      </c>
      <c r="C1459" t="s">
        <v>4793</v>
      </c>
      <c r="D1459" t="s">
        <v>4462</v>
      </c>
    </row>
    <row r="1460" spans="1:4" x14ac:dyDescent="0.25">
      <c r="A1460" t="s">
        <v>1342</v>
      </c>
      <c r="B1460">
        <v>44</v>
      </c>
      <c r="C1460" t="s">
        <v>4767</v>
      </c>
      <c r="D1460" t="s">
        <v>4492</v>
      </c>
    </row>
    <row r="1461" spans="1:4" x14ac:dyDescent="0.25">
      <c r="A1461" t="s">
        <v>1375</v>
      </c>
      <c r="B1461">
        <v>38</v>
      </c>
      <c r="C1461" t="s">
        <v>5433</v>
      </c>
      <c r="D1461" t="s">
        <v>4529</v>
      </c>
    </row>
    <row r="1462" spans="1:4" x14ac:dyDescent="0.25">
      <c r="A1462" t="s">
        <v>1401</v>
      </c>
      <c r="B1462">
        <v>20</v>
      </c>
      <c r="C1462" t="s">
        <v>4457</v>
      </c>
      <c r="D1462" t="s">
        <v>4458</v>
      </c>
    </row>
    <row r="1463" spans="1:4" x14ac:dyDescent="0.25">
      <c r="A1463" t="s">
        <v>1296</v>
      </c>
      <c r="B1463">
        <v>138</v>
      </c>
      <c r="C1463" t="s">
        <v>4550</v>
      </c>
      <c r="D1463" t="s">
        <v>4509</v>
      </c>
    </row>
    <row r="1465" spans="1:4" x14ac:dyDescent="0.25">
      <c r="A1465" t="s">
        <v>6336</v>
      </c>
    </row>
    <row r="1466" spans="1:4" x14ac:dyDescent="0.25">
      <c r="A1466" t="s">
        <v>2615</v>
      </c>
      <c r="B1466" t="s">
        <v>4394</v>
      </c>
      <c r="C1466" t="s">
        <v>1307</v>
      </c>
      <c r="D1466" t="s">
        <v>1319</v>
      </c>
    </row>
    <row r="1467" spans="1:4" x14ac:dyDescent="0.25">
      <c r="A1467" t="s">
        <v>5057</v>
      </c>
      <c r="B1467">
        <v>81</v>
      </c>
      <c r="C1467" t="s">
        <v>5231</v>
      </c>
      <c r="D1467" t="s">
        <v>4755</v>
      </c>
    </row>
    <row r="1468" spans="1:4" x14ac:dyDescent="0.25">
      <c r="A1468" t="s">
        <v>5060</v>
      </c>
      <c r="B1468">
        <v>55</v>
      </c>
      <c r="C1468" t="s">
        <v>5134</v>
      </c>
      <c r="D1468" t="s">
        <v>4747</v>
      </c>
    </row>
    <row r="1469" spans="1:4" x14ac:dyDescent="0.25">
      <c r="A1469" t="s">
        <v>5061</v>
      </c>
      <c r="B1469">
        <v>2</v>
      </c>
      <c r="C1469" t="s">
        <v>4468</v>
      </c>
      <c r="D1469" t="s">
        <v>4468</v>
      </c>
    </row>
    <row r="1470" spans="1:4" x14ac:dyDescent="0.25">
      <c r="A1470" t="s">
        <v>1296</v>
      </c>
      <c r="B1470">
        <v>138</v>
      </c>
      <c r="C1470" t="s">
        <v>4550</v>
      </c>
      <c r="D1470" t="s">
        <v>4509</v>
      </c>
    </row>
    <row r="1472" spans="1:4" x14ac:dyDescent="0.25">
      <c r="A1472" t="s">
        <v>6337</v>
      </c>
    </row>
    <row r="1473" spans="1:4" x14ac:dyDescent="0.25">
      <c r="A1473" t="s">
        <v>2617</v>
      </c>
      <c r="B1473" t="s">
        <v>4394</v>
      </c>
      <c r="C1473" t="s">
        <v>1307</v>
      </c>
      <c r="D1473" t="s">
        <v>1319</v>
      </c>
    </row>
    <row r="1474" spans="1:4" x14ac:dyDescent="0.25">
      <c r="A1474" t="s">
        <v>109</v>
      </c>
      <c r="B1474">
        <v>5</v>
      </c>
      <c r="C1474" t="s">
        <v>4454</v>
      </c>
      <c r="D1474" t="s">
        <v>4406</v>
      </c>
    </row>
    <row r="1475" spans="1:4" x14ac:dyDescent="0.25">
      <c r="A1475" t="s">
        <v>192</v>
      </c>
      <c r="B1475">
        <v>133</v>
      </c>
      <c r="C1475" t="s">
        <v>5529</v>
      </c>
      <c r="D1475" t="s">
        <v>4448</v>
      </c>
    </row>
    <row r="1476" spans="1:4" x14ac:dyDescent="0.25">
      <c r="A1476" t="s">
        <v>1296</v>
      </c>
      <c r="B1476">
        <v>138</v>
      </c>
      <c r="C1476" t="s">
        <v>4550</v>
      </c>
      <c r="D1476" t="s">
        <v>4509</v>
      </c>
    </row>
    <row r="1478" spans="1:4" x14ac:dyDescent="0.25">
      <c r="A1478" t="s">
        <v>6338</v>
      </c>
    </row>
    <row r="1479" spans="1:4" x14ac:dyDescent="0.25">
      <c r="A1479" t="s">
        <v>5521</v>
      </c>
      <c r="B1479" t="s">
        <v>4394</v>
      </c>
      <c r="C1479" t="s">
        <v>1307</v>
      </c>
      <c r="D1479" t="s">
        <v>1319</v>
      </c>
    </row>
    <row r="1480" spans="1:4" x14ac:dyDescent="0.25">
      <c r="A1480" t="s">
        <v>4438</v>
      </c>
      <c r="B1480">
        <v>53</v>
      </c>
      <c r="C1480" t="s">
        <v>5258</v>
      </c>
      <c r="D1480" t="s">
        <v>5128</v>
      </c>
    </row>
    <row r="1481" spans="1:4" x14ac:dyDescent="0.25">
      <c r="A1481" t="s">
        <v>4439</v>
      </c>
      <c r="B1481">
        <v>29</v>
      </c>
      <c r="C1481" t="s">
        <v>5256</v>
      </c>
      <c r="D1481" t="s">
        <v>4445</v>
      </c>
    </row>
    <row r="1482" spans="1:4" x14ac:dyDescent="0.25">
      <c r="A1482" t="s">
        <v>1400</v>
      </c>
      <c r="B1482">
        <v>4</v>
      </c>
      <c r="C1482" t="s">
        <v>4454</v>
      </c>
      <c r="D1482" t="s">
        <v>4406</v>
      </c>
    </row>
    <row r="1483" spans="1:4" x14ac:dyDescent="0.25">
      <c r="A1483" t="s">
        <v>1340</v>
      </c>
      <c r="B1483">
        <v>23</v>
      </c>
      <c r="C1483" t="s">
        <v>4986</v>
      </c>
      <c r="D1483" t="s">
        <v>4606</v>
      </c>
    </row>
    <row r="1484" spans="1:4" x14ac:dyDescent="0.25">
      <c r="A1484" t="s">
        <v>1426</v>
      </c>
      <c r="B1484">
        <v>1</v>
      </c>
      <c r="C1484" t="s">
        <v>4454</v>
      </c>
      <c r="D1484" t="s">
        <v>4406</v>
      </c>
    </row>
    <row r="1485" spans="1:4" x14ac:dyDescent="0.25">
      <c r="A1485" t="s">
        <v>1372</v>
      </c>
      <c r="B1485">
        <v>28</v>
      </c>
      <c r="C1485" t="s">
        <v>4700</v>
      </c>
      <c r="D1485" t="s">
        <v>4449</v>
      </c>
    </row>
    <row r="1486" spans="1:4" x14ac:dyDescent="0.25">
      <c r="A1486" t="s">
        <v>1296</v>
      </c>
      <c r="B1486">
        <v>138</v>
      </c>
      <c r="C1486" t="s">
        <v>4550</v>
      </c>
      <c r="D1486" t="s">
        <v>4509</v>
      </c>
    </row>
    <row r="1488" spans="1:4" x14ac:dyDescent="0.25">
      <c r="A1488" t="s">
        <v>6339</v>
      </c>
    </row>
    <row r="1489" spans="1:4" x14ac:dyDescent="0.25">
      <c r="A1489" t="s">
        <v>5518</v>
      </c>
      <c r="B1489" t="s">
        <v>4394</v>
      </c>
      <c r="C1489" t="s">
        <v>1307</v>
      </c>
      <c r="D1489" t="s">
        <v>1319</v>
      </c>
    </row>
    <row r="1490" spans="1:4" x14ac:dyDescent="0.25">
      <c r="A1490" t="s">
        <v>4438</v>
      </c>
      <c r="B1490">
        <v>60</v>
      </c>
      <c r="C1490" t="s">
        <v>5442</v>
      </c>
      <c r="D1490" t="s">
        <v>4545</v>
      </c>
    </row>
    <row r="1491" spans="1:4" x14ac:dyDescent="0.25">
      <c r="A1491" t="s">
        <v>4439</v>
      </c>
      <c r="B1491">
        <v>26</v>
      </c>
      <c r="C1491" t="s">
        <v>4777</v>
      </c>
      <c r="D1491" t="s">
        <v>4768</v>
      </c>
    </row>
    <row r="1492" spans="1:4" x14ac:dyDescent="0.25">
      <c r="A1492" t="s">
        <v>1400</v>
      </c>
      <c r="B1492">
        <v>6</v>
      </c>
      <c r="C1492" t="s">
        <v>4469</v>
      </c>
      <c r="D1492" t="s">
        <v>4465</v>
      </c>
    </row>
    <row r="1493" spans="1:4" x14ac:dyDescent="0.25">
      <c r="A1493" t="s">
        <v>1340</v>
      </c>
      <c r="B1493">
        <v>23</v>
      </c>
      <c r="C1493" t="s">
        <v>4986</v>
      </c>
      <c r="D1493" t="s">
        <v>4606</v>
      </c>
    </row>
    <row r="1494" spans="1:4" x14ac:dyDescent="0.25">
      <c r="A1494" t="s">
        <v>1372</v>
      </c>
      <c r="B1494">
        <v>23</v>
      </c>
      <c r="C1494" t="s">
        <v>5139</v>
      </c>
      <c r="D1494" t="s">
        <v>4712</v>
      </c>
    </row>
    <row r="1495" spans="1:4" x14ac:dyDescent="0.25">
      <c r="A1495" t="s">
        <v>1296</v>
      </c>
      <c r="B1495">
        <v>138</v>
      </c>
      <c r="C1495" t="s">
        <v>4550</v>
      </c>
      <c r="D1495" t="s">
        <v>4509</v>
      </c>
    </row>
    <row r="1497" spans="1:4" x14ac:dyDescent="0.25">
      <c r="A1497" t="s">
        <v>6340</v>
      </c>
    </row>
    <row r="1498" spans="1:4" x14ac:dyDescent="0.25">
      <c r="A1498" t="s">
        <v>1009</v>
      </c>
      <c r="B1498" t="s">
        <v>4394</v>
      </c>
      <c r="C1498" t="s">
        <v>1307</v>
      </c>
      <c r="D1498" t="s">
        <v>1319</v>
      </c>
    </row>
    <row r="1499" spans="1:4" x14ac:dyDescent="0.25">
      <c r="A1499" t="s">
        <v>4438</v>
      </c>
      <c r="B1499">
        <v>42</v>
      </c>
      <c r="C1499" t="s">
        <v>4469</v>
      </c>
      <c r="D1499" t="s">
        <v>4465</v>
      </c>
    </row>
    <row r="1500" spans="1:4" x14ac:dyDescent="0.25">
      <c r="A1500" t="s">
        <v>4439</v>
      </c>
      <c r="B1500">
        <v>19</v>
      </c>
      <c r="C1500" t="s">
        <v>5122</v>
      </c>
      <c r="D1500" t="s">
        <v>4490</v>
      </c>
    </row>
    <row r="1501" spans="1:4" x14ac:dyDescent="0.25">
      <c r="A1501" t="s">
        <v>1400</v>
      </c>
      <c r="B1501">
        <v>4</v>
      </c>
      <c r="C1501" t="s">
        <v>4793</v>
      </c>
      <c r="D1501" t="s">
        <v>4462</v>
      </c>
    </row>
    <row r="1502" spans="1:4" x14ac:dyDescent="0.25">
      <c r="A1502" t="s">
        <v>1340</v>
      </c>
      <c r="B1502">
        <v>21</v>
      </c>
      <c r="C1502" t="s">
        <v>4784</v>
      </c>
      <c r="D1502" t="s">
        <v>4785</v>
      </c>
    </row>
    <row r="1503" spans="1:4" x14ac:dyDescent="0.25">
      <c r="A1503" t="s">
        <v>1426</v>
      </c>
      <c r="B1503">
        <v>9</v>
      </c>
      <c r="C1503" t="s">
        <v>4857</v>
      </c>
      <c r="D1503" t="s">
        <v>4731</v>
      </c>
    </row>
    <row r="1504" spans="1:4" x14ac:dyDescent="0.25">
      <c r="A1504" t="s">
        <v>1372</v>
      </c>
      <c r="B1504">
        <v>43</v>
      </c>
      <c r="C1504" t="s">
        <v>4603</v>
      </c>
      <c r="D1504" t="s">
        <v>4523</v>
      </c>
    </row>
    <row r="1505" spans="1:4" x14ac:dyDescent="0.25">
      <c r="A1505" t="s">
        <v>1296</v>
      </c>
      <c r="B1505">
        <v>138</v>
      </c>
      <c r="C1505" t="s">
        <v>4550</v>
      </c>
      <c r="D1505" t="s">
        <v>4509</v>
      </c>
    </row>
    <row r="1507" spans="1:4" x14ac:dyDescent="0.25">
      <c r="A1507" t="s">
        <v>6341</v>
      </c>
    </row>
    <row r="1508" spans="1:4" x14ac:dyDescent="0.25">
      <c r="A1508" t="s">
        <v>1011</v>
      </c>
      <c r="B1508" t="s">
        <v>4394</v>
      </c>
      <c r="C1508" t="s">
        <v>1307</v>
      </c>
      <c r="D1508" t="s">
        <v>1319</v>
      </c>
    </row>
    <row r="1509" spans="1:4" x14ac:dyDescent="0.25">
      <c r="A1509" t="s">
        <v>4438</v>
      </c>
      <c r="B1509">
        <v>54</v>
      </c>
      <c r="C1509" t="s">
        <v>5471</v>
      </c>
      <c r="D1509" t="s">
        <v>5181</v>
      </c>
    </row>
    <row r="1510" spans="1:4" x14ac:dyDescent="0.25">
      <c r="A1510" t="s">
        <v>4439</v>
      </c>
      <c r="B1510">
        <v>23</v>
      </c>
      <c r="C1510" t="s">
        <v>5040</v>
      </c>
      <c r="D1510" t="s">
        <v>4926</v>
      </c>
    </row>
    <row r="1511" spans="1:4" x14ac:dyDescent="0.25">
      <c r="A1511" t="s">
        <v>1400</v>
      </c>
      <c r="B1511">
        <v>2</v>
      </c>
      <c r="C1511" t="s">
        <v>4468</v>
      </c>
      <c r="D1511" t="s">
        <v>4468</v>
      </c>
    </row>
    <row r="1512" spans="1:4" x14ac:dyDescent="0.25">
      <c r="A1512" t="s">
        <v>1340</v>
      </c>
      <c r="B1512">
        <v>21</v>
      </c>
      <c r="C1512" t="s">
        <v>4784</v>
      </c>
      <c r="D1512" t="s">
        <v>4785</v>
      </c>
    </row>
    <row r="1513" spans="1:4" x14ac:dyDescent="0.25">
      <c r="A1513" t="s">
        <v>1426</v>
      </c>
      <c r="B1513">
        <v>6</v>
      </c>
      <c r="C1513" t="s">
        <v>4783</v>
      </c>
      <c r="D1513" t="s">
        <v>4596</v>
      </c>
    </row>
    <row r="1514" spans="1:4" x14ac:dyDescent="0.25">
      <c r="A1514" t="s">
        <v>1372</v>
      </c>
      <c r="B1514">
        <v>32</v>
      </c>
      <c r="C1514" t="s">
        <v>4478</v>
      </c>
      <c r="D1514" t="s">
        <v>5493</v>
      </c>
    </row>
    <row r="1515" spans="1:4" x14ac:dyDescent="0.25">
      <c r="A1515" t="s">
        <v>1296</v>
      </c>
      <c r="B1515">
        <v>138</v>
      </c>
      <c r="C1515" t="s">
        <v>4550</v>
      </c>
      <c r="D1515" t="s">
        <v>4509</v>
      </c>
    </row>
    <row r="1517" spans="1:4" x14ac:dyDescent="0.25">
      <c r="A1517" t="s">
        <v>6342</v>
      </c>
    </row>
    <row r="1518" spans="1:4" x14ac:dyDescent="0.25">
      <c r="A1518" t="s">
        <v>2640</v>
      </c>
      <c r="B1518" t="s">
        <v>4394</v>
      </c>
      <c r="C1518" t="s">
        <v>1307</v>
      </c>
      <c r="D1518" t="s">
        <v>1319</v>
      </c>
    </row>
    <row r="1519" spans="1:4" x14ac:dyDescent="0.25">
      <c r="A1519" t="s">
        <v>109</v>
      </c>
      <c r="B1519">
        <v>29</v>
      </c>
      <c r="C1519" t="s">
        <v>5443</v>
      </c>
      <c r="D1519" t="s">
        <v>4686</v>
      </c>
    </row>
    <row r="1520" spans="1:4" x14ac:dyDescent="0.25">
      <c r="A1520" t="s">
        <v>192</v>
      </c>
      <c r="B1520">
        <v>109</v>
      </c>
      <c r="C1520" t="s">
        <v>4811</v>
      </c>
      <c r="D1520" t="s">
        <v>4717</v>
      </c>
    </row>
    <row r="1521" spans="1:4" x14ac:dyDescent="0.25">
      <c r="A1521" t="s">
        <v>1296</v>
      </c>
      <c r="B1521">
        <v>138</v>
      </c>
      <c r="C1521" t="s">
        <v>4550</v>
      </c>
      <c r="D1521" t="s">
        <v>4509</v>
      </c>
    </row>
    <row r="1523" spans="1:4" x14ac:dyDescent="0.25">
      <c r="A1523" t="s">
        <v>6343</v>
      </c>
    </row>
    <row r="1524" spans="1:4" x14ac:dyDescent="0.25">
      <c r="A1524" t="s">
        <v>903</v>
      </c>
      <c r="B1524" t="s">
        <v>4394</v>
      </c>
      <c r="C1524" t="s">
        <v>1307</v>
      </c>
      <c r="D1524" t="s">
        <v>1319</v>
      </c>
    </row>
    <row r="1525" spans="1:4" x14ac:dyDescent="0.25">
      <c r="A1525" t="s">
        <v>70</v>
      </c>
      <c r="B1525">
        <v>37</v>
      </c>
      <c r="C1525" t="s">
        <v>5223</v>
      </c>
      <c r="D1525" t="s">
        <v>5222</v>
      </c>
    </row>
    <row r="1526" spans="1:4" x14ac:dyDescent="0.25">
      <c r="A1526" t="s">
        <v>71</v>
      </c>
      <c r="B1526">
        <v>101</v>
      </c>
      <c r="C1526" t="s">
        <v>5358</v>
      </c>
      <c r="D1526" t="s">
        <v>4442</v>
      </c>
    </row>
    <row r="1527" spans="1:4" x14ac:dyDescent="0.25">
      <c r="A1527" t="s">
        <v>1296</v>
      </c>
      <c r="B1527">
        <v>138</v>
      </c>
      <c r="C1527" t="s">
        <v>4550</v>
      </c>
      <c r="D1527" t="s">
        <v>4509</v>
      </c>
    </row>
    <row r="1529" spans="1:4" x14ac:dyDescent="0.25">
      <c r="A1529" t="s">
        <v>6344</v>
      </c>
    </row>
    <row r="1530" spans="1:4" x14ac:dyDescent="0.25">
      <c r="A1530" t="s">
        <v>2842</v>
      </c>
      <c r="B1530" t="s">
        <v>4394</v>
      </c>
      <c r="C1530" t="s">
        <v>109</v>
      </c>
      <c r="D1530" t="s">
        <v>192</v>
      </c>
    </row>
    <row r="1531" spans="1:4" x14ac:dyDescent="0.25">
      <c r="A1531" t="s">
        <v>5549</v>
      </c>
      <c r="B1531">
        <v>83</v>
      </c>
      <c r="C1531" t="s">
        <v>4408</v>
      </c>
      <c r="D1531" t="s">
        <v>5440</v>
      </c>
    </row>
    <row r="1532" spans="1:4" x14ac:dyDescent="0.25">
      <c r="A1532" t="s">
        <v>1397</v>
      </c>
      <c r="B1532">
        <v>55</v>
      </c>
      <c r="C1532" t="s">
        <v>4492</v>
      </c>
      <c r="D1532" t="s">
        <v>4767</v>
      </c>
    </row>
    <row r="1533" spans="1:4" x14ac:dyDescent="0.25">
      <c r="A1533" t="s">
        <v>1296</v>
      </c>
      <c r="B1533">
        <v>138</v>
      </c>
      <c r="C1533" t="s">
        <v>4953</v>
      </c>
      <c r="D1533" t="s">
        <v>5402</v>
      </c>
    </row>
    <row r="1535" spans="1:4" x14ac:dyDescent="0.25">
      <c r="A1535" t="s">
        <v>6345</v>
      </c>
    </row>
    <row r="1536" spans="1:4" x14ac:dyDescent="0.25">
      <c r="A1536" t="s">
        <v>998</v>
      </c>
      <c r="B1536" t="s">
        <v>4394</v>
      </c>
      <c r="C1536" t="s">
        <v>109</v>
      </c>
      <c r="D1536" t="s">
        <v>192</v>
      </c>
    </row>
    <row r="1537" spans="1:4" x14ac:dyDescent="0.25">
      <c r="A1537" t="s">
        <v>109</v>
      </c>
      <c r="B1537">
        <v>125</v>
      </c>
      <c r="C1537" t="s">
        <v>4527</v>
      </c>
      <c r="D1537" t="s">
        <v>5019</v>
      </c>
    </row>
    <row r="1538" spans="1:4" x14ac:dyDescent="0.25">
      <c r="A1538" t="s">
        <v>192</v>
      </c>
      <c r="B1538">
        <v>13</v>
      </c>
      <c r="C1538" t="s">
        <v>4565</v>
      </c>
      <c r="D1538" t="s">
        <v>4915</v>
      </c>
    </row>
    <row r="1539" spans="1:4" x14ac:dyDescent="0.25">
      <c r="A1539" t="s">
        <v>1296</v>
      </c>
      <c r="B1539">
        <v>138</v>
      </c>
      <c r="C1539" t="s">
        <v>4953</v>
      </c>
      <c r="D1539" t="s">
        <v>5402</v>
      </c>
    </row>
    <row r="1541" spans="1:4" x14ac:dyDescent="0.25">
      <c r="A1541" t="s">
        <v>6346</v>
      </c>
    </row>
    <row r="1542" spans="1:4" x14ac:dyDescent="0.25">
      <c r="A1542" t="s">
        <v>1295</v>
      </c>
      <c r="B1542" t="s">
        <v>4394</v>
      </c>
      <c r="C1542" t="s">
        <v>109</v>
      </c>
      <c r="D1542" t="s">
        <v>192</v>
      </c>
    </row>
    <row r="1543" spans="1:4" x14ac:dyDescent="0.25">
      <c r="A1543" t="s">
        <v>4395</v>
      </c>
      <c r="B1543">
        <v>15</v>
      </c>
      <c r="C1543" t="s">
        <v>5106</v>
      </c>
      <c r="D1543" t="s">
        <v>5107</v>
      </c>
    </row>
    <row r="1544" spans="1:4" x14ac:dyDescent="0.25">
      <c r="A1544" t="s">
        <v>4396</v>
      </c>
      <c r="B1544">
        <v>53</v>
      </c>
      <c r="C1544" t="s">
        <v>4950</v>
      </c>
      <c r="D1544" t="s">
        <v>5032</v>
      </c>
    </row>
    <row r="1545" spans="1:4" x14ac:dyDescent="0.25">
      <c r="A1545" t="s">
        <v>4397</v>
      </c>
      <c r="B1545">
        <v>1</v>
      </c>
      <c r="C1545" t="s">
        <v>4406</v>
      </c>
      <c r="D1545" t="s">
        <v>4454</v>
      </c>
    </row>
    <row r="1546" spans="1:4" x14ac:dyDescent="0.25">
      <c r="A1546" t="s">
        <v>4398</v>
      </c>
      <c r="B1546">
        <v>64</v>
      </c>
      <c r="C1546" t="s">
        <v>4462</v>
      </c>
      <c r="D1546" t="s">
        <v>4793</v>
      </c>
    </row>
    <row r="1547" spans="1:4" x14ac:dyDescent="0.25">
      <c r="A1547" t="s">
        <v>4399</v>
      </c>
      <c r="B1547">
        <v>5</v>
      </c>
      <c r="C1547" t="s">
        <v>4472</v>
      </c>
      <c r="D1547" t="s">
        <v>4834</v>
      </c>
    </row>
    <row r="1548" spans="1:4" x14ac:dyDescent="0.25">
      <c r="A1548" t="s">
        <v>1296</v>
      </c>
      <c r="B1548">
        <v>138</v>
      </c>
      <c r="C1548" t="s">
        <v>4953</v>
      </c>
      <c r="D1548" t="s">
        <v>5402</v>
      </c>
    </row>
    <row r="1550" spans="1:4" x14ac:dyDescent="0.25">
      <c r="A1550" t="s">
        <v>6347</v>
      </c>
    </row>
    <row r="1551" spans="1:4" x14ac:dyDescent="0.25">
      <c r="A1551" t="s">
        <v>2615</v>
      </c>
      <c r="B1551" t="s">
        <v>4394</v>
      </c>
      <c r="C1551" t="s">
        <v>109</v>
      </c>
      <c r="D1551" t="s">
        <v>192</v>
      </c>
    </row>
    <row r="1552" spans="1:4" x14ac:dyDescent="0.25">
      <c r="A1552" t="s">
        <v>5057</v>
      </c>
      <c r="B1552">
        <v>81</v>
      </c>
      <c r="C1552" t="s">
        <v>4425</v>
      </c>
      <c r="D1552" t="s">
        <v>5444</v>
      </c>
    </row>
    <row r="1553" spans="1:4" x14ac:dyDescent="0.25">
      <c r="A1553" t="s">
        <v>5060</v>
      </c>
      <c r="B1553">
        <v>55</v>
      </c>
      <c r="C1553" t="s">
        <v>4492</v>
      </c>
      <c r="D1553" t="s">
        <v>4767</v>
      </c>
    </row>
    <row r="1554" spans="1:4" x14ac:dyDescent="0.25">
      <c r="A1554" t="s">
        <v>5061</v>
      </c>
      <c r="B1554">
        <v>2</v>
      </c>
      <c r="C1554" t="s">
        <v>4468</v>
      </c>
      <c r="D1554" t="s">
        <v>4468</v>
      </c>
    </row>
    <row r="1555" spans="1:4" x14ac:dyDescent="0.25">
      <c r="A1555" t="s">
        <v>1296</v>
      </c>
      <c r="B1555">
        <v>138</v>
      </c>
      <c r="C1555" t="s">
        <v>4953</v>
      </c>
      <c r="D1555" t="s">
        <v>5402</v>
      </c>
    </row>
    <row r="1557" spans="1:4" x14ac:dyDescent="0.25">
      <c r="A1557" t="s">
        <v>6348</v>
      </c>
    </row>
    <row r="1558" spans="1:4" x14ac:dyDescent="0.25">
      <c r="A1558" t="s">
        <v>2617</v>
      </c>
      <c r="B1558" t="s">
        <v>4394</v>
      </c>
      <c r="C1558" t="s">
        <v>109</v>
      </c>
      <c r="D1558" t="s">
        <v>192</v>
      </c>
    </row>
    <row r="1559" spans="1:4" x14ac:dyDescent="0.25">
      <c r="A1559" t="s">
        <v>109</v>
      </c>
      <c r="B1559">
        <v>5</v>
      </c>
      <c r="C1559" t="s">
        <v>4472</v>
      </c>
      <c r="D1559" t="s">
        <v>4834</v>
      </c>
    </row>
    <row r="1560" spans="1:4" x14ac:dyDescent="0.25">
      <c r="A1560" t="s">
        <v>192</v>
      </c>
      <c r="B1560">
        <v>133</v>
      </c>
      <c r="C1560" t="s">
        <v>4524</v>
      </c>
      <c r="D1560" t="s">
        <v>4973</v>
      </c>
    </row>
    <row r="1561" spans="1:4" x14ac:dyDescent="0.25">
      <c r="A1561" t="s">
        <v>1296</v>
      </c>
      <c r="B1561">
        <v>138</v>
      </c>
      <c r="C1561" t="s">
        <v>4953</v>
      </c>
      <c r="D1561" t="s">
        <v>5402</v>
      </c>
    </row>
    <row r="1563" spans="1:4" x14ac:dyDescent="0.25">
      <c r="A1563" t="s">
        <v>6349</v>
      </c>
    </row>
    <row r="1564" spans="1:4" x14ac:dyDescent="0.25">
      <c r="A1564" t="s">
        <v>2643</v>
      </c>
      <c r="B1564" t="s">
        <v>4394</v>
      </c>
      <c r="C1564" t="s">
        <v>109</v>
      </c>
      <c r="D1564" t="s">
        <v>192</v>
      </c>
    </row>
    <row r="1565" spans="1:4" x14ac:dyDescent="0.25">
      <c r="A1565" t="s">
        <v>1307</v>
      </c>
      <c r="B1565">
        <v>94</v>
      </c>
      <c r="C1565" t="s">
        <v>4525</v>
      </c>
      <c r="D1565" t="s">
        <v>5077</v>
      </c>
    </row>
    <row r="1566" spans="1:4" x14ac:dyDescent="0.25">
      <c r="A1566" t="s">
        <v>1319</v>
      </c>
      <c r="B1566">
        <v>44</v>
      </c>
      <c r="C1566" t="s">
        <v>4689</v>
      </c>
      <c r="D1566" t="s">
        <v>5445</v>
      </c>
    </row>
    <row r="1567" spans="1:4" x14ac:dyDescent="0.25">
      <c r="A1567" t="s">
        <v>1296</v>
      </c>
      <c r="B1567">
        <v>138</v>
      </c>
      <c r="C1567" t="s">
        <v>4953</v>
      </c>
      <c r="D1567" t="s">
        <v>5402</v>
      </c>
    </row>
    <row r="1569" spans="1:4" x14ac:dyDescent="0.25">
      <c r="A1569" t="s">
        <v>6350</v>
      </c>
    </row>
    <row r="1570" spans="1:4" x14ac:dyDescent="0.25">
      <c r="A1570" t="s">
        <v>2641</v>
      </c>
      <c r="B1570" t="s">
        <v>4394</v>
      </c>
      <c r="C1570" t="s">
        <v>109</v>
      </c>
      <c r="D1570" t="s">
        <v>192</v>
      </c>
    </row>
    <row r="1571" spans="1:4" x14ac:dyDescent="0.25">
      <c r="A1571" t="s">
        <v>4875</v>
      </c>
      <c r="B1571">
        <v>2</v>
      </c>
      <c r="C1571">
        <v>0</v>
      </c>
      <c r="D1571">
        <v>2</v>
      </c>
    </row>
    <row r="1572" spans="1:4" x14ac:dyDescent="0.25">
      <c r="A1572" t="s">
        <v>4732</v>
      </c>
      <c r="B1572">
        <v>4</v>
      </c>
      <c r="C1572">
        <v>4</v>
      </c>
      <c r="D1572">
        <v>0</v>
      </c>
    </row>
    <row r="1573" spans="1:4" x14ac:dyDescent="0.25">
      <c r="A1573" t="s">
        <v>4876</v>
      </c>
      <c r="B1573">
        <v>32</v>
      </c>
      <c r="C1573">
        <v>6</v>
      </c>
      <c r="D1573">
        <v>26</v>
      </c>
    </row>
    <row r="1574" spans="1:4" x14ac:dyDescent="0.25">
      <c r="A1574" t="s">
        <v>4877</v>
      </c>
      <c r="B1574">
        <v>2</v>
      </c>
      <c r="C1574">
        <v>2</v>
      </c>
      <c r="D1574">
        <v>0</v>
      </c>
    </row>
    <row r="1575" spans="1:4" x14ac:dyDescent="0.25">
      <c r="A1575" t="s">
        <v>4878</v>
      </c>
      <c r="B1575">
        <v>5</v>
      </c>
      <c r="C1575">
        <v>0</v>
      </c>
      <c r="D1575">
        <v>5</v>
      </c>
    </row>
    <row r="1576" spans="1:4" x14ac:dyDescent="0.25">
      <c r="A1576" t="s">
        <v>30</v>
      </c>
      <c r="B1576">
        <v>3</v>
      </c>
      <c r="C1576">
        <v>3</v>
      </c>
      <c r="D1576">
        <v>0</v>
      </c>
    </row>
    <row r="1577" spans="1:4" x14ac:dyDescent="0.25">
      <c r="A1577" t="s">
        <v>4879</v>
      </c>
      <c r="B1577">
        <v>88</v>
      </c>
      <c r="C1577">
        <v>14</v>
      </c>
      <c r="D1577">
        <v>74</v>
      </c>
    </row>
    <row r="1578" spans="1:4" x14ac:dyDescent="0.25">
      <c r="A1578" t="s">
        <v>4880</v>
      </c>
      <c r="B1578">
        <v>2</v>
      </c>
      <c r="C1578">
        <v>0</v>
      </c>
      <c r="D1578">
        <v>2</v>
      </c>
    </row>
    <row r="1579" spans="1:4" x14ac:dyDescent="0.25">
      <c r="A1579" t="s">
        <v>1296</v>
      </c>
      <c r="B1579">
        <v>138</v>
      </c>
      <c r="C1579">
        <v>29</v>
      </c>
      <c r="D1579">
        <v>109</v>
      </c>
    </row>
    <row r="1581" spans="1:4" x14ac:dyDescent="0.25">
      <c r="A1581" t="s">
        <v>6351</v>
      </c>
    </row>
    <row r="1582" spans="1:4" x14ac:dyDescent="0.25">
      <c r="A1582" t="s">
        <v>903</v>
      </c>
      <c r="B1582" t="s">
        <v>4394</v>
      </c>
      <c r="C1582" t="s">
        <v>109</v>
      </c>
      <c r="D1582" t="s">
        <v>192</v>
      </c>
    </row>
    <row r="1583" spans="1:4" x14ac:dyDescent="0.25">
      <c r="A1583" t="s">
        <v>70</v>
      </c>
      <c r="B1583">
        <v>37</v>
      </c>
      <c r="C1583" t="s">
        <v>4553</v>
      </c>
      <c r="D1583" t="s">
        <v>5300</v>
      </c>
    </row>
    <row r="1584" spans="1:4" x14ac:dyDescent="0.25">
      <c r="A1584" t="s">
        <v>71</v>
      </c>
      <c r="B1584">
        <v>101</v>
      </c>
      <c r="C1584" t="s">
        <v>4944</v>
      </c>
      <c r="D1584" t="s">
        <v>4984</v>
      </c>
    </row>
    <row r="1585" spans="1:17" x14ac:dyDescent="0.25">
      <c r="A1585" t="s">
        <v>1296</v>
      </c>
      <c r="B1585">
        <v>138</v>
      </c>
      <c r="C1585" t="s">
        <v>4953</v>
      </c>
      <c r="D1585" t="s">
        <v>5402</v>
      </c>
    </row>
    <row r="1587" spans="1:17" x14ac:dyDescent="0.25">
      <c r="A1587" t="s">
        <v>6352</v>
      </c>
    </row>
    <row r="1588" spans="1:17" x14ac:dyDescent="0.25">
      <c r="A1588" t="s">
        <v>2842</v>
      </c>
      <c r="B1588" t="s">
        <v>4394</v>
      </c>
      <c r="C1588" t="s">
        <v>4732</v>
      </c>
      <c r="D1588" t="s">
        <v>4736</v>
      </c>
      <c r="E1588" t="s">
        <v>5446</v>
      </c>
      <c r="F1588" t="s">
        <v>4737</v>
      </c>
      <c r="G1588" t="s">
        <v>5447</v>
      </c>
      <c r="H1588" t="s">
        <v>5448</v>
      </c>
      <c r="I1588" t="s">
        <v>5449</v>
      </c>
      <c r="J1588" t="s">
        <v>5450</v>
      </c>
      <c r="K1588" t="s">
        <v>5451</v>
      </c>
      <c r="L1588" t="s">
        <v>5452</v>
      </c>
      <c r="M1588" t="s">
        <v>5453</v>
      </c>
      <c r="N1588" t="s">
        <v>5454</v>
      </c>
      <c r="O1588" t="s">
        <v>5455</v>
      </c>
      <c r="P1588" t="s">
        <v>5456</v>
      </c>
      <c r="Q1588" t="s">
        <v>5457</v>
      </c>
    </row>
    <row r="1589" spans="1:17" x14ac:dyDescent="0.25">
      <c r="A1589" t="s">
        <v>5549</v>
      </c>
      <c r="B1589">
        <v>52</v>
      </c>
      <c r="C1589" t="s">
        <v>4406</v>
      </c>
      <c r="D1589" t="s">
        <v>4720</v>
      </c>
      <c r="E1589" t="s">
        <v>4403</v>
      </c>
      <c r="F1589" t="s">
        <v>4406</v>
      </c>
      <c r="G1589" t="s">
        <v>4406</v>
      </c>
      <c r="H1589" t="s">
        <v>4406</v>
      </c>
      <c r="I1589" t="s">
        <v>4406</v>
      </c>
      <c r="J1589" t="s">
        <v>4592</v>
      </c>
      <c r="K1589" t="s">
        <v>4952</v>
      </c>
      <c r="L1589" t="s">
        <v>4406</v>
      </c>
      <c r="M1589" t="s">
        <v>4614</v>
      </c>
      <c r="N1589" t="s">
        <v>4756</v>
      </c>
      <c r="O1589" t="s">
        <v>4494</v>
      </c>
      <c r="P1589" t="s">
        <v>4952</v>
      </c>
      <c r="Q1589" t="s">
        <v>4705</v>
      </c>
    </row>
    <row r="1590" spans="1:17" x14ac:dyDescent="0.25">
      <c r="A1590" t="s">
        <v>1397</v>
      </c>
      <c r="B1590">
        <v>42</v>
      </c>
      <c r="C1590" t="s">
        <v>4703</v>
      </c>
      <c r="D1590" t="s">
        <v>4556</v>
      </c>
      <c r="E1590" t="s">
        <v>4749</v>
      </c>
      <c r="F1590" t="s">
        <v>4406</v>
      </c>
      <c r="G1590" t="s">
        <v>4749</v>
      </c>
      <c r="H1590" t="s">
        <v>4406</v>
      </c>
      <c r="I1590" t="s">
        <v>4406</v>
      </c>
      <c r="J1590" t="s">
        <v>4596</v>
      </c>
      <c r="K1590" t="s">
        <v>4406</v>
      </c>
      <c r="L1590" t="s">
        <v>4406</v>
      </c>
      <c r="M1590" t="s">
        <v>4675</v>
      </c>
      <c r="N1590" t="s">
        <v>4596</v>
      </c>
      <c r="O1590" t="s">
        <v>4406</v>
      </c>
      <c r="P1590" t="s">
        <v>4406</v>
      </c>
      <c r="Q1590" t="s">
        <v>4449</v>
      </c>
    </row>
    <row r="1591" spans="1:17" x14ac:dyDescent="0.25">
      <c r="A1591" t="s">
        <v>1296</v>
      </c>
      <c r="B1591">
        <v>94</v>
      </c>
      <c r="C1591" t="s">
        <v>4640</v>
      </c>
      <c r="D1591" t="s">
        <v>4706</v>
      </c>
      <c r="E1591" t="s">
        <v>4958</v>
      </c>
      <c r="F1591" t="s">
        <v>4406</v>
      </c>
      <c r="G1591" t="s">
        <v>4673</v>
      </c>
      <c r="H1591" t="s">
        <v>4406</v>
      </c>
      <c r="I1591" t="s">
        <v>4406</v>
      </c>
      <c r="J1591" t="s">
        <v>4855</v>
      </c>
      <c r="K1591" t="s">
        <v>4825</v>
      </c>
      <c r="L1591" t="s">
        <v>4406</v>
      </c>
      <c r="M1591" t="s">
        <v>4470</v>
      </c>
      <c r="N1591" t="s">
        <v>4423</v>
      </c>
      <c r="O1591" t="s">
        <v>4958</v>
      </c>
      <c r="P1591" t="s">
        <v>4825</v>
      </c>
      <c r="Q1591" t="s">
        <v>5054</v>
      </c>
    </row>
    <row r="1593" spans="1:17" x14ac:dyDescent="0.25">
      <c r="A1593" t="s">
        <v>6353</v>
      </c>
    </row>
    <row r="1594" spans="1:17" x14ac:dyDescent="0.25">
      <c r="A1594" t="s">
        <v>995</v>
      </c>
      <c r="B1594" t="s">
        <v>4394</v>
      </c>
      <c r="C1594" t="s">
        <v>4732</v>
      </c>
      <c r="D1594" t="s">
        <v>4736</v>
      </c>
      <c r="E1594" t="s">
        <v>5446</v>
      </c>
      <c r="F1594" t="s">
        <v>4737</v>
      </c>
      <c r="G1594" t="s">
        <v>5447</v>
      </c>
      <c r="H1594" t="s">
        <v>5448</v>
      </c>
      <c r="I1594" t="s">
        <v>5449</v>
      </c>
      <c r="J1594" t="s">
        <v>5450</v>
      </c>
      <c r="K1594" t="s">
        <v>5451</v>
      </c>
      <c r="L1594" t="s">
        <v>5452</v>
      </c>
      <c r="M1594" t="s">
        <v>5453</v>
      </c>
      <c r="N1594" t="s">
        <v>5454</v>
      </c>
      <c r="O1594" t="s">
        <v>5455</v>
      </c>
      <c r="P1594" t="s">
        <v>5456</v>
      </c>
      <c r="Q1594" t="s">
        <v>5457</v>
      </c>
    </row>
    <row r="1595" spans="1:17" x14ac:dyDescent="0.25">
      <c r="A1595" t="s">
        <v>1338</v>
      </c>
      <c r="B1595">
        <v>33</v>
      </c>
      <c r="C1595">
        <v>2</v>
      </c>
      <c r="D1595">
        <v>2</v>
      </c>
      <c r="E1595">
        <v>2</v>
      </c>
      <c r="F1595">
        <v>0</v>
      </c>
      <c r="G1595">
        <v>0</v>
      </c>
      <c r="H1595">
        <v>0</v>
      </c>
      <c r="I1595">
        <v>0</v>
      </c>
      <c r="J1595">
        <v>16</v>
      </c>
      <c r="K1595">
        <v>1</v>
      </c>
      <c r="L1595">
        <v>0</v>
      </c>
      <c r="M1595">
        <v>5</v>
      </c>
      <c r="N1595">
        <v>2</v>
      </c>
      <c r="O1595">
        <v>2</v>
      </c>
      <c r="P1595">
        <v>0</v>
      </c>
      <c r="Q1595">
        <v>6</v>
      </c>
    </row>
    <row r="1596" spans="1:17" x14ac:dyDescent="0.25">
      <c r="A1596" t="s">
        <v>1370</v>
      </c>
      <c r="B1596">
        <v>5</v>
      </c>
      <c r="C1596">
        <v>0</v>
      </c>
      <c r="D1596">
        <v>2</v>
      </c>
      <c r="E1596">
        <v>0</v>
      </c>
      <c r="F1596">
        <v>0</v>
      </c>
      <c r="G1596">
        <v>0</v>
      </c>
      <c r="H1596">
        <v>0</v>
      </c>
      <c r="I1596">
        <v>0</v>
      </c>
      <c r="J1596">
        <v>0</v>
      </c>
      <c r="K1596">
        <v>0</v>
      </c>
      <c r="L1596">
        <v>0</v>
      </c>
      <c r="M1596">
        <v>1</v>
      </c>
      <c r="N1596">
        <v>0</v>
      </c>
      <c r="O1596">
        <v>0</v>
      </c>
      <c r="P1596">
        <v>0</v>
      </c>
      <c r="Q1596">
        <v>2</v>
      </c>
    </row>
    <row r="1597" spans="1:17" x14ac:dyDescent="0.25">
      <c r="A1597" t="s">
        <v>1439</v>
      </c>
      <c r="B1597">
        <v>3</v>
      </c>
      <c r="C1597">
        <v>0</v>
      </c>
      <c r="D1597">
        <v>0</v>
      </c>
      <c r="E1597">
        <v>0</v>
      </c>
      <c r="F1597">
        <v>0</v>
      </c>
      <c r="G1597">
        <v>0</v>
      </c>
      <c r="H1597">
        <v>0</v>
      </c>
      <c r="I1597">
        <v>0</v>
      </c>
      <c r="J1597">
        <v>0</v>
      </c>
      <c r="K1597">
        <v>0</v>
      </c>
      <c r="L1597">
        <v>0</v>
      </c>
      <c r="M1597">
        <v>0</v>
      </c>
      <c r="N1597">
        <v>1</v>
      </c>
      <c r="O1597">
        <v>0</v>
      </c>
      <c r="P1597">
        <v>0</v>
      </c>
      <c r="Q1597">
        <v>3</v>
      </c>
    </row>
    <row r="1598" spans="1:17" x14ac:dyDescent="0.25">
      <c r="A1598" t="s">
        <v>1476</v>
      </c>
      <c r="B1598">
        <v>3</v>
      </c>
      <c r="C1598">
        <v>0</v>
      </c>
      <c r="D1598">
        <v>1</v>
      </c>
      <c r="E1598">
        <v>0</v>
      </c>
      <c r="F1598">
        <v>0</v>
      </c>
      <c r="G1598">
        <v>0</v>
      </c>
      <c r="H1598">
        <v>0</v>
      </c>
      <c r="I1598">
        <v>0</v>
      </c>
      <c r="J1598">
        <v>1</v>
      </c>
      <c r="K1598">
        <v>0</v>
      </c>
      <c r="L1598">
        <v>0</v>
      </c>
      <c r="M1598">
        <v>0</v>
      </c>
      <c r="N1598">
        <v>1</v>
      </c>
      <c r="O1598">
        <v>0</v>
      </c>
      <c r="P1598">
        <v>0</v>
      </c>
      <c r="Q1598">
        <v>0</v>
      </c>
    </row>
    <row r="1599" spans="1:17" x14ac:dyDescent="0.25">
      <c r="A1599" t="s">
        <v>5476</v>
      </c>
      <c r="B1599">
        <v>1</v>
      </c>
      <c r="C1599">
        <v>0</v>
      </c>
      <c r="D1599">
        <v>0</v>
      </c>
      <c r="E1599">
        <v>0</v>
      </c>
      <c r="F1599">
        <v>0</v>
      </c>
      <c r="G1599">
        <v>0</v>
      </c>
      <c r="H1599">
        <v>0</v>
      </c>
      <c r="I1599">
        <v>0</v>
      </c>
      <c r="J1599">
        <v>0</v>
      </c>
      <c r="K1599">
        <v>0</v>
      </c>
      <c r="L1599">
        <v>0</v>
      </c>
      <c r="M1599">
        <v>0</v>
      </c>
      <c r="N1599">
        <v>0</v>
      </c>
      <c r="O1599">
        <v>0</v>
      </c>
      <c r="P1599">
        <v>0</v>
      </c>
      <c r="Q1599">
        <v>1</v>
      </c>
    </row>
    <row r="1600" spans="1:17" x14ac:dyDescent="0.25">
      <c r="A1600" t="s">
        <v>1399</v>
      </c>
      <c r="B1600">
        <v>19</v>
      </c>
      <c r="C1600">
        <v>2</v>
      </c>
      <c r="D1600">
        <v>3</v>
      </c>
      <c r="E1600">
        <v>1</v>
      </c>
      <c r="F1600">
        <v>0</v>
      </c>
      <c r="G1600">
        <v>2</v>
      </c>
      <c r="H1600">
        <v>0</v>
      </c>
      <c r="I1600">
        <v>0</v>
      </c>
      <c r="J1600">
        <v>6</v>
      </c>
      <c r="K1600">
        <v>0</v>
      </c>
      <c r="L1600">
        <v>0</v>
      </c>
      <c r="M1600">
        <v>2</v>
      </c>
      <c r="N1600">
        <v>3</v>
      </c>
      <c r="O1600">
        <v>1</v>
      </c>
      <c r="P1600">
        <v>1</v>
      </c>
      <c r="Q1600">
        <v>4</v>
      </c>
    </row>
    <row r="1601" spans="1:17" x14ac:dyDescent="0.25">
      <c r="A1601" t="s">
        <v>1415</v>
      </c>
      <c r="B1601">
        <v>30</v>
      </c>
      <c r="C1601">
        <v>1</v>
      </c>
      <c r="D1601">
        <v>4</v>
      </c>
      <c r="E1601">
        <v>4</v>
      </c>
      <c r="F1601">
        <v>0</v>
      </c>
      <c r="G1601">
        <v>0</v>
      </c>
      <c r="H1601">
        <v>0</v>
      </c>
      <c r="I1601">
        <v>0</v>
      </c>
      <c r="J1601">
        <v>15</v>
      </c>
      <c r="K1601">
        <v>0</v>
      </c>
      <c r="L1601">
        <v>0</v>
      </c>
      <c r="M1601">
        <v>5</v>
      </c>
      <c r="N1601">
        <v>3</v>
      </c>
      <c r="O1601">
        <v>4</v>
      </c>
      <c r="P1601">
        <v>0</v>
      </c>
      <c r="Q1601">
        <v>3</v>
      </c>
    </row>
    <row r="1602" spans="1:17" x14ac:dyDescent="0.25">
      <c r="A1602" t="s">
        <v>1296</v>
      </c>
      <c r="B1602">
        <v>94</v>
      </c>
      <c r="C1602">
        <v>5</v>
      </c>
      <c r="D1602">
        <v>12</v>
      </c>
      <c r="E1602">
        <v>7</v>
      </c>
      <c r="F1602">
        <v>0</v>
      </c>
      <c r="G1602">
        <v>2</v>
      </c>
      <c r="H1602">
        <v>0</v>
      </c>
      <c r="I1602">
        <v>0</v>
      </c>
      <c r="J1602">
        <v>38</v>
      </c>
      <c r="K1602">
        <v>1</v>
      </c>
      <c r="L1602">
        <v>0</v>
      </c>
      <c r="M1602">
        <v>13</v>
      </c>
      <c r="N1602">
        <v>10</v>
      </c>
      <c r="O1602">
        <v>7</v>
      </c>
      <c r="P1602">
        <v>1</v>
      </c>
      <c r="Q1602">
        <v>19</v>
      </c>
    </row>
    <row r="1604" spans="1:17" x14ac:dyDescent="0.25">
      <c r="A1604" t="s">
        <v>6354</v>
      </c>
    </row>
    <row r="1605" spans="1:17" x14ac:dyDescent="0.25">
      <c r="A1605" t="s">
        <v>998</v>
      </c>
      <c r="B1605" t="s">
        <v>4394</v>
      </c>
      <c r="C1605" t="s">
        <v>4732</v>
      </c>
      <c r="D1605" t="s">
        <v>4736</v>
      </c>
      <c r="E1605" t="s">
        <v>5446</v>
      </c>
      <c r="F1605" t="s">
        <v>4737</v>
      </c>
      <c r="G1605" t="s">
        <v>5447</v>
      </c>
      <c r="H1605" t="s">
        <v>5448</v>
      </c>
      <c r="I1605" t="s">
        <v>5449</v>
      </c>
      <c r="J1605" t="s">
        <v>5450</v>
      </c>
      <c r="K1605" t="s">
        <v>5451</v>
      </c>
      <c r="L1605" t="s">
        <v>5452</v>
      </c>
      <c r="M1605" t="s">
        <v>5453</v>
      </c>
      <c r="N1605" t="s">
        <v>5454</v>
      </c>
      <c r="O1605" t="s">
        <v>5455</v>
      </c>
      <c r="P1605" t="s">
        <v>5456</v>
      </c>
      <c r="Q1605" t="s">
        <v>5457</v>
      </c>
    </row>
    <row r="1606" spans="1:17" x14ac:dyDescent="0.25">
      <c r="A1606" t="s">
        <v>109</v>
      </c>
      <c r="B1606">
        <v>88</v>
      </c>
      <c r="C1606" t="s">
        <v>4654</v>
      </c>
      <c r="D1606" t="s">
        <v>4479</v>
      </c>
      <c r="E1606" t="s">
        <v>4709</v>
      </c>
      <c r="F1606" t="s">
        <v>4406</v>
      </c>
      <c r="G1606" t="s">
        <v>4753</v>
      </c>
      <c r="H1606" t="s">
        <v>4406</v>
      </c>
      <c r="I1606" t="s">
        <v>4406</v>
      </c>
      <c r="J1606" t="s">
        <v>4661</v>
      </c>
      <c r="K1606" t="s">
        <v>4825</v>
      </c>
      <c r="L1606" t="s">
        <v>4406</v>
      </c>
      <c r="M1606" t="s">
        <v>4464</v>
      </c>
      <c r="N1606" t="s">
        <v>4925</v>
      </c>
      <c r="O1606" t="s">
        <v>4709</v>
      </c>
      <c r="P1606" t="s">
        <v>4825</v>
      </c>
      <c r="Q1606" t="s">
        <v>5003</v>
      </c>
    </row>
    <row r="1607" spans="1:17" x14ac:dyDescent="0.25">
      <c r="A1607" t="s">
        <v>192</v>
      </c>
      <c r="B1607">
        <v>6</v>
      </c>
      <c r="C1607" t="s">
        <v>4406</v>
      </c>
      <c r="D1607" t="s">
        <v>4596</v>
      </c>
      <c r="E1607" t="s">
        <v>4406</v>
      </c>
      <c r="F1607" t="s">
        <v>4406</v>
      </c>
      <c r="G1607" t="s">
        <v>4406</v>
      </c>
      <c r="H1607" t="s">
        <v>4406</v>
      </c>
      <c r="I1607" t="s">
        <v>4406</v>
      </c>
      <c r="J1607" t="s">
        <v>4596</v>
      </c>
      <c r="K1607" t="s">
        <v>4406</v>
      </c>
      <c r="L1607" t="s">
        <v>4406</v>
      </c>
      <c r="M1607" t="s">
        <v>4406</v>
      </c>
      <c r="N1607" t="s">
        <v>4596</v>
      </c>
      <c r="O1607" t="s">
        <v>4406</v>
      </c>
      <c r="P1607" t="s">
        <v>4406</v>
      </c>
      <c r="Q1607" t="s">
        <v>4469</v>
      </c>
    </row>
    <row r="1608" spans="1:17" x14ac:dyDescent="0.25">
      <c r="A1608" t="s">
        <v>1296</v>
      </c>
      <c r="B1608">
        <v>94</v>
      </c>
      <c r="C1608" t="s">
        <v>4640</v>
      </c>
      <c r="D1608" t="s">
        <v>4706</v>
      </c>
      <c r="E1608" t="s">
        <v>4958</v>
      </c>
      <c r="F1608" t="s">
        <v>4406</v>
      </c>
      <c r="G1608" t="s">
        <v>4673</v>
      </c>
      <c r="H1608" t="s">
        <v>4406</v>
      </c>
      <c r="I1608" t="s">
        <v>4406</v>
      </c>
      <c r="J1608" t="s">
        <v>4855</v>
      </c>
      <c r="K1608" t="s">
        <v>4825</v>
      </c>
      <c r="L1608" t="s">
        <v>4406</v>
      </c>
      <c r="M1608" t="s">
        <v>4470</v>
      </c>
      <c r="N1608" t="s">
        <v>4423</v>
      </c>
      <c r="O1608" t="s">
        <v>4958</v>
      </c>
      <c r="P1608" t="s">
        <v>4825</v>
      </c>
      <c r="Q1608" t="s">
        <v>5054</v>
      </c>
    </row>
    <row r="1610" spans="1:17" x14ac:dyDescent="0.25">
      <c r="A1610" t="s">
        <v>6355</v>
      </c>
    </row>
    <row r="1611" spans="1:17" x14ac:dyDescent="0.25">
      <c r="A1611" t="s">
        <v>1295</v>
      </c>
      <c r="B1611" t="s">
        <v>4394</v>
      </c>
      <c r="C1611" t="s">
        <v>4732</v>
      </c>
      <c r="D1611" t="s">
        <v>4736</v>
      </c>
      <c r="E1611" t="s">
        <v>5446</v>
      </c>
      <c r="F1611" t="s">
        <v>4737</v>
      </c>
      <c r="G1611" t="s">
        <v>5447</v>
      </c>
      <c r="H1611" t="s">
        <v>5448</v>
      </c>
      <c r="I1611" t="s">
        <v>5449</v>
      </c>
      <c r="J1611" t="s">
        <v>5450</v>
      </c>
      <c r="K1611" t="s">
        <v>5451</v>
      </c>
      <c r="L1611" t="s">
        <v>5452</v>
      </c>
      <c r="M1611" t="s">
        <v>5453</v>
      </c>
      <c r="N1611" t="s">
        <v>5454</v>
      </c>
      <c r="O1611" t="s">
        <v>5455</v>
      </c>
      <c r="P1611" t="s">
        <v>5456</v>
      </c>
      <c r="Q1611" t="s">
        <v>5457</v>
      </c>
    </row>
    <row r="1612" spans="1:17" x14ac:dyDescent="0.25">
      <c r="A1612" t="s">
        <v>4395</v>
      </c>
      <c r="B1612">
        <v>14</v>
      </c>
      <c r="C1612" t="s">
        <v>4522</v>
      </c>
      <c r="D1612" t="s">
        <v>4604</v>
      </c>
      <c r="E1612" t="s">
        <v>4406</v>
      </c>
      <c r="F1612" t="s">
        <v>4406</v>
      </c>
      <c r="G1612" t="s">
        <v>4406</v>
      </c>
      <c r="H1612" t="s">
        <v>4406</v>
      </c>
      <c r="I1612" t="s">
        <v>4406</v>
      </c>
      <c r="J1612" t="s">
        <v>4604</v>
      </c>
      <c r="K1612" t="s">
        <v>4406</v>
      </c>
      <c r="L1612" t="s">
        <v>4406</v>
      </c>
      <c r="M1612" t="s">
        <v>4522</v>
      </c>
      <c r="N1612" t="s">
        <v>4522</v>
      </c>
      <c r="O1612" t="s">
        <v>4400</v>
      </c>
      <c r="P1612" t="s">
        <v>4406</v>
      </c>
      <c r="Q1612" t="s">
        <v>4450</v>
      </c>
    </row>
    <row r="1613" spans="1:17" x14ac:dyDescent="0.25">
      <c r="A1613" t="s">
        <v>4396</v>
      </c>
      <c r="B1613">
        <v>28</v>
      </c>
      <c r="C1613" t="s">
        <v>4406</v>
      </c>
      <c r="D1613" t="s">
        <v>4406</v>
      </c>
      <c r="E1613" t="s">
        <v>4987</v>
      </c>
      <c r="F1613" t="s">
        <v>4406</v>
      </c>
      <c r="G1613" t="s">
        <v>4406</v>
      </c>
      <c r="H1613" t="s">
        <v>4406</v>
      </c>
      <c r="I1613" t="s">
        <v>4406</v>
      </c>
      <c r="J1613" t="s">
        <v>4700</v>
      </c>
      <c r="K1613" t="s">
        <v>4406</v>
      </c>
      <c r="L1613" t="s">
        <v>4406</v>
      </c>
      <c r="M1613" t="s">
        <v>4987</v>
      </c>
      <c r="N1613" t="s">
        <v>4987</v>
      </c>
      <c r="O1613" t="s">
        <v>4604</v>
      </c>
      <c r="P1613" t="s">
        <v>4406</v>
      </c>
      <c r="Q1613" t="s">
        <v>4400</v>
      </c>
    </row>
    <row r="1614" spans="1:17" x14ac:dyDescent="0.25">
      <c r="A1614" t="s">
        <v>4398</v>
      </c>
      <c r="B1614">
        <v>48</v>
      </c>
      <c r="C1614" t="s">
        <v>4917</v>
      </c>
      <c r="D1614" t="s">
        <v>5116</v>
      </c>
      <c r="E1614" t="s">
        <v>4943</v>
      </c>
      <c r="F1614" t="s">
        <v>4406</v>
      </c>
      <c r="G1614" t="s">
        <v>4751</v>
      </c>
      <c r="H1614" t="s">
        <v>4406</v>
      </c>
      <c r="I1614" t="s">
        <v>4406</v>
      </c>
      <c r="J1614" t="s">
        <v>4832</v>
      </c>
      <c r="K1614" t="s">
        <v>4406</v>
      </c>
      <c r="L1614" t="s">
        <v>4406</v>
      </c>
      <c r="M1614" t="s">
        <v>5116</v>
      </c>
      <c r="N1614" t="s">
        <v>4943</v>
      </c>
      <c r="O1614" t="s">
        <v>4406</v>
      </c>
      <c r="P1614" t="s">
        <v>4673</v>
      </c>
      <c r="Q1614" t="s">
        <v>4462</v>
      </c>
    </row>
    <row r="1615" spans="1:17" x14ac:dyDescent="0.25">
      <c r="A1615" t="s">
        <v>4399</v>
      </c>
      <c r="B1615">
        <v>4</v>
      </c>
      <c r="C1615" t="s">
        <v>4406</v>
      </c>
      <c r="D1615" t="s">
        <v>4468</v>
      </c>
      <c r="E1615" t="s">
        <v>4406</v>
      </c>
      <c r="F1615" t="s">
        <v>4406</v>
      </c>
      <c r="G1615" t="s">
        <v>4406</v>
      </c>
      <c r="H1615" t="s">
        <v>4406</v>
      </c>
      <c r="I1615" t="s">
        <v>4406</v>
      </c>
      <c r="J1615" t="s">
        <v>4406</v>
      </c>
      <c r="K1615" t="s">
        <v>4462</v>
      </c>
      <c r="L1615" t="s">
        <v>4406</v>
      </c>
      <c r="M1615" t="s">
        <v>4462</v>
      </c>
      <c r="N1615" t="s">
        <v>4462</v>
      </c>
      <c r="O1615" t="s">
        <v>4406</v>
      </c>
      <c r="P1615" t="s">
        <v>4406</v>
      </c>
      <c r="Q1615" t="s">
        <v>4462</v>
      </c>
    </row>
    <row r="1616" spans="1:17" x14ac:dyDescent="0.25">
      <c r="A1616" t="s">
        <v>1296</v>
      </c>
      <c r="B1616">
        <v>94</v>
      </c>
      <c r="C1616" t="s">
        <v>4640</v>
      </c>
      <c r="D1616" t="s">
        <v>4706</v>
      </c>
      <c r="E1616" t="s">
        <v>4958</v>
      </c>
      <c r="F1616" t="s">
        <v>4406</v>
      </c>
      <c r="G1616" t="s">
        <v>4673</v>
      </c>
      <c r="H1616" t="s">
        <v>4406</v>
      </c>
      <c r="I1616" t="s">
        <v>4406</v>
      </c>
      <c r="J1616" t="s">
        <v>4855</v>
      </c>
      <c r="K1616" t="s">
        <v>4825</v>
      </c>
      <c r="L1616" t="s">
        <v>4406</v>
      </c>
      <c r="M1616" t="s">
        <v>4470</v>
      </c>
      <c r="N1616" t="s">
        <v>4423</v>
      </c>
      <c r="O1616" t="s">
        <v>4958</v>
      </c>
      <c r="P1616" t="s">
        <v>4825</v>
      </c>
      <c r="Q1616" t="s">
        <v>5054</v>
      </c>
    </row>
    <row r="1618" spans="1:17" x14ac:dyDescent="0.25">
      <c r="A1618" t="s">
        <v>6356</v>
      </c>
    </row>
    <row r="1619" spans="1:17" x14ac:dyDescent="0.25">
      <c r="A1619" t="s">
        <v>1006</v>
      </c>
      <c r="B1619" t="s">
        <v>4394</v>
      </c>
      <c r="C1619" t="s">
        <v>4732</v>
      </c>
      <c r="D1619" t="s">
        <v>4736</v>
      </c>
      <c r="E1619" t="s">
        <v>5446</v>
      </c>
      <c r="F1619" t="s">
        <v>4737</v>
      </c>
      <c r="G1619" t="s">
        <v>5447</v>
      </c>
      <c r="H1619" t="s">
        <v>5448</v>
      </c>
      <c r="I1619" t="s">
        <v>5449</v>
      </c>
      <c r="J1619" t="s">
        <v>5450</v>
      </c>
      <c r="K1619" t="s">
        <v>5451</v>
      </c>
      <c r="L1619" t="s">
        <v>5452</v>
      </c>
      <c r="M1619" t="s">
        <v>5453</v>
      </c>
      <c r="N1619" t="s">
        <v>5454</v>
      </c>
      <c r="O1619" t="s">
        <v>5455</v>
      </c>
      <c r="P1619" t="s">
        <v>5456</v>
      </c>
      <c r="Q1619" t="s">
        <v>5457</v>
      </c>
    </row>
    <row r="1620" spans="1:17" x14ac:dyDescent="0.25">
      <c r="A1620" t="s">
        <v>1371</v>
      </c>
      <c r="B1620">
        <v>17</v>
      </c>
      <c r="C1620">
        <v>1</v>
      </c>
      <c r="D1620">
        <v>3</v>
      </c>
      <c r="E1620">
        <v>0</v>
      </c>
      <c r="F1620">
        <v>0</v>
      </c>
      <c r="G1620">
        <v>0</v>
      </c>
      <c r="H1620">
        <v>0</v>
      </c>
      <c r="I1620">
        <v>0</v>
      </c>
      <c r="J1620">
        <v>10</v>
      </c>
      <c r="K1620">
        <v>0</v>
      </c>
      <c r="L1620">
        <v>0</v>
      </c>
      <c r="M1620">
        <v>4</v>
      </c>
      <c r="N1620">
        <v>0</v>
      </c>
      <c r="O1620">
        <v>0</v>
      </c>
      <c r="P1620">
        <v>0</v>
      </c>
      <c r="Q1620">
        <v>2</v>
      </c>
    </row>
    <row r="1621" spans="1:17" x14ac:dyDescent="0.25">
      <c r="A1621" t="s">
        <v>1452</v>
      </c>
      <c r="B1621">
        <v>9</v>
      </c>
      <c r="C1621">
        <v>0</v>
      </c>
      <c r="D1621">
        <v>0</v>
      </c>
      <c r="E1621">
        <v>2</v>
      </c>
      <c r="F1621">
        <v>0</v>
      </c>
      <c r="G1621">
        <v>0</v>
      </c>
      <c r="H1621">
        <v>0</v>
      </c>
      <c r="I1621">
        <v>0</v>
      </c>
      <c r="J1621">
        <v>5</v>
      </c>
      <c r="K1621">
        <v>0</v>
      </c>
      <c r="L1621">
        <v>0</v>
      </c>
      <c r="M1621">
        <v>1</v>
      </c>
      <c r="N1621">
        <v>0</v>
      </c>
      <c r="O1621">
        <v>0</v>
      </c>
      <c r="P1621">
        <v>0</v>
      </c>
      <c r="Q1621">
        <v>1</v>
      </c>
    </row>
    <row r="1622" spans="1:17" x14ac:dyDescent="0.25">
      <c r="A1622" t="s">
        <v>5560</v>
      </c>
      <c r="B1622">
        <v>9</v>
      </c>
      <c r="C1622">
        <v>1</v>
      </c>
      <c r="D1622">
        <v>4</v>
      </c>
      <c r="E1622">
        <v>0</v>
      </c>
      <c r="F1622">
        <v>0</v>
      </c>
      <c r="G1622">
        <v>0</v>
      </c>
      <c r="H1622">
        <v>0</v>
      </c>
      <c r="I1622">
        <v>0</v>
      </c>
      <c r="J1622">
        <v>0</v>
      </c>
      <c r="K1622">
        <v>0</v>
      </c>
      <c r="L1622">
        <v>0</v>
      </c>
      <c r="M1622">
        <v>0</v>
      </c>
      <c r="N1622">
        <v>1</v>
      </c>
      <c r="O1622">
        <v>0</v>
      </c>
      <c r="P1622">
        <v>0</v>
      </c>
      <c r="Q1622">
        <v>4</v>
      </c>
    </row>
    <row r="1623" spans="1:17" x14ac:dyDescent="0.25">
      <c r="A1623" t="s">
        <v>1424</v>
      </c>
      <c r="B1623">
        <v>22</v>
      </c>
      <c r="C1623">
        <v>1</v>
      </c>
      <c r="D1623">
        <v>3</v>
      </c>
      <c r="E1623">
        <v>1</v>
      </c>
      <c r="F1623">
        <v>0</v>
      </c>
      <c r="G1623">
        <v>1</v>
      </c>
      <c r="H1623">
        <v>0</v>
      </c>
      <c r="I1623">
        <v>0</v>
      </c>
      <c r="J1623">
        <v>7</v>
      </c>
      <c r="K1623">
        <v>1</v>
      </c>
      <c r="L1623">
        <v>0</v>
      </c>
      <c r="M1623">
        <v>4</v>
      </c>
      <c r="N1623">
        <v>5</v>
      </c>
      <c r="O1623">
        <v>0</v>
      </c>
      <c r="P1623">
        <v>1</v>
      </c>
      <c r="Q1623">
        <v>6</v>
      </c>
    </row>
    <row r="1624" spans="1:17" x14ac:dyDescent="0.25">
      <c r="A1624" t="s">
        <v>1340</v>
      </c>
      <c r="B1624">
        <v>17</v>
      </c>
      <c r="C1624">
        <v>0</v>
      </c>
      <c r="D1624">
        <v>0</v>
      </c>
      <c r="E1624">
        <v>1</v>
      </c>
      <c r="F1624">
        <v>0</v>
      </c>
      <c r="G1624">
        <v>1</v>
      </c>
      <c r="H1624">
        <v>0</v>
      </c>
      <c r="I1624">
        <v>0</v>
      </c>
      <c r="J1624">
        <v>7</v>
      </c>
      <c r="K1624">
        <v>0</v>
      </c>
      <c r="L1624">
        <v>0</v>
      </c>
      <c r="M1624">
        <v>1</v>
      </c>
      <c r="N1624">
        <v>1</v>
      </c>
      <c r="O1624">
        <v>2</v>
      </c>
      <c r="P1624">
        <v>0</v>
      </c>
      <c r="Q1624">
        <v>5</v>
      </c>
    </row>
    <row r="1625" spans="1:17" x14ac:dyDescent="0.25">
      <c r="A1625" t="s">
        <v>5561</v>
      </c>
      <c r="B1625">
        <v>6</v>
      </c>
      <c r="C1625">
        <v>2</v>
      </c>
      <c r="D1625">
        <v>2</v>
      </c>
      <c r="E1625">
        <v>0</v>
      </c>
      <c r="F1625">
        <v>0</v>
      </c>
      <c r="G1625">
        <v>0</v>
      </c>
      <c r="H1625">
        <v>0</v>
      </c>
      <c r="I1625">
        <v>0</v>
      </c>
      <c r="J1625">
        <v>1</v>
      </c>
      <c r="K1625">
        <v>0</v>
      </c>
      <c r="L1625">
        <v>0</v>
      </c>
      <c r="M1625">
        <v>1</v>
      </c>
      <c r="N1625">
        <v>2</v>
      </c>
      <c r="O1625">
        <v>0</v>
      </c>
      <c r="P1625">
        <v>0</v>
      </c>
      <c r="Q1625">
        <v>0</v>
      </c>
    </row>
    <row r="1626" spans="1:17" x14ac:dyDescent="0.25">
      <c r="A1626" t="s">
        <v>1416</v>
      </c>
      <c r="B1626">
        <v>14</v>
      </c>
      <c r="C1626">
        <v>0</v>
      </c>
      <c r="D1626">
        <v>0</v>
      </c>
      <c r="E1626">
        <v>3</v>
      </c>
      <c r="F1626">
        <v>0</v>
      </c>
      <c r="G1626">
        <v>0</v>
      </c>
      <c r="H1626">
        <v>0</v>
      </c>
      <c r="I1626">
        <v>0</v>
      </c>
      <c r="J1626">
        <v>8</v>
      </c>
      <c r="K1626">
        <v>0</v>
      </c>
      <c r="L1626">
        <v>0</v>
      </c>
      <c r="M1626">
        <v>2</v>
      </c>
      <c r="N1626">
        <v>1</v>
      </c>
      <c r="O1626">
        <v>5</v>
      </c>
      <c r="P1626">
        <v>0</v>
      </c>
      <c r="Q1626">
        <v>1</v>
      </c>
    </row>
    <row r="1627" spans="1:17" x14ac:dyDescent="0.25">
      <c r="A1627" t="s">
        <v>1296</v>
      </c>
      <c r="B1627">
        <v>94</v>
      </c>
      <c r="C1627">
        <v>5</v>
      </c>
      <c r="D1627">
        <v>12</v>
      </c>
      <c r="E1627">
        <v>7</v>
      </c>
      <c r="F1627">
        <v>0</v>
      </c>
      <c r="G1627">
        <v>2</v>
      </c>
      <c r="H1627">
        <v>0</v>
      </c>
      <c r="I1627">
        <v>0</v>
      </c>
      <c r="J1627">
        <v>38</v>
      </c>
      <c r="K1627">
        <v>1</v>
      </c>
      <c r="L1627">
        <v>0</v>
      </c>
      <c r="M1627">
        <v>13</v>
      </c>
      <c r="N1627">
        <v>10</v>
      </c>
      <c r="O1627">
        <v>7</v>
      </c>
      <c r="P1627">
        <v>1</v>
      </c>
      <c r="Q1627">
        <v>19</v>
      </c>
    </row>
    <row r="1629" spans="1:17" x14ac:dyDescent="0.25">
      <c r="A1629" t="s">
        <v>6357</v>
      </c>
    </row>
    <row r="1630" spans="1:17" x14ac:dyDescent="0.25">
      <c r="A1630" t="s">
        <v>2615</v>
      </c>
      <c r="B1630" t="s">
        <v>4394</v>
      </c>
      <c r="C1630" t="s">
        <v>4732</v>
      </c>
      <c r="D1630" t="s">
        <v>4736</v>
      </c>
      <c r="E1630" t="s">
        <v>5446</v>
      </c>
      <c r="F1630" t="s">
        <v>4737</v>
      </c>
      <c r="G1630" t="s">
        <v>5447</v>
      </c>
      <c r="H1630" t="s">
        <v>5448</v>
      </c>
      <c r="I1630" t="s">
        <v>5449</v>
      </c>
      <c r="J1630" t="s">
        <v>5450</v>
      </c>
      <c r="K1630" t="s">
        <v>5451</v>
      </c>
      <c r="L1630" t="s">
        <v>5452</v>
      </c>
      <c r="M1630" t="s">
        <v>5453</v>
      </c>
      <c r="N1630" t="s">
        <v>5454</v>
      </c>
      <c r="O1630" t="s">
        <v>5455</v>
      </c>
      <c r="P1630" t="s">
        <v>5456</v>
      </c>
      <c r="Q1630" t="s">
        <v>5457</v>
      </c>
    </row>
    <row r="1631" spans="1:17" x14ac:dyDescent="0.25">
      <c r="A1631" t="s">
        <v>5057</v>
      </c>
      <c r="B1631">
        <v>51</v>
      </c>
      <c r="C1631" t="s">
        <v>4406</v>
      </c>
      <c r="D1631" t="s">
        <v>4699</v>
      </c>
      <c r="E1631" t="s">
        <v>5170</v>
      </c>
      <c r="F1631" t="s">
        <v>4406</v>
      </c>
      <c r="G1631" t="s">
        <v>4406</v>
      </c>
      <c r="H1631" t="s">
        <v>4406</v>
      </c>
      <c r="I1631" t="s">
        <v>4406</v>
      </c>
      <c r="J1631" t="s">
        <v>4930</v>
      </c>
      <c r="K1631" t="s">
        <v>4744</v>
      </c>
      <c r="L1631" t="s">
        <v>4406</v>
      </c>
      <c r="M1631" t="s">
        <v>4616</v>
      </c>
      <c r="N1631" t="s">
        <v>4699</v>
      </c>
      <c r="O1631" t="s">
        <v>4671</v>
      </c>
      <c r="P1631" t="s">
        <v>4744</v>
      </c>
      <c r="Q1631" t="s">
        <v>4692</v>
      </c>
    </row>
    <row r="1632" spans="1:17" x14ac:dyDescent="0.25">
      <c r="A1632" t="s">
        <v>5060</v>
      </c>
      <c r="B1632">
        <v>42</v>
      </c>
      <c r="C1632" t="s">
        <v>4675</v>
      </c>
      <c r="D1632" t="s">
        <v>4604</v>
      </c>
      <c r="E1632" t="s">
        <v>4749</v>
      </c>
      <c r="F1632" t="s">
        <v>4406</v>
      </c>
      <c r="G1632" t="s">
        <v>4749</v>
      </c>
      <c r="H1632" t="s">
        <v>4406</v>
      </c>
      <c r="I1632" t="s">
        <v>4406</v>
      </c>
      <c r="J1632" t="s">
        <v>4596</v>
      </c>
      <c r="K1632" t="s">
        <v>4406</v>
      </c>
      <c r="L1632" t="s">
        <v>4406</v>
      </c>
      <c r="M1632" t="s">
        <v>4675</v>
      </c>
      <c r="N1632" t="s">
        <v>4596</v>
      </c>
      <c r="O1632" t="s">
        <v>4406</v>
      </c>
      <c r="P1632" t="s">
        <v>4406</v>
      </c>
      <c r="Q1632" t="s">
        <v>4941</v>
      </c>
    </row>
    <row r="1633" spans="1:17" x14ac:dyDescent="0.25">
      <c r="A1633" t="s">
        <v>5061</v>
      </c>
      <c r="B1633">
        <v>1</v>
      </c>
      <c r="C1633" t="s">
        <v>4454</v>
      </c>
      <c r="D1633" t="s">
        <v>4406</v>
      </c>
      <c r="E1633" t="s">
        <v>4406</v>
      </c>
      <c r="F1633" t="s">
        <v>4406</v>
      </c>
      <c r="G1633" t="s">
        <v>4406</v>
      </c>
      <c r="H1633" t="s">
        <v>4406</v>
      </c>
      <c r="I1633" t="s">
        <v>4406</v>
      </c>
      <c r="J1633" t="s">
        <v>4406</v>
      </c>
      <c r="K1633" t="s">
        <v>4406</v>
      </c>
      <c r="L1633" t="s">
        <v>4406</v>
      </c>
      <c r="M1633" t="s">
        <v>4406</v>
      </c>
      <c r="N1633" t="s">
        <v>4406</v>
      </c>
      <c r="O1633" t="s">
        <v>4406</v>
      </c>
      <c r="P1633" t="s">
        <v>4406</v>
      </c>
      <c r="Q1633" t="s">
        <v>4406</v>
      </c>
    </row>
    <row r="1634" spans="1:17" x14ac:dyDescent="0.25">
      <c r="A1634" t="s">
        <v>1296</v>
      </c>
      <c r="B1634">
        <v>94</v>
      </c>
      <c r="C1634" t="s">
        <v>4640</v>
      </c>
      <c r="D1634" t="s">
        <v>4706</v>
      </c>
      <c r="E1634" t="s">
        <v>4958</v>
      </c>
      <c r="F1634" t="s">
        <v>4406</v>
      </c>
      <c r="G1634" t="s">
        <v>4673</v>
      </c>
      <c r="H1634" t="s">
        <v>4406</v>
      </c>
      <c r="I1634" t="s">
        <v>4406</v>
      </c>
      <c r="J1634" t="s">
        <v>4855</v>
      </c>
      <c r="K1634" t="s">
        <v>4825</v>
      </c>
      <c r="L1634" t="s">
        <v>4406</v>
      </c>
      <c r="M1634" t="s">
        <v>4470</v>
      </c>
      <c r="N1634" t="s">
        <v>4423</v>
      </c>
      <c r="O1634" t="s">
        <v>4958</v>
      </c>
      <c r="P1634" t="s">
        <v>4825</v>
      </c>
      <c r="Q1634" t="s">
        <v>5054</v>
      </c>
    </row>
    <row r="1636" spans="1:17" x14ac:dyDescent="0.25">
      <c r="A1636" t="s">
        <v>6358</v>
      </c>
    </row>
    <row r="1637" spans="1:17" x14ac:dyDescent="0.25">
      <c r="A1637" t="s">
        <v>2617</v>
      </c>
      <c r="B1637" t="s">
        <v>4394</v>
      </c>
      <c r="C1637" t="s">
        <v>4732</v>
      </c>
      <c r="D1637" t="s">
        <v>4736</v>
      </c>
      <c r="E1637" t="s">
        <v>5446</v>
      </c>
      <c r="F1637" t="s">
        <v>4737</v>
      </c>
      <c r="G1637" t="s">
        <v>5447</v>
      </c>
      <c r="H1637" t="s">
        <v>5448</v>
      </c>
      <c r="I1637" t="s">
        <v>5449</v>
      </c>
      <c r="J1637" t="s">
        <v>5450</v>
      </c>
      <c r="K1637" t="s">
        <v>5451</v>
      </c>
      <c r="L1637" t="s">
        <v>5452</v>
      </c>
      <c r="M1637" t="s">
        <v>5453</v>
      </c>
      <c r="N1637" t="s">
        <v>5454</v>
      </c>
      <c r="O1637" t="s">
        <v>5455</v>
      </c>
      <c r="P1637" t="s">
        <v>5456</v>
      </c>
      <c r="Q1637" t="s">
        <v>5457</v>
      </c>
    </row>
    <row r="1638" spans="1:17" x14ac:dyDescent="0.25">
      <c r="A1638" t="s">
        <v>109</v>
      </c>
      <c r="B1638">
        <v>5</v>
      </c>
      <c r="C1638" t="s">
        <v>4406</v>
      </c>
      <c r="D1638" t="s">
        <v>4406</v>
      </c>
      <c r="E1638" t="s">
        <v>4406</v>
      </c>
      <c r="F1638" t="s">
        <v>4406</v>
      </c>
      <c r="G1638" t="s">
        <v>4406</v>
      </c>
      <c r="H1638" t="s">
        <v>4406</v>
      </c>
      <c r="I1638" t="s">
        <v>4406</v>
      </c>
      <c r="J1638" t="s">
        <v>4834</v>
      </c>
      <c r="K1638" t="s">
        <v>4406</v>
      </c>
      <c r="L1638" t="s">
        <v>4406</v>
      </c>
      <c r="M1638" t="s">
        <v>4406</v>
      </c>
      <c r="N1638" t="s">
        <v>4406</v>
      </c>
      <c r="O1638" t="s">
        <v>4406</v>
      </c>
      <c r="P1638" t="s">
        <v>4406</v>
      </c>
      <c r="Q1638" t="s">
        <v>4472</v>
      </c>
    </row>
    <row r="1639" spans="1:17" x14ac:dyDescent="0.25">
      <c r="A1639" t="s">
        <v>192</v>
      </c>
      <c r="B1639">
        <v>89</v>
      </c>
      <c r="C1639" t="s">
        <v>4571</v>
      </c>
      <c r="D1639" t="s">
        <v>4494</v>
      </c>
      <c r="E1639" t="s">
        <v>4714</v>
      </c>
      <c r="F1639" t="s">
        <v>4406</v>
      </c>
      <c r="G1639" t="s">
        <v>4581</v>
      </c>
      <c r="H1639" t="s">
        <v>4406</v>
      </c>
      <c r="I1639" t="s">
        <v>4406</v>
      </c>
      <c r="J1639" t="s">
        <v>4534</v>
      </c>
      <c r="K1639" t="s">
        <v>4825</v>
      </c>
      <c r="L1639" t="s">
        <v>4406</v>
      </c>
      <c r="M1639" t="s">
        <v>5116</v>
      </c>
      <c r="N1639" t="s">
        <v>5064</v>
      </c>
      <c r="O1639" t="s">
        <v>4714</v>
      </c>
      <c r="P1639" t="s">
        <v>4825</v>
      </c>
      <c r="Q1639" t="s">
        <v>5054</v>
      </c>
    </row>
    <row r="1640" spans="1:17" x14ac:dyDescent="0.25">
      <c r="A1640" t="s">
        <v>1296</v>
      </c>
      <c r="B1640">
        <v>94</v>
      </c>
      <c r="C1640" t="s">
        <v>4640</v>
      </c>
      <c r="D1640" t="s">
        <v>4706</v>
      </c>
      <c r="E1640" t="s">
        <v>4958</v>
      </c>
      <c r="F1640" t="s">
        <v>4406</v>
      </c>
      <c r="G1640" t="s">
        <v>4673</v>
      </c>
      <c r="H1640" t="s">
        <v>4406</v>
      </c>
      <c r="I1640" t="s">
        <v>4406</v>
      </c>
      <c r="J1640" t="s">
        <v>4855</v>
      </c>
      <c r="K1640" t="s">
        <v>4825</v>
      </c>
      <c r="L1640" t="s">
        <v>4406</v>
      </c>
      <c r="M1640" t="s">
        <v>4470</v>
      </c>
      <c r="N1640" t="s">
        <v>4423</v>
      </c>
      <c r="O1640" t="s">
        <v>4958</v>
      </c>
      <c r="P1640" t="s">
        <v>4825</v>
      </c>
      <c r="Q1640" t="s">
        <v>5054</v>
      </c>
    </row>
    <row r="1642" spans="1:17" x14ac:dyDescent="0.25">
      <c r="A1642" t="s">
        <v>6359</v>
      </c>
    </row>
    <row r="1643" spans="1:17" x14ac:dyDescent="0.25">
      <c r="A1643" t="s">
        <v>5521</v>
      </c>
      <c r="B1643" t="s">
        <v>4394</v>
      </c>
      <c r="C1643" t="s">
        <v>4732</v>
      </c>
      <c r="D1643" t="s">
        <v>4736</v>
      </c>
      <c r="E1643" t="s">
        <v>5446</v>
      </c>
      <c r="F1643" t="s">
        <v>4737</v>
      </c>
      <c r="G1643" t="s">
        <v>5447</v>
      </c>
      <c r="H1643" t="s">
        <v>5448</v>
      </c>
      <c r="I1643" t="s">
        <v>5449</v>
      </c>
      <c r="J1643" t="s">
        <v>5450</v>
      </c>
      <c r="K1643" t="s">
        <v>5451</v>
      </c>
      <c r="L1643" t="s">
        <v>5452</v>
      </c>
      <c r="M1643" t="s">
        <v>5453</v>
      </c>
      <c r="N1643" t="s">
        <v>5454</v>
      </c>
      <c r="O1643" t="s">
        <v>5455</v>
      </c>
      <c r="P1643" t="s">
        <v>5456</v>
      </c>
      <c r="Q1643" t="s">
        <v>5457</v>
      </c>
    </row>
    <row r="1644" spans="1:17" x14ac:dyDescent="0.25">
      <c r="A1644" t="s">
        <v>4438</v>
      </c>
      <c r="B1644">
        <v>35</v>
      </c>
      <c r="C1644" t="s">
        <v>4654</v>
      </c>
      <c r="D1644" t="s">
        <v>4653</v>
      </c>
      <c r="E1644" t="s">
        <v>4654</v>
      </c>
      <c r="F1644" t="s">
        <v>4406</v>
      </c>
      <c r="G1644" t="s">
        <v>4697</v>
      </c>
      <c r="H1644" t="s">
        <v>4406</v>
      </c>
      <c r="I1644" t="s">
        <v>4406</v>
      </c>
      <c r="J1644" t="s">
        <v>5115</v>
      </c>
      <c r="K1644" t="s">
        <v>4697</v>
      </c>
      <c r="L1644" t="s">
        <v>4406</v>
      </c>
      <c r="M1644" t="s">
        <v>4870</v>
      </c>
      <c r="N1644" t="s">
        <v>4850</v>
      </c>
      <c r="O1644" t="s">
        <v>4850</v>
      </c>
      <c r="P1644" t="s">
        <v>4697</v>
      </c>
      <c r="Q1644" t="s">
        <v>4637</v>
      </c>
    </row>
    <row r="1645" spans="1:17" x14ac:dyDescent="0.25">
      <c r="A1645" t="s">
        <v>4439</v>
      </c>
      <c r="B1645">
        <v>18</v>
      </c>
      <c r="C1645" t="s">
        <v>4571</v>
      </c>
      <c r="D1645" t="s">
        <v>4731</v>
      </c>
      <c r="E1645" t="s">
        <v>4676</v>
      </c>
      <c r="F1645" t="s">
        <v>4406</v>
      </c>
      <c r="G1645" t="s">
        <v>4406</v>
      </c>
      <c r="H1645" t="s">
        <v>4406</v>
      </c>
      <c r="I1645" t="s">
        <v>4406</v>
      </c>
      <c r="J1645" t="s">
        <v>4465</v>
      </c>
      <c r="K1645" t="s">
        <v>4406</v>
      </c>
      <c r="L1645" t="s">
        <v>4406</v>
      </c>
      <c r="M1645" t="s">
        <v>4571</v>
      </c>
      <c r="N1645" t="s">
        <v>4596</v>
      </c>
      <c r="O1645" t="s">
        <v>4571</v>
      </c>
      <c r="P1645" t="s">
        <v>4406</v>
      </c>
      <c r="Q1645" t="s">
        <v>4731</v>
      </c>
    </row>
    <row r="1646" spans="1:17" x14ac:dyDescent="0.25">
      <c r="A1646" t="s">
        <v>1400</v>
      </c>
      <c r="B1646">
        <v>4</v>
      </c>
      <c r="C1646" t="s">
        <v>4406</v>
      </c>
      <c r="D1646" t="s">
        <v>4462</v>
      </c>
      <c r="E1646" t="s">
        <v>4406</v>
      </c>
      <c r="F1646" t="s">
        <v>4406</v>
      </c>
      <c r="G1646" t="s">
        <v>4406</v>
      </c>
      <c r="H1646" t="s">
        <v>4406</v>
      </c>
      <c r="I1646" t="s">
        <v>4406</v>
      </c>
      <c r="J1646" t="s">
        <v>4406</v>
      </c>
      <c r="K1646" t="s">
        <v>4406</v>
      </c>
      <c r="L1646" t="s">
        <v>4406</v>
      </c>
      <c r="M1646" t="s">
        <v>4462</v>
      </c>
      <c r="N1646" t="s">
        <v>4468</v>
      </c>
      <c r="O1646" t="s">
        <v>4406</v>
      </c>
      <c r="P1646" t="s">
        <v>4406</v>
      </c>
      <c r="Q1646" t="s">
        <v>4793</v>
      </c>
    </row>
    <row r="1647" spans="1:17" x14ac:dyDescent="0.25">
      <c r="A1647" t="s">
        <v>1340</v>
      </c>
      <c r="B1647">
        <v>18</v>
      </c>
      <c r="C1647" t="s">
        <v>4406</v>
      </c>
      <c r="D1647" t="s">
        <v>4406</v>
      </c>
      <c r="E1647" t="s">
        <v>4571</v>
      </c>
      <c r="F1647" t="s">
        <v>4406</v>
      </c>
      <c r="G1647" t="s">
        <v>4571</v>
      </c>
      <c r="H1647" t="s">
        <v>4406</v>
      </c>
      <c r="I1647" t="s">
        <v>4406</v>
      </c>
      <c r="J1647" t="s">
        <v>4570</v>
      </c>
      <c r="K1647" t="s">
        <v>4406</v>
      </c>
      <c r="L1647" t="s">
        <v>4406</v>
      </c>
      <c r="M1647" t="s">
        <v>4676</v>
      </c>
      <c r="N1647" t="s">
        <v>4571</v>
      </c>
      <c r="O1647" t="s">
        <v>4676</v>
      </c>
      <c r="P1647" t="s">
        <v>4406</v>
      </c>
      <c r="Q1647" t="s">
        <v>4482</v>
      </c>
    </row>
    <row r="1648" spans="1:17" x14ac:dyDescent="0.25">
      <c r="A1648" t="s">
        <v>1426</v>
      </c>
      <c r="B1648">
        <v>1</v>
      </c>
      <c r="C1648" t="s">
        <v>4454</v>
      </c>
      <c r="D1648" t="s">
        <v>4406</v>
      </c>
      <c r="E1648" t="s">
        <v>4406</v>
      </c>
      <c r="F1648" t="s">
        <v>4406</v>
      </c>
      <c r="G1648" t="s">
        <v>4406</v>
      </c>
      <c r="H1648" t="s">
        <v>4406</v>
      </c>
      <c r="I1648" t="s">
        <v>4406</v>
      </c>
      <c r="J1648" t="s">
        <v>4406</v>
      </c>
      <c r="K1648" t="s">
        <v>4406</v>
      </c>
      <c r="L1648" t="s">
        <v>4406</v>
      </c>
      <c r="M1648" t="s">
        <v>4406</v>
      </c>
      <c r="N1648" t="s">
        <v>4406</v>
      </c>
      <c r="O1648" t="s">
        <v>4406</v>
      </c>
      <c r="P1648" t="s">
        <v>4406</v>
      </c>
      <c r="Q1648" t="s">
        <v>4406</v>
      </c>
    </row>
    <row r="1649" spans="1:17" x14ac:dyDescent="0.25">
      <c r="A1649" t="s">
        <v>1372</v>
      </c>
      <c r="B1649">
        <v>18</v>
      </c>
      <c r="C1649" t="s">
        <v>4571</v>
      </c>
      <c r="D1649" t="s">
        <v>4571</v>
      </c>
      <c r="E1649" t="s">
        <v>4676</v>
      </c>
      <c r="F1649" t="s">
        <v>4406</v>
      </c>
      <c r="G1649" t="s">
        <v>4406</v>
      </c>
      <c r="H1649" t="s">
        <v>4406</v>
      </c>
      <c r="I1649" t="s">
        <v>4406</v>
      </c>
      <c r="J1649" t="s">
        <v>5214</v>
      </c>
      <c r="K1649" t="s">
        <v>4406</v>
      </c>
      <c r="L1649" t="s">
        <v>4406</v>
      </c>
      <c r="M1649" t="s">
        <v>4571</v>
      </c>
      <c r="N1649" t="s">
        <v>4571</v>
      </c>
      <c r="O1649" t="s">
        <v>4571</v>
      </c>
      <c r="P1649" t="s">
        <v>4406</v>
      </c>
      <c r="Q1649" t="s">
        <v>4596</v>
      </c>
    </row>
    <row r="1650" spans="1:17" x14ac:dyDescent="0.25">
      <c r="A1650" t="s">
        <v>1296</v>
      </c>
      <c r="B1650">
        <v>94</v>
      </c>
      <c r="C1650" t="s">
        <v>4640</v>
      </c>
      <c r="D1650" t="s">
        <v>4706</v>
      </c>
      <c r="E1650" t="s">
        <v>4958</v>
      </c>
      <c r="F1650" t="s">
        <v>4406</v>
      </c>
      <c r="G1650" t="s">
        <v>4673</v>
      </c>
      <c r="H1650" t="s">
        <v>4406</v>
      </c>
      <c r="I1650" t="s">
        <v>4406</v>
      </c>
      <c r="J1650" t="s">
        <v>4855</v>
      </c>
      <c r="K1650" t="s">
        <v>4825</v>
      </c>
      <c r="L1650" t="s">
        <v>4406</v>
      </c>
      <c r="M1650" t="s">
        <v>4470</v>
      </c>
      <c r="N1650" t="s">
        <v>4423</v>
      </c>
      <c r="O1650" t="s">
        <v>4958</v>
      </c>
      <c r="P1650" t="s">
        <v>4825</v>
      </c>
      <c r="Q1650" t="s">
        <v>5054</v>
      </c>
    </row>
    <row r="1652" spans="1:17" x14ac:dyDescent="0.25">
      <c r="A1652" t="s">
        <v>6360</v>
      </c>
    </row>
    <row r="1653" spans="1:17" x14ac:dyDescent="0.25">
      <c r="A1653" t="s">
        <v>5518</v>
      </c>
      <c r="B1653" t="s">
        <v>4394</v>
      </c>
      <c r="C1653" t="s">
        <v>4732</v>
      </c>
      <c r="D1653" t="s">
        <v>4736</v>
      </c>
      <c r="E1653" t="s">
        <v>5446</v>
      </c>
      <c r="F1653" t="s">
        <v>4737</v>
      </c>
      <c r="G1653" t="s">
        <v>5447</v>
      </c>
      <c r="H1653" t="s">
        <v>5448</v>
      </c>
      <c r="I1653" t="s">
        <v>5449</v>
      </c>
      <c r="J1653" t="s">
        <v>5450</v>
      </c>
      <c r="K1653" t="s">
        <v>5451</v>
      </c>
      <c r="L1653" t="s">
        <v>5452</v>
      </c>
      <c r="M1653" t="s">
        <v>5453</v>
      </c>
      <c r="N1653" t="s">
        <v>5454</v>
      </c>
      <c r="O1653" t="s">
        <v>5455</v>
      </c>
      <c r="P1653" t="s">
        <v>5456</v>
      </c>
      <c r="Q1653" t="s">
        <v>5457</v>
      </c>
    </row>
    <row r="1654" spans="1:17" x14ac:dyDescent="0.25">
      <c r="A1654" t="s">
        <v>4438</v>
      </c>
      <c r="B1654">
        <v>41</v>
      </c>
      <c r="C1654" t="s">
        <v>5067</v>
      </c>
      <c r="D1654" t="s">
        <v>5116</v>
      </c>
      <c r="E1654" t="s">
        <v>5170</v>
      </c>
      <c r="F1654" t="s">
        <v>4406</v>
      </c>
      <c r="G1654" t="s">
        <v>4406</v>
      </c>
      <c r="H1654" t="s">
        <v>4406</v>
      </c>
      <c r="I1654" t="s">
        <v>4406</v>
      </c>
      <c r="J1654" t="s">
        <v>4502</v>
      </c>
      <c r="K1654" t="s">
        <v>4424</v>
      </c>
      <c r="L1654" t="s">
        <v>4406</v>
      </c>
      <c r="M1654" t="s">
        <v>4569</v>
      </c>
      <c r="N1654" t="s">
        <v>5067</v>
      </c>
      <c r="O1654" t="s">
        <v>5170</v>
      </c>
      <c r="P1654" t="s">
        <v>4424</v>
      </c>
      <c r="Q1654" t="s">
        <v>5206</v>
      </c>
    </row>
    <row r="1655" spans="1:17" x14ac:dyDescent="0.25">
      <c r="A1655" t="s">
        <v>4439</v>
      </c>
      <c r="B1655">
        <v>17</v>
      </c>
      <c r="C1655" t="s">
        <v>4699</v>
      </c>
      <c r="D1655" t="s">
        <v>4617</v>
      </c>
      <c r="E1655" t="s">
        <v>4617</v>
      </c>
      <c r="F1655" t="s">
        <v>4406</v>
      </c>
      <c r="G1655" t="s">
        <v>4699</v>
      </c>
      <c r="H1655" t="s">
        <v>4406</v>
      </c>
      <c r="I1655" t="s">
        <v>4406</v>
      </c>
      <c r="J1655" t="s">
        <v>4514</v>
      </c>
      <c r="K1655" t="s">
        <v>4406</v>
      </c>
      <c r="L1655" t="s">
        <v>4406</v>
      </c>
      <c r="M1655" t="s">
        <v>4617</v>
      </c>
      <c r="N1655" t="s">
        <v>4619</v>
      </c>
      <c r="O1655" t="s">
        <v>4406</v>
      </c>
      <c r="P1655" t="s">
        <v>4406</v>
      </c>
      <c r="Q1655" t="s">
        <v>4514</v>
      </c>
    </row>
    <row r="1656" spans="1:17" x14ac:dyDescent="0.25">
      <c r="A1656" t="s">
        <v>1400</v>
      </c>
      <c r="B1656">
        <v>4</v>
      </c>
      <c r="C1656" t="s">
        <v>4406</v>
      </c>
      <c r="D1656" t="s">
        <v>4468</v>
      </c>
      <c r="E1656" t="s">
        <v>4406</v>
      </c>
      <c r="F1656" t="s">
        <v>4406</v>
      </c>
      <c r="G1656" t="s">
        <v>4406</v>
      </c>
      <c r="H1656" t="s">
        <v>4406</v>
      </c>
      <c r="I1656" t="s">
        <v>4406</v>
      </c>
      <c r="J1656" t="s">
        <v>4406</v>
      </c>
      <c r="K1656" t="s">
        <v>4406</v>
      </c>
      <c r="L1656" t="s">
        <v>4406</v>
      </c>
      <c r="M1656" t="s">
        <v>4462</v>
      </c>
      <c r="N1656" t="s">
        <v>4468</v>
      </c>
      <c r="O1656" t="s">
        <v>4406</v>
      </c>
      <c r="P1656" t="s">
        <v>4406</v>
      </c>
      <c r="Q1656" t="s">
        <v>4468</v>
      </c>
    </row>
    <row r="1657" spans="1:17" x14ac:dyDescent="0.25">
      <c r="A1657" t="s">
        <v>1340</v>
      </c>
      <c r="B1657">
        <v>18</v>
      </c>
      <c r="C1657" t="s">
        <v>4406</v>
      </c>
      <c r="D1657" t="s">
        <v>4406</v>
      </c>
      <c r="E1657" t="s">
        <v>4571</v>
      </c>
      <c r="F1657" t="s">
        <v>4406</v>
      </c>
      <c r="G1657" t="s">
        <v>4571</v>
      </c>
      <c r="H1657" t="s">
        <v>4406</v>
      </c>
      <c r="I1657" t="s">
        <v>4406</v>
      </c>
      <c r="J1657" t="s">
        <v>4570</v>
      </c>
      <c r="K1657" t="s">
        <v>4406</v>
      </c>
      <c r="L1657" t="s">
        <v>4406</v>
      </c>
      <c r="M1657" t="s">
        <v>4676</v>
      </c>
      <c r="N1657" t="s">
        <v>4571</v>
      </c>
      <c r="O1657" t="s">
        <v>4676</v>
      </c>
      <c r="P1657" t="s">
        <v>4406</v>
      </c>
      <c r="Q1657" t="s">
        <v>4482</v>
      </c>
    </row>
    <row r="1658" spans="1:17" x14ac:dyDescent="0.25">
      <c r="A1658" t="s">
        <v>1372</v>
      </c>
      <c r="B1658">
        <v>14</v>
      </c>
      <c r="C1658" t="s">
        <v>4522</v>
      </c>
      <c r="D1658" t="s">
        <v>4522</v>
      </c>
      <c r="E1658" t="s">
        <v>4406</v>
      </c>
      <c r="F1658" t="s">
        <v>4406</v>
      </c>
      <c r="G1658" t="s">
        <v>4406</v>
      </c>
      <c r="H1658" t="s">
        <v>4406</v>
      </c>
      <c r="I1658" t="s">
        <v>4406</v>
      </c>
      <c r="J1658" t="s">
        <v>4449</v>
      </c>
      <c r="K1658" t="s">
        <v>4406</v>
      </c>
      <c r="L1658" t="s">
        <v>4406</v>
      </c>
      <c r="M1658" t="s">
        <v>4406</v>
      </c>
      <c r="N1658" t="s">
        <v>4400</v>
      </c>
      <c r="O1658" t="s">
        <v>4400</v>
      </c>
      <c r="P1658" t="s">
        <v>4406</v>
      </c>
      <c r="Q1658" t="s">
        <v>4450</v>
      </c>
    </row>
    <row r="1659" spans="1:17" x14ac:dyDescent="0.25">
      <c r="A1659" t="s">
        <v>1296</v>
      </c>
      <c r="B1659">
        <v>94</v>
      </c>
      <c r="C1659" t="s">
        <v>4640</v>
      </c>
      <c r="D1659" t="s">
        <v>4706</v>
      </c>
      <c r="E1659" t="s">
        <v>4958</v>
      </c>
      <c r="F1659" t="s">
        <v>4406</v>
      </c>
      <c r="G1659" t="s">
        <v>4673</v>
      </c>
      <c r="H1659" t="s">
        <v>4406</v>
      </c>
      <c r="I1659" t="s">
        <v>4406</v>
      </c>
      <c r="J1659" t="s">
        <v>4855</v>
      </c>
      <c r="K1659" t="s">
        <v>4825</v>
      </c>
      <c r="L1659" t="s">
        <v>4406</v>
      </c>
      <c r="M1659" t="s">
        <v>4470</v>
      </c>
      <c r="N1659" t="s">
        <v>4423</v>
      </c>
      <c r="O1659" t="s">
        <v>4958</v>
      </c>
      <c r="P1659" t="s">
        <v>4825</v>
      </c>
      <c r="Q1659" t="s">
        <v>5054</v>
      </c>
    </row>
    <row r="1661" spans="1:17" x14ac:dyDescent="0.25">
      <c r="A1661" t="s">
        <v>6361</v>
      </c>
    </row>
    <row r="1662" spans="1:17" x14ac:dyDescent="0.25">
      <c r="A1662" t="s">
        <v>1009</v>
      </c>
      <c r="B1662" t="s">
        <v>4394</v>
      </c>
      <c r="C1662" t="s">
        <v>4732</v>
      </c>
      <c r="D1662" t="s">
        <v>4736</v>
      </c>
      <c r="E1662" t="s">
        <v>5446</v>
      </c>
      <c r="F1662" t="s">
        <v>4737</v>
      </c>
      <c r="G1662" t="s">
        <v>5447</v>
      </c>
      <c r="H1662" t="s">
        <v>5448</v>
      </c>
      <c r="I1662" t="s">
        <v>5449</v>
      </c>
      <c r="J1662" t="s">
        <v>5450</v>
      </c>
      <c r="K1662" t="s">
        <v>5451</v>
      </c>
      <c r="L1662" t="s">
        <v>5452</v>
      </c>
      <c r="M1662" t="s">
        <v>5453</v>
      </c>
      <c r="N1662" t="s">
        <v>5454</v>
      </c>
      <c r="O1662" t="s">
        <v>5455</v>
      </c>
      <c r="P1662" t="s">
        <v>5456</v>
      </c>
      <c r="Q1662" t="s">
        <v>5457</v>
      </c>
    </row>
    <row r="1663" spans="1:17" x14ac:dyDescent="0.25">
      <c r="A1663" t="s">
        <v>4438</v>
      </c>
      <c r="B1663">
        <v>28</v>
      </c>
      <c r="C1663" t="s">
        <v>5076</v>
      </c>
      <c r="D1663" t="s">
        <v>4462</v>
      </c>
      <c r="E1663" t="s">
        <v>5076</v>
      </c>
      <c r="F1663" t="s">
        <v>4406</v>
      </c>
      <c r="G1663" t="s">
        <v>5076</v>
      </c>
      <c r="H1663" t="s">
        <v>4406</v>
      </c>
      <c r="I1663" t="s">
        <v>4406</v>
      </c>
      <c r="J1663" t="s">
        <v>4538</v>
      </c>
      <c r="K1663" t="s">
        <v>5076</v>
      </c>
      <c r="L1663" t="s">
        <v>4406</v>
      </c>
      <c r="M1663" t="s">
        <v>4462</v>
      </c>
      <c r="N1663" t="s">
        <v>4987</v>
      </c>
      <c r="O1663" t="s">
        <v>5076</v>
      </c>
      <c r="P1663" t="s">
        <v>5076</v>
      </c>
      <c r="Q1663" t="s">
        <v>4987</v>
      </c>
    </row>
    <row r="1664" spans="1:17" x14ac:dyDescent="0.25">
      <c r="A1664" t="s">
        <v>4439</v>
      </c>
      <c r="B1664">
        <v>13</v>
      </c>
      <c r="C1664" t="s">
        <v>4705</v>
      </c>
      <c r="D1664" t="s">
        <v>4566</v>
      </c>
      <c r="E1664" t="s">
        <v>4474</v>
      </c>
      <c r="F1664" t="s">
        <v>4406</v>
      </c>
      <c r="G1664" t="s">
        <v>4406</v>
      </c>
      <c r="H1664" t="s">
        <v>4406</v>
      </c>
      <c r="I1664" t="s">
        <v>4406</v>
      </c>
      <c r="J1664" t="s">
        <v>4567</v>
      </c>
      <c r="K1664" t="s">
        <v>4406</v>
      </c>
      <c r="L1664" t="s">
        <v>4406</v>
      </c>
      <c r="M1664" t="s">
        <v>4705</v>
      </c>
      <c r="N1664" t="s">
        <v>4474</v>
      </c>
      <c r="O1664" t="s">
        <v>4406</v>
      </c>
      <c r="P1664" t="s">
        <v>4406</v>
      </c>
      <c r="Q1664" t="s">
        <v>4566</v>
      </c>
    </row>
    <row r="1665" spans="1:17" x14ac:dyDescent="0.25">
      <c r="A1665" t="s">
        <v>1400</v>
      </c>
      <c r="B1665">
        <v>3</v>
      </c>
      <c r="C1665" t="s">
        <v>4406</v>
      </c>
      <c r="D1665" t="s">
        <v>4406</v>
      </c>
      <c r="E1665" t="s">
        <v>4406</v>
      </c>
      <c r="F1665" t="s">
        <v>4406</v>
      </c>
      <c r="G1665" t="s">
        <v>4406</v>
      </c>
      <c r="H1665" t="s">
        <v>4406</v>
      </c>
      <c r="I1665" t="s">
        <v>4406</v>
      </c>
      <c r="J1665" t="s">
        <v>4465</v>
      </c>
      <c r="K1665" t="s">
        <v>4406</v>
      </c>
      <c r="L1665" t="s">
        <v>4406</v>
      </c>
      <c r="M1665" t="s">
        <v>4406</v>
      </c>
      <c r="N1665" t="s">
        <v>4406</v>
      </c>
      <c r="O1665" t="s">
        <v>4465</v>
      </c>
      <c r="P1665" t="s">
        <v>4406</v>
      </c>
      <c r="Q1665" t="s">
        <v>4469</v>
      </c>
    </row>
    <row r="1666" spans="1:17" x14ac:dyDescent="0.25">
      <c r="A1666" t="s">
        <v>1340</v>
      </c>
      <c r="B1666">
        <v>17</v>
      </c>
      <c r="C1666" t="s">
        <v>4406</v>
      </c>
      <c r="D1666" t="s">
        <v>4406</v>
      </c>
      <c r="E1666" t="s">
        <v>4699</v>
      </c>
      <c r="F1666" t="s">
        <v>4406</v>
      </c>
      <c r="G1666" t="s">
        <v>4699</v>
      </c>
      <c r="H1666" t="s">
        <v>4406</v>
      </c>
      <c r="I1666" t="s">
        <v>4406</v>
      </c>
      <c r="J1666" t="s">
        <v>4871</v>
      </c>
      <c r="K1666" t="s">
        <v>4406</v>
      </c>
      <c r="L1666" t="s">
        <v>4406</v>
      </c>
      <c r="M1666" t="s">
        <v>4699</v>
      </c>
      <c r="N1666" t="s">
        <v>4699</v>
      </c>
      <c r="O1666" t="s">
        <v>4617</v>
      </c>
      <c r="P1666" t="s">
        <v>4406</v>
      </c>
      <c r="Q1666" t="s">
        <v>4514</v>
      </c>
    </row>
    <row r="1667" spans="1:17" x14ac:dyDescent="0.25">
      <c r="A1667" t="s">
        <v>1426</v>
      </c>
      <c r="B1667">
        <v>7</v>
      </c>
      <c r="C1667" t="s">
        <v>4522</v>
      </c>
      <c r="D1667" t="s">
        <v>4522</v>
      </c>
      <c r="E1667" t="s">
        <v>4406</v>
      </c>
      <c r="F1667" t="s">
        <v>4406</v>
      </c>
      <c r="G1667" t="s">
        <v>4406</v>
      </c>
      <c r="H1667" t="s">
        <v>4406</v>
      </c>
      <c r="I1667" t="s">
        <v>4406</v>
      </c>
      <c r="J1667" t="s">
        <v>4522</v>
      </c>
      <c r="K1667" t="s">
        <v>4406</v>
      </c>
      <c r="L1667" t="s">
        <v>4406</v>
      </c>
      <c r="M1667" t="s">
        <v>4522</v>
      </c>
      <c r="N1667" t="s">
        <v>4447</v>
      </c>
      <c r="O1667" t="s">
        <v>4406</v>
      </c>
      <c r="P1667" t="s">
        <v>4406</v>
      </c>
      <c r="Q1667" t="s">
        <v>4447</v>
      </c>
    </row>
    <row r="1668" spans="1:17" x14ac:dyDescent="0.25">
      <c r="A1668" t="s">
        <v>1372</v>
      </c>
      <c r="B1668">
        <v>26</v>
      </c>
      <c r="C1668" t="s">
        <v>4705</v>
      </c>
      <c r="D1668" t="s">
        <v>4720</v>
      </c>
      <c r="E1668" t="s">
        <v>4632</v>
      </c>
      <c r="F1668" t="s">
        <v>4406</v>
      </c>
      <c r="G1668" t="s">
        <v>4406</v>
      </c>
      <c r="H1668" t="s">
        <v>4406</v>
      </c>
      <c r="I1668" t="s">
        <v>4406</v>
      </c>
      <c r="J1668" t="s">
        <v>4582</v>
      </c>
      <c r="K1668" t="s">
        <v>4406</v>
      </c>
      <c r="L1668" t="s">
        <v>4406</v>
      </c>
      <c r="M1668" t="s">
        <v>4632</v>
      </c>
      <c r="N1668" t="s">
        <v>4720</v>
      </c>
      <c r="O1668" t="s">
        <v>4632</v>
      </c>
      <c r="P1668" t="s">
        <v>4406</v>
      </c>
      <c r="Q1668" t="s">
        <v>4632</v>
      </c>
    </row>
    <row r="1669" spans="1:17" x14ac:dyDescent="0.25">
      <c r="A1669" t="s">
        <v>1296</v>
      </c>
      <c r="B1669">
        <v>94</v>
      </c>
      <c r="C1669" t="s">
        <v>4640</v>
      </c>
      <c r="D1669" t="s">
        <v>4706</v>
      </c>
      <c r="E1669" t="s">
        <v>4958</v>
      </c>
      <c r="F1669" t="s">
        <v>4406</v>
      </c>
      <c r="G1669" t="s">
        <v>4673</v>
      </c>
      <c r="H1669" t="s">
        <v>4406</v>
      </c>
      <c r="I1669" t="s">
        <v>4406</v>
      </c>
      <c r="J1669" t="s">
        <v>4855</v>
      </c>
      <c r="K1669" t="s">
        <v>4825</v>
      </c>
      <c r="L1669" t="s">
        <v>4406</v>
      </c>
      <c r="M1669" t="s">
        <v>4470</v>
      </c>
      <c r="N1669" t="s">
        <v>4423</v>
      </c>
      <c r="O1669" t="s">
        <v>4958</v>
      </c>
      <c r="P1669" t="s">
        <v>4825</v>
      </c>
      <c r="Q1669" t="s">
        <v>5054</v>
      </c>
    </row>
    <row r="1671" spans="1:17" x14ac:dyDescent="0.25">
      <c r="A1671" t="s">
        <v>6362</v>
      </c>
    </row>
    <row r="1672" spans="1:17" x14ac:dyDescent="0.25">
      <c r="A1672" t="s">
        <v>1011</v>
      </c>
      <c r="B1672" t="s">
        <v>4394</v>
      </c>
      <c r="C1672" t="s">
        <v>4732</v>
      </c>
      <c r="D1672" t="s">
        <v>4736</v>
      </c>
      <c r="E1672" t="s">
        <v>5446</v>
      </c>
      <c r="F1672" t="s">
        <v>4737</v>
      </c>
      <c r="G1672" t="s">
        <v>5447</v>
      </c>
      <c r="H1672" t="s">
        <v>5448</v>
      </c>
      <c r="I1672" t="s">
        <v>5449</v>
      </c>
      <c r="J1672" t="s">
        <v>5450</v>
      </c>
      <c r="K1672" t="s">
        <v>5451</v>
      </c>
      <c r="L1672" t="s">
        <v>5452</v>
      </c>
      <c r="M1672" t="s">
        <v>5453</v>
      </c>
      <c r="N1672" t="s">
        <v>5454</v>
      </c>
      <c r="O1672" t="s">
        <v>5455</v>
      </c>
      <c r="P1672" t="s">
        <v>5456</v>
      </c>
      <c r="Q1672" t="s">
        <v>5457</v>
      </c>
    </row>
    <row r="1673" spans="1:17" x14ac:dyDescent="0.25">
      <c r="A1673" t="s">
        <v>4438</v>
      </c>
      <c r="B1673">
        <v>37</v>
      </c>
      <c r="C1673" t="s">
        <v>4746</v>
      </c>
      <c r="D1673" t="s">
        <v>4625</v>
      </c>
      <c r="E1673" t="s">
        <v>4883</v>
      </c>
      <c r="F1673" t="s">
        <v>4406</v>
      </c>
      <c r="G1673" t="s">
        <v>4406</v>
      </c>
      <c r="H1673" t="s">
        <v>4406</v>
      </c>
      <c r="I1673" t="s">
        <v>4406</v>
      </c>
      <c r="J1673" t="s">
        <v>5225</v>
      </c>
      <c r="K1673" t="s">
        <v>4931</v>
      </c>
      <c r="L1673" t="s">
        <v>4406</v>
      </c>
      <c r="M1673" t="s">
        <v>4924</v>
      </c>
      <c r="N1673" t="s">
        <v>4931</v>
      </c>
      <c r="O1673" t="s">
        <v>4408</v>
      </c>
      <c r="P1673" t="s">
        <v>4931</v>
      </c>
      <c r="Q1673" t="s">
        <v>4746</v>
      </c>
    </row>
    <row r="1674" spans="1:17" x14ac:dyDescent="0.25">
      <c r="A1674" t="s">
        <v>4439</v>
      </c>
      <c r="B1674">
        <v>17</v>
      </c>
      <c r="C1674" t="s">
        <v>4699</v>
      </c>
      <c r="D1674" t="s">
        <v>4616</v>
      </c>
      <c r="E1674" t="s">
        <v>4617</v>
      </c>
      <c r="F1674" t="s">
        <v>4406</v>
      </c>
      <c r="G1674" t="s">
        <v>4699</v>
      </c>
      <c r="H1674" t="s">
        <v>4406</v>
      </c>
      <c r="I1674" t="s">
        <v>4406</v>
      </c>
      <c r="J1674" t="s">
        <v>4514</v>
      </c>
      <c r="K1674" t="s">
        <v>4406</v>
      </c>
      <c r="L1674" t="s">
        <v>4406</v>
      </c>
      <c r="M1674" t="s">
        <v>4617</v>
      </c>
      <c r="N1674" t="s">
        <v>4619</v>
      </c>
      <c r="O1674" t="s">
        <v>4406</v>
      </c>
      <c r="P1674" t="s">
        <v>4406</v>
      </c>
      <c r="Q1674" t="s">
        <v>4619</v>
      </c>
    </row>
    <row r="1675" spans="1:17" x14ac:dyDescent="0.25">
      <c r="A1675" t="s">
        <v>1400</v>
      </c>
      <c r="B1675">
        <v>1</v>
      </c>
      <c r="C1675" t="s">
        <v>4406</v>
      </c>
      <c r="D1675" t="s">
        <v>4406</v>
      </c>
      <c r="E1675" t="s">
        <v>4406</v>
      </c>
      <c r="F1675" t="s">
        <v>4406</v>
      </c>
      <c r="G1675" t="s">
        <v>4406</v>
      </c>
      <c r="H1675" t="s">
        <v>4406</v>
      </c>
      <c r="I1675" t="s">
        <v>4406</v>
      </c>
      <c r="J1675" t="s">
        <v>4406</v>
      </c>
      <c r="K1675" t="s">
        <v>4406</v>
      </c>
      <c r="L1675" t="s">
        <v>4406</v>
      </c>
      <c r="M1675" t="s">
        <v>4406</v>
      </c>
      <c r="N1675" t="s">
        <v>4406</v>
      </c>
      <c r="O1675" t="s">
        <v>4406</v>
      </c>
      <c r="P1675" t="s">
        <v>4406</v>
      </c>
      <c r="Q1675" t="s">
        <v>4454</v>
      </c>
    </row>
    <row r="1676" spans="1:17" x14ac:dyDescent="0.25">
      <c r="A1676" t="s">
        <v>1340</v>
      </c>
      <c r="B1676">
        <v>17</v>
      </c>
      <c r="C1676" t="s">
        <v>4406</v>
      </c>
      <c r="D1676" t="s">
        <v>4406</v>
      </c>
      <c r="E1676" t="s">
        <v>4699</v>
      </c>
      <c r="F1676" t="s">
        <v>4406</v>
      </c>
      <c r="G1676" t="s">
        <v>4699</v>
      </c>
      <c r="H1676" t="s">
        <v>4406</v>
      </c>
      <c r="I1676" t="s">
        <v>4406</v>
      </c>
      <c r="J1676" t="s">
        <v>4871</v>
      </c>
      <c r="K1676" t="s">
        <v>4406</v>
      </c>
      <c r="L1676" t="s">
        <v>4406</v>
      </c>
      <c r="M1676" t="s">
        <v>4699</v>
      </c>
      <c r="N1676" t="s">
        <v>4699</v>
      </c>
      <c r="O1676" t="s">
        <v>4617</v>
      </c>
      <c r="P1676" t="s">
        <v>4406</v>
      </c>
      <c r="Q1676" t="s">
        <v>4514</v>
      </c>
    </row>
    <row r="1677" spans="1:17" x14ac:dyDescent="0.25">
      <c r="A1677" t="s">
        <v>1426</v>
      </c>
      <c r="B1677">
        <v>5</v>
      </c>
      <c r="C1677" t="s">
        <v>4406</v>
      </c>
      <c r="D1677" t="s">
        <v>4472</v>
      </c>
      <c r="E1677" t="s">
        <v>4406</v>
      </c>
      <c r="F1677" t="s">
        <v>4406</v>
      </c>
      <c r="G1677" t="s">
        <v>4406</v>
      </c>
      <c r="H1677" t="s">
        <v>4406</v>
      </c>
      <c r="I1677" t="s">
        <v>4406</v>
      </c>
      <c r="J1677" t="s">
        <v>4472</v>
      </c>
      <c r="K1677" t="s">
        <v>4406</v>
      </c>
      <c r="L1677" t="s">
        <v>4406</v>
      </c>
      <c r="M1677" t="s">
        <v>4472</v>
      </c>
      <c r="N1677" t="s">
        <v>4457</v>
      </c>
      <c r="O1677" t="s">
        <v>4406</v>
      </c>
      <c r="P1677" t="s">
        <v>4406</v>
      </c>
      <c r="Q1677" t="s">
        <v>4458</v>
      </c>
    </row>
    <row r="1678" spans="1:17" x14ac:dyDescent="0.25">
      <c r="A1678" t="s">
        <v>1372</v>
      </c>
      <c r="B1678">
        <v>17</v>
      </c>
      <c r="C1678" t="s">
        <v>4617</v>
      </c>
      <c r="D1678" t="s">
        <v>4617</v>
      </c>
      <c r="E1678" t="s">
        <v>4699</v>
      </c>
      <c r="F1678" t="s">
        <v>4406</v>
      </c>
      <c r="G1678" t="s">
        <v>4406</v>
      </c>
      <c r="H1678" t="s">
        <v>4406</v>
      </c>
      <c r="I1678" t="s">
        <v>4406</v>
      </c>
      <c r="J1678" t="s">
        <v>4515</v>
      </c>
      <c r="K1678" t="s">
        <v>4406</v>
      </c>
      <c r="L1678" t="s">
        <v>4406</v>
      </c>
      <c r="M1678" t="s">
        <v>4699</v>
      </c>
      <c r="N1678" t="s">
        <v>4699</v>
      </c>
      <c r="O1678" t="s">
        <v>4699</v>
      </c>
      <c r="P1678" t="s">
        <v>4406</v>
      </c>
      <c r="Q1678" t="s">
        <v>4514</v>
      </c>
    </row>
    <row r="1679" spans="1:17" x14ac:dyDescent="0.25">
      <c r="A1679" t="s">
        <v>1296</v>
      </c>
      <c r="B1679">
        <v>94</v>
      </c>
      <c r="C1679" t="s">
        <v>4640</v>
      </c>
      <c r="D1679" t="s">
        <v>4706</v>
      </c>
      <c r="E1679" t="s">
        <v>4958</v>
      </c>
      <c r="F1679" t="s">
        <v>4406</v>
      </c>
      <c r="G1679" t="s">
        <v>4673</v>
      </c>
      <c r="H1679" t="s">
        <v>4406</v>
      </c>
      <c r="I1679" t="s">
        <v>4406</v>
      </c>
      <c r="J1679" t="s">
        <v>4855</v>
      </c>
      <c r="K1679" t="s">
        <v>4825</v>
      </c>
      <c r="L1679" t="s">
        <v>4406</v>
      </c>
      <c r="M1679" t="s">
        <v>4470</v>
      </c>
      <c r="N1679" t="s">
        <v>4423</v>
      </c>
      <c r="O1679" t="s">
        <v>4958</v>
      </c>
      <c r="P1679" t="s">
        <v>4825</v>
      </c>
      <c r="Q1679" t="s">
        <v>5054</v>
      </c>
    </row>
    <row r="1681" spans="1:17" x14ac:dyDescent="0.25">
      <c r="A1681" t="s">
        <v>6363</v>
      </c>
    </row>
    <row r="1682" spans="1:17" x14ac:dyDescent="0.25">
      <c r="A1682" t="s">
        <v>2640</v>
      </c>
      <c r="B1682" t="s">
        <v>4394</v>
      </c>
      <c r="C1682" t="s">
        <v>4732</v>
      </c>
      <c r="D1682" t="s">
        <v>4736</v>
      </c>
      <c r="E1682" t="s">
        <v>5446</v>
      </c>
      <c r="F1682" t="s">
        <v>4737</v>
      </c>
      <c r="G1682" t="s">
        <v>5447</v>
      </c>
      <c r="H1682" t="s">
        <v>5448</v>
      </c>
      <c r="I1682" t="s">
        <v>5449</v>
      </c>
      <c r="J1682" t="s">
        <v>5450</v>
      </c>
      <c r="K1682" t="s">
        <v>5451</v>
      </c>
      <c r="L1682" t="s">
        <v>5452</v>
      </c>
      <c r="M1682" t="s">
        <v>5453</v>
      </c>
      <c r="N1682" t="s">
        <v>5454</v>
      </c>
      <c r="O1682" t="s">
        <v>5455</v>
      </c>
      <c r="P1682" t="s">
        <v>5456</v>
      </c>
      <c r="Q1682" t="s">
        <v>5457</v>
      </c>
    </row>
    <row r="1683" spans="1:17" x14ac:dyDescent="0.25">
      <c r="A1683" t="s">
        <v>109</v>
      </c>
      <c r="B1683">
        <v>26</v>
      </c>
      <c r="C1683" t="s">
        <v>4720</v>
      </c>
      <c r="D1683" t="s">
        <v>4720</v>
      </c>
      <c r="E1683" t="s">
        <v>4406</v>
      </c>
      <c r="F1683" t="s">
        <v>4406</v>
      </c>
      <c r="G1683" t="s">
        <v>4720</v>
      </c>
      <c r="H1683" t="s">
        <v>4406</v>
      </c>
      <c r="I1683" t="s">
        <v>4406</v>
      </c>
      <c r="J1683" t="s">
        <v>4705</v>
      </c>
      <c r="K1683" t="s">
        <v>4406</v>
      </c>
      <c r="L1683" t="s">
        <v>4406</v>
      </c>
      <c r="M1683" t="s">
        <v>4406</v>
      </c>
      <c r="N1683" t="s">
        <v>4474</v>
      </c>
      <c r="O1683" t="s">
        <v>4720</v>
      </c>
      <c r="P1683" t="s">
        <v>4406</v>
      </c>
      <c r="Q1683" t="s">
        <v>5075</v>
      </c>
    </row>
    <row r="1684" spans="1:17" x14ac:dyDescent="0.25">
      <c r="A1684" t="s">
        <v>192</v>
      </c>
      <c r="B1684">
        <v>68</v>
      </c>
      <c r="C1684" t="s">
        <v>4699</v>
      </c>
      <c r="D1684" t="s">
        <v>4625</v>
      </c>
      <c r="E1684" t="s">
        <v>4686</v>
      </c>
      <c r="F1684" t="s">
        <v>4406</v>
      </c>
      <c r="G1684" t="s">
        <v>4680</v>
      </c>
      <c r="H1684" t="s">
        <v>4406</v>
      </c>
      <c r="I1684" t="s">
        <v>4406</v>
      </c>
      <c r="J1684" t="s">
        <v>5164</v>
      </c>
      <c r="K1684" t="s">
        <v>4680</v>
      </c>
      <c r="L1684" t="s">
        <v>4406</v>
      </c>
      <c r="M1684" t="s">
        <v>4554</v>
      </c>
      <c r="N1684" t="s">
        <v>4631</v>
      </c>
      <c r="O1684" t="s">
        <v>4631</v>
      </c>
      <c r="P1684" t="s">
        <v>4680</v>
      </c>
      <c r="Q1684" t="s">
        <v>4406</v>
      </c>
    </row>
    <row r="1685" spans="1:17" x14ac:dyDescent="0.25">
      <c r="A1685" t="s">
        <v>1296</v>
      </c>
      <c r="B1685">
        <v>94</v>
      </c>
      <c r="C1685" t="s">
        <v>4640</v>
      </c>
      <c r="D1685" t="s">
        <v>4706</v>
      </c>
      <c r="E1685" t="s">
        <v>4958</v>
      </c>
      <c r="F1685" t="s">
        <v>4406</v>
      </c>
      <c r="G1685" t="s">
        <v>4673</v>
      </c>
      <c r="H1685" t="s">
        <v>4406</v>
      </c>
      <c r="I1685" t="s">
        <v>4406</v>
      </c>
      <c r="J1685" t="s">
        <v>4855</v>
      </c>
      <c r="K1685" t="s">
        <v>4825</v>
      </c>
      <c r="L1685" t="s">
        <v>4406</v>
      </c>
      <c r="M1685" t="s">
        <v>4470</v>
      </c>
      <c r="N1685" t="s">
        <v>4423</v>
      </c>
      <c r="O1685" t="s">
        <v>4958</v>
      </c>
      <c r="P1685" t="s">
        <v>4825</v>
      </c>
      <c r="Q1685" t="s">
        <v>5054</v>
      </c>
    </row>
    <row r="1687" spans="1:17" x14ac:dyDescent="0.25">
      <c r="A1687" t="s">
        <v>6364</v>
      </c>
    </row>
    <row r="1688" spans="1:17" x14ac:dyDescent="0.25">
      <c r="A1688" t="s">
        <v>903</v>
      </c>
      <c r="B1688" t="s">
        <v>4394</v>
      </c>
      <c r="C1688" t="s">
        <v>4732</v>
      </c>
      <c r="D1688" t="s">
        <v>4736</v>
      </c>
      <c r="E1688" t="s">
        <v>5446</v>
      </c>
      <c r="F1688" t="s">
        <v>4737</v>
      </c>
      <c r="G1688" t="s">
        <v>5447</v>
      </c>
      <c r="H1688" t="s">
        <v>5448</v>
      </c>
      <c r="I1688" t="s">
        <v>5449</v>
      </c>
      <c r="J1688" t="s">
        <v>5450</v>
      </c>
      <c r="K1688" t="s">
        <v>5451</v>
      </c>
      <c r="L1688" t="s">
        <v>5452</v>
      </c>
      <c r="M1688" t="s">
        <v>5453</v>
      </c>
      <c r="N1688" t="s">
        <v>5454</v>
      </c>
      <c r="O1688" t="s">
        <v>5455</v>
      </c>
      <c r="P1688" t="s">
        <v>5456</v>
      </c>
      <c r="Q1688" t="s">
        <v>5457</v>
      </c>
    </row>
    <row r="1689" spans="1:17" x14ac:dyDescent="0.25">
      <c r="A1689" t="s">
        <v>70</v>
      </c>
      <c r="B1689">
        <v>24</v>
      </c>
      <c r="C1689" t="s">
        <v>4943</v>
      </c>
      <c r="D1689" t="s">
        <v>4479</v>
      </c>
      <c r="E1689" t="s">
        <v>4751</v>
      </c>
      <c r="F1689" t="s">
        <v>4406</v>
      </c>
      <c r="G1689" t="s">
        <v>4406</v>
      </c>
      <c r="H1689" t="s">
        <v>4406</v>
      </c>
      <c r="I1689" t="s">
        <v>4406</v>
      </c>
      <c r="J1689" t="s">
        <v>4702</v>
      </c>
      <c r="K1689" t="s">
        <v>4406</v>
      </c>
      <c r="L1689" t="s">
        <v>4406</v>
      </c>
      <c r="M1689" t="s">
        <v>4943</v>
      </c>
      <c r="N1689" t="s">
        <v>4479</v>
      </c>
      <c r="O1689" t="s">
        <v>4751</v>
      </c>
      <c r="P1689" t="s">
        <v>4406</v>
      </c>
      <c r="Q1689" t="s">
        <v>4465</v>
      </c>
    </row>
    <row r="1690" spans="1:17" x14ac:dyDescent="0.25">
      <c r="A1690" t="s">
        <v>71</v>
      </c>
      <c r="B1690">
        <v>70</v>
      </c>
      <c r="C1690" t="s">
        <v>4667</v>
      </c>
      <c r="D1690" t="s">
        <v>4420</v>
      </c>
      <c r="E1690" t="s">
        <v>4850</v>
      </c>
      <c r="F1690" t="s">
        <v>4406</v>
      </c>
      <c r="G1690" t="s">
        <v>4697</v>
      </c>
      <c r="H1690" t="s">
        <v>4406</v>
      </c>
      <c r="I1690" t="s">
        <v>4406</v>
      </c>
      <c r="J1690" t="s">
        <v>4458</v>
      </c>
      <c r="K1690" t="s">
        <v>4750</v>
      </c>
      <c r="L1690" t="s">
        <v>4406</v>
      </c>
      <c r="M1690" t="s">
        <v>4965</v>
      </c>
      <c r="N1690" t="s">
        <v>4646</v>
      </c>
      <c r="O1690" t="s">
        <v>4850</v>
      </c>
      <c r="P1690" t="s">
        <v>4750</v>
      </c>
      <c r="Q1690" t="s">
        <v>4965</v>
      </c>
    </row>
    <row r="1691" spans="1:17" x14ac:dyDescent="0.25">
      <c r="A1691" t="s">
        <v>1296</v>
      </c>
      <c r="B1691">
        <v>94</v>
      </c>
      <c r="C1691" t="s">
        <v>4640</v>
      </c>
      <c r="D1691" t="s">
        <v>4706</v>
      </c>
      <c r="E1691" t="s">
        <v>4958</v>
      </c>
      <c r="F1691" t="s">
        <v>4406</v>
      </c>
      <c r="G1691" t="s">
        <v>4673</v>
      </c>
      <c r="H1691" t="s">
        <v>4406</v>
      </c>
      <c r="I1691" t="s">
        <v>4406</v>
      </c>
      <c r="J1691" t="s">
        <v>4855</v>
      </c>
      <c r="K1691" t="s">
        <v>4825</v>
      </c>
      <c r="L1691" t="s">
        <v>4406</v>
      </c>
      <c r="M1691" t="s">
        <v>4470</v>
      </c>
      <c r="N1691" t="s">
        <v>4423</v>
      </c>
      <c r="O1691" t="s">
        <v>4958</v>
      </c>
      <c r="P1691" t="s">
        <v>4825</v>
      </c>
      <c r="Q1691" t="s">
        <v>5054</v>
      </c>
    </row>
    <row r="1693" spans="1:17" x14ac:dyDescent="0.25">
      <c r="A1693" t="s">
        <v>6365</v>
      </c>
    </row>
    <row r="1694" spans="1:17" x14ac:dyDescent="0.25">
      <c r="A1694" t="s">
        <v>2842</v>
      </c>
      <c r="B1694" t="s">
        <v>4394</v>
      </c>
      <c r="C1694" t="s">
        <v>4732</v>
      </c>
      <c r="D1694" t="s">
        <v>5460</v>
      </c>
      <c r="E1694" t="s">
        <v>5461</v>
      </c>
      <c r="F1694" t="s">
        <v>4736</v>
      </c>
      <c r="G1694" t="s">
        <v>5462</v>
      </c>
      <c r="H1694" t="s">
        <v>5463</v>
      </c>
      <c r="I1694" t="s">
        <v>4737</v>
      </c>
      <c r="J1694" t="s">
        <v>5464</v>
      </c>
      <c r="K1694" t="s">
        <v>5465</v>
      </c>
      <c r="L1694" t="s">
        <v>5466</v>
      </c>
    </row>
    <row r="1695" spans="1:17" x14ac:dyDescent="0.25">
      <c r="A1695" t="s">
        <v>5549</v>
      </c>
      <c r="B1695">
        <v>31</v>
      </c>
      <c r="C1695" t="s">
        <v>4670</v>
      </c>
      <c r="D1695" t="s">
        <v>4564</v>
      </c>
      <c r="E1695" t="s">
        <v>4995</v>
      </c>
      <c r="F1695" t="s">
        <v>4713</v>
      </c>
      <c r="G1695" t="s">
        <v>4670</v>
      </c>
      <c r="H1695" t="s">
        <v>4406</v>
      </c>
      <c r="I1695" t="s">
        <v>4406</v>
      </c>
      <c r="J1695" t="s">
        <v>4713</v>
      </c>
      <c r="K1695" t="s">
        <v>4713</v>
      </c>
      <c r="L1695" t="s">
        <v>4713</v>
      </c>
    </row>
    <row r="1696" spans="1:17" x14ac:dyDescent="0.25">
      <c r="A1696" t="s">
        <v>1397</v>
      </c>
      <c r="B1696">
        <v>13</v>
      </c>
      <c r="C1696" t="s">
        <v>4711</v>
      </c>
      <c r="D1696" t="s">
        <v>4406</v>
      </c>
      <c r="E1696" t="s">
        <v>4565</v>
      </c>
      <c r="F1696" t="s">
        <v>4474</v>
      </c>
      <c r="G1696" t="s">
        <v>4406</v>
      </c>
      <c r="H1696" t="s">
        <v>4406</v>
      </c>
      <c r="I1696" t="s">
        <v>4406</v>
      </c>
      <c r="J1696" t="s">
        <v>4406</v>
      </c>
      <c r="K1696" t="s">
        <v>4406</v>
      </c>
      <c r="L1696" t="s">
        <v>4406</v>
      </c>
    </row>
    <row r="1697" spans="1:12" x14ac:dyDescent="0.25">
      <c r="A1697" t="s">
        <v>1296</v>
      </c>
      <c r="B1697">
        <v>44</v>
      </c>
      <c r="C1697" t="s">
        <v>4587</v>
      </c>
      <c r="D1697" t="s">
        <v>4689</v>
      </c>
      <c r="E1697" t="s">
        <v>4781</v>
      </c>
      <c r="F1697" t="s">
        <v>4689</v>
      </c>
      <c r="G1697" t="s">
        <v>4691</v>
      </c>
      <c r="H1697" t="s">
        <v>4406</v>
      </c>
      <c r="I1697" t="s">
        <v>4406</v>
      </c>
      <c r="J1697" t="s">
        <v>4753</v>
      </c>
      <c r="K1697" t="s">
        <v>4753</v>
      </c>
      <c r="L1697" t="s">
        <v>4753</v>
      </c>
    </row>
    <row r="1699" spans="1:12" x14ac:dyDescent="0.25">
      <c r="A1699" t="s">
        <v>6366</v>
      </c>
    </row>
    <row r="1700" spans="1:12" x14ac:dyDescent="0.25">
      <c r="A1700" t="s">
        <v>995</v>
      </c>
      <c r="B1700" t="s">
        <v>4394</v>
      </c>
      <c r="C1700" t="s">
        <v>4732</v>
      </c>
      <c r="D1700" t="s">
        <v>5460</v>
      </c>
      <c r="E1700" t="s">
        <v>5461</v>
      </c>
      <c r="F1700" t="s">
        <v>4736</v>
      </c>
      <c r="G1700" t="s">
        <v>5462</v>
      </c>
      <c r="H1700" t="s">
        <v>5463</v>
      </c>
      <c r="I1700" t="s">
        <v>4737</v>
      </c>
      <c r="J1700" t="s">
        <v>5464</v>
      </c>
      <c r="K1700" t="s">
        <v>5465</v>
      </c>
      <c r="L1700" t="s">
        <v>5466</v>
      </c>
    </row>
    <row r="1701" spans="1:12" x14ac:dyDescent="0.25">
      <c r="A1701" t="s">
        <v>1338</v>
      </c>
      <c r="B1701">
        <v>10</v>
      </c>
      <c r="C1701">
        <v>0</v>
      </c>
      <c r="D1701">
        <v>0</v>
      </c>
      <c r="E1701">
        <v>9</v>
      </c>
      <c r="F1701">
        <v>1</v>
      </c>
      <c r="G1701">
        <v>1</v>
      </c>
      <c r="H1701">
        <v>0</v>
      </c>
      <c r="I1701">
        <v>0</v>
      </c>
      <c r="J1701">
        <v>0</v>
      </c>
      <c r="K1701">
        <v>0</v>
      </c>
      <c r="L1701">
        <v>0</v>
      </c>
    </row>
    <row r="1702" spans="1:12" x14ac:dyDescent="0.25">
      <c r="A1702" t="s">
        <v>1370</v>
      </c>
      <c r="B1702">
        <v>5</v>
      </c>
      <c r="C1702">
        <v>1</v>
      </c>
      <c r="D1702">
        <v>1</v>
      </c>
      <c r="E1702">
        <v>3</v>
      </c>
      <c r="F1702">
        <v>1</v>
      </c>
      <c r="G1702">
        <v>0</v>
      </c>
      <c r="H1702">
        <v>0</v>
      </c>
      <c r="I1702">
        <v>0</v>
      </c>
      <c r="J1702">
        <v>0</v>
      </c>
      <c r="K1702">
        <v>1</v>
      </c>
      <c r="L1702">
        <v>1</v>
      </c>
    </row>
    <row r="1703" spans="1:12" x14ac:dyDescent="0.25">
      <c r="A1703" t="s">
        <v>1439</v>
      </c>
      <c r="B1703">
        <v>4</v>
      </c>
      <c r="C1703">
        <v>2</v>
      </c>
      <c r="D1703">
        <v>0</v>
      </c>
      <c r="E1703">
        <v>2</v>
      </c>
      <c r="F1703">
        <v>0</v>
      </c>
      <c r="G1703">
        <v>0</v>
      </c>
      <c r="H1703">
        <v>0</v>
      </c>
      <c r="I1703">
        <v>0</v>
      </c>
      <c r="J1703">
        <v>0</v>
      </c>
      <c r="K1703">
        <v>0</v>
      </c>
      <c r="L1703">
        <v>0</v>
      </c>
    </row>
    <row r="1704" spans="1:12" x14ac:dyDescent="0.25">
      <c r="A1704" t="s">
        <v>1476</v>
      </c>
      <c r="B1704">
        <v>2</v>
      </c>
      <c r="C1704">
        <v>2</v>
      </c>
      <c r="D1704">
        <v>0</v>
      </c>
      <c r="E1704">
        <v>0</v>
      </c>
      <c r="F1704">
        <v>0</v>
      </c>
      <c r="G1704">
        <v>0</v>
      </c>
      <c r="H1704">
        <v>0</v>
      </c>
      <c r="I1704">
        <v>0</v>
      </c>
      <c r="J1704">
        <v>0</v>
      </c>
      <c r="K1704">
        <v>0</v>
      </c>
      <c r="L1704">
        <v>0</v>
      </c>
    </row>
    <row r="1705" spans="1:12" x14ac:dyDescent="0.25">
      <c r="A1705" t="s">
        <v>5476</v>
      </c>
      <c r="B1705">
        <v>1</v>
      </c>
      <c r="C1705">
        <v>1</v>
      </c>
      <c r="D1705">
        <v>0</v>
      </c>
      <c r="E1705">
        <v>0</v>
      </c>
      <c r="F1705">
        <v>0</v>
      </c>
      <c r="G1705">
        <v>0</v>
      </c>
      <c r="H1705">
        <v>0</v>
      </c>
      <c r="I1705">
        <v>0</v>
      </c>
      <c r="J1705">
        <v>0</v>
      </c>
      <c r="K1705">
        <v>0</v>
      </c>
      <c r="L1705">
        <v>0</v>
      </c>
    </row>
    <row r="1706" spans="1:12" x14ac:dyDescent="0.25">
      <c r="A1706" t="s">
        <v>1399</v>
      </c>
      <c r="B1706">
        <v>4</v>
      </c>
      <c r="C1706">
        <v>0</v>
      </c>
      <c r="D1706">
        <v>0</v>
      </c>
      <c r="E1706">
        <v>3</v>
      </c>
      <c r="F1706">
        <v>1</v>
      </c>
      <c r="G1706">
        <v>0</v>
      </c>
      <c r="H1706">
        <v>0</v>
      </c>
      <c r="I1706">
        <v>0</v>
      </c>
      <c r="J1706">
        <v>0</v>
      </c>
      <c r="K1706">
        <v>0</v>
      </c>
      <c r="L1706">
        <v>0</v>
      </c>
    </row>
    <row r="1707" spans="1:12" x14ac:dyDescent="0.25">
      <c r="A1707" t="s">
        <v>1415</v>
      </c>
      <c r="B1707">
        <v>18</v>
      </c>
      <c r="C1707">
        <v>1</v>
      </c>
      <c r="D1707">
        <v>2</v>
      </c>
      <c r="E1707">
        <v>15</v>
      </c>
      <c r="F1707">
        <v>0</v>
      </c>
      <c r="G1707">
        <v>1</v>
      </c>
      <c r="H1707">
        <v>0</v>
      </c>
      <c r="I1707">
        <v>0</v>
      </c>
      <c r="J1707">
        <v>1</v>
      </c>
      <c r="K1707">
        <v>0</v>
      </c>
      <c r="L1707">
        <v>0</v>
      </c>
    </row>
    <row r="1708" spans="1:12" x14ac:dyDescent="0.25">
      <c r="A1708" t="s">
        <v>1296</v>
      </c>
      <c r="B1708">
        <v>44</v>
      </c>
      <c r="C1708">
        <v>7</v>
      </c>
      <c r="D1708">
        <v>3</v>
      </c>
      <c r="E1708">
        <v>32</v>
      </c>
      <c r="F1708">
        <v>3</v>
      </c>
      <c r="G1708">
        <v>2</v>
      </c>
      <c r="H1708">
        <v>0</v>
      </c>
      <c r="I1708">
        <v>0</v>
      </c>
      <c r="J1708">
        <v>1</v>
      </c>
      <c r="K1708">
        <v>1</v>
      </c>
      <c r="L1708">
        <v>1</v>
      </c>
    </row>
    <row r="1710" spans="1:12" x14ac:dyDescent="0.25">
      <c r="A1710" t="s">
        <v>6367</v>
      </c>
    </row>
    <row r="1711" spans="1:12" x14ac:dyDescent="0.25">
      <c r="A1711" t="s">
        <v>998</v>
      </c>
      <c r="B1711" t="s">
        <v>4394</v>
      </c>
      <c r="C1711" t="s">
        <v>4732</v>
      </c>
      <c r="D1711" t="s">
        <v>5460</v>
      </c>
      <c r="E1711" t="s">
        <v>5461</v>
      </c>
      <c r="F1711" t="s">
        <v>4736</v>
      </c>
      <c r="G1711" t="s">
        <v>5462</v>
      </c>
      <c r="H1711" t="s">
        <v>5463</v>
      </c>
      <c r="I1711" t="s">
        <v>4737</v>
      </c>
      <c r="J1711" t="s">
        <v>5464</v>
      </c>
      <c r="K1711" t="s">
        <v>5465</v>
      </c>
      <c r="L1711" t="s">
        <v>5466</v>
      </c>
    </row>
    <row r="1712" spans="1:12" x14ac:dyDescent="0.25">
      <c r="A1712" t="s">
        <v>109</v>
      </c>
      <c r="B1712">
        <v>37</v>
      </c>
      <c r="C1712" t="s">
        <v>4625</v>
      </c>
      <c r="D1712" t="s">
        <v>4746</v>
      </c>
      <c r="E1712" t="s">
        <v>5426</v>
      </c>
      <c r="F1712" t="s">
        <v>4931</v>
      </c>
      <c r="G1712" t="s">
        <v>4931</v>
      </c>
      <c r="H1712" t="s">
        <v>4406</v>
      </c>
      <c r="I1712" t="s">
        <v>4406</v>
      </c>
      <c r="J1712" t="s">
        <v>4406</v>
      </c>
      <c r="K1712" t="s">
        <v>4406</v>
      </c>
      <c r="L1712" t="s">
        <v>4406</v>
      </c>
    </row>
    <row r="1713" spans="1:12" x14ac:dyDescent="0.25">
      <c r="A1713" t="s">
        <v>192</v>
      </c>
      <c r="B1713">
        <v>7</v>
      </c>
      <c r="C1713" t="s">
        <v>4522</v>
      </c>
      <c r="D1713" t="s">
        <v>4522</v>
      </c>
      <c r="E1713" t="s">
        <v>4447</v>
      </c>
      <c r="F1713" t="s">
        <v>4450</v>
      </c>
      <c r="G1713" t="s">
        <v>4522</v>
      </c>
      <c r="H1713" t="s">
        <v>4406</v>
      </c>
      <c r="I1713" t="s">
        <v>4406</v>
      </c>
      <c r="J1713" t="s">
        <v>4522</v>
      </c>
      <c r="K1713" t="s">
        <v>4522</v>
      </c>
      <c r="L1713" t="s">
        <v>4522</v>
      </c>
    </row>
    <row r="1714" spans="1:12" x14ac:dyDescent="0.25">
      <c r="A1714" t="s">
        <v>1296</v>
      </c>
      <c r="B1714">
        <v>44</v>
      </c>
      <c r="C1714" t="s">
        <v>4587</v>
      </c>
      <c r="D1714" t="s">
        <v>4689</v>
      </c>
      <c r="E1714" t="s">
        <v>4781</v>
      </c>
      <c r="F1714" t="s">
        <v>4689</v>
      </c>
      <c r="G1714" t="s">
        <v>4691</v>
      </c>
      <c r="H1714" t="s">
        <v>4406</v>
      </c>
      <c r="I1714" t="s">
        <v>4406</v>
      </c>
      <c r="J1714" t="s">
        <v>4753</v>
      </c>
      <c r="K1714" t="s">
        <v>4753</v>
      </c>
      <c r="L1714" t="s">
        <v>4753</v>
      </c>
    </row>
    <row r="1716" spans="1:12" x14ac:dyDescent="0.25">
      <c r="A1716" t="s">
        <v>6368</v>
      </c>
    </row>
    <row r="1717" spans="1:12" x14ac:dyDescent="0.25">
      <c r="A1717" t="s">
        <v>1295</v>
      </c>
      <c r="B1717" t="s">
        <v>4394</v>
      </c>
      <c r="C1717" t="s">
        <v>4732</v>
      </c>
      <c r="D1717" t="s">
        <v>5460</v>
      </c>
      <c r="E1717" t="s">
        <v>5461</v>
      </c>
      <c r="F1717" t="s">
        <v>4736</v>
      </c>
      <c r="G1717" t="s">
        <v>5462</v>
      </c>
      <c r="H1717" t="s">
        <v>5463</v>
      </c>
      <c r="I1717" t="s">
        <v>4737</v>
      </c>
      <c r="J1717" t="s">
        <v>5464</v>
      </c>
      <c r="K1717" t="s">
        <v>5465</v>
      </c>
      <c r="L1717" t="s">
        <v>5466</v>
      </c>
    </row>
    <row r="1718" spans="1:12" x14ac:dyDescent="0.25">
      <c r="A1718" t="s">
        <v>4395</v>
      </c>
      <c r="B1718">
        <v>1</v>
      </c>
      <c r="C1718" t="s">
        <v>4454</v>
      </c>
      <c r="D1718" t="s">
        <v>4406</v>
      </c>
      <c r="E1718" t="s">
        <v>4406</v>
      </c>
      <c r="F1718" t="s">
        <v>4406</v>
      </c>
      <c r="G1718" t="s">
        <v>4406</v>
      </c>
      <c r="H1718" t="s">
        <v>4406</v>
      </c>
      <c r="I1718" t="s">
        <v>4406</v>
      </c>
      <c r="J1718" t="s">
        <v>4406</v>
      </c>
      <c r="K1718" t="s">
        <v>4406</v>
      </c>
      <c r="L1718" t="s">
        <v>4406</v>
      </c>
    </row>
    <row r="1719" spans="1:12" x14ac:dyDescent="0.25">
      <c r="A1719" t="s">
        <v>4396</v>
      </c>
      <c r="B1719">
        <v>25</v>
      </c>
      <c r="C1719" t="s">
        <v>4406</v>
      </c>
      <c r="D1719" t="s">
        <v>4707</v>
      </c>
      <c r="E1719" t="s">
        <v>5022</v>
      </c>
      <c r="F1719" t="s">
        <v>4660</v>
      </c>
      <c r="G1719" t="s">
        <v>4709</v>
      </c>
      <c r="H1719" t="s">
        <v>4406</v>
      </c>
      <c r="I1719" t="s">
        <v>4406</v>
      </c>
      <c r="J1719" t="s">
        <v>4660</v>
      </c>
      <c r="K1719" t="s">
        <v>4660</v>
      </c>
      <c r="L1719" t="s">
        <v>4660</v>
      </c>
    </row>
    <row r="1720" spans="1:12" x14ac:dyDescent="0.25">
      <c r="A1720" t="s">
        <v>4397</v>
      </c>
      <c r="B1720">
        <v>1</v>
      </c>
      <c r="C1720" t="s">
        <v>4406</v>
      </c>
      <c r="D1720" t="s">
        <v>4406</v>
      </c>
      <c r="E1720" t="s">
        <v>4454</v>
      </c>
      <c r="F1720" t="s">
        <v>4406</v>
      </c>
      <c r="G1720" t="s">
        <v>4406</v>
      </c>
      <c r="H1720" t="s">
        <v>4406</v>
      </c>
      <c r="I1720" t="s">
        <v>4406</v>
      </c>
      <c r="J1720" t="s">
        <v>4406</v>
      </c>
      <c r="K1720" t="s">
        <v>4406</v>
      </c>
      <c r="L1720" t="s">
        <v>4406</v>
      </c>
    </row>
    <row r="1721" spans="1:12" x14ac:dyDescent="0.25">
      <c r="A1721" t="s">
        <v>4398</v>
      </c>
      <c r="B1721">
        <v>16</v>
      </c>
      <c r="C1721" t="s">
        <v>4918</v>
      </c>
      <c r="D1721" t="s">
        <v>4406</v>
      </c>
      <c r="E1721" t="s">
        <v>4521</v>
      </c>
      <c r="F1721" t="s">
        <v>4479</v>
      </c>
      <c r="G1721" t="s">
        <v>4406</v>
      </c>
      <c r="H1721" t="s">
        <v>4406</v>
      </c>
      <c r="I1721" t="s">
        <v>4406</v>
      </c>
      <c r="J1721" t="s">
        <v>4406</v>
      </c>
      <c r="K1721" t="s">
        <v>4406</v>
      </c>
      <c r="L1721" t="s">
        <v>4406</v>
      </c>
    </row>
    <row r="1722" spans="1:12" x14ac:dyDescent="0.25">
      <c r="A1722" t="s">
        <v>4399</v>
      </c>
      <c r="B1722">
        <v>1</v>
      </c>
      <c r="C1722" t="s">
        <v>4454</v>
      </c>
      <c r="D1722" t="s">
        <v>4406</v>
      </c>
      <c r="E1722" t="s">
        <v>4406</v>
      </c>
      <c r="F1722" t="s">
        <v>4406</v>
      </c>
      <c r="G1722" t="s">
        <v>4406</v>
      </c>
      <c r="H1722" t="s">
        <v>4406</v>
      </c>
      <c r="I1722" t="s">
        <v>4406</v>
      </c>
      <c r="J1722" t="s">
        <v>4406</v>
      </c>
      <c r="K1722" t="s">
        <v>4406</v>
      </c>
      <c r="L1722" t="s">
        <v>4406</v>
      </c>
    </row>
    <row r="1723" spans="1:12" x14ac:dyDescent="0.25">
      <c r="A1723" t="s">
        <v>1296</v>
      </c>
      <c r="B1723">
        <v>44</v>
      </c>
      <c r="C1723" t="s">
        <v>4587</v>
      </c>
      <c r="D1723" t="s">
        <v>4689</v>
      </c>
      <c r="E1723" t="s">
        <v>4781</v>
      </c>
      <c r="F1723" t="s">
        <v>4689</v>
      </c>
      <c r="G1723" t="s">
        <v>4691</v>
      </c>
      <c r="H1723" t="s">
        <v>4406</v>
      </c>
      <c r="I1723" t="s">
        <v>4406</v>
      </c>
      <c r="J1723" t="s">
        <v>4753</v>
      </c>
      <c r="K1723" t="s">
        <v>4753</v>
      </c>
      <c r="L1723" t="s">
        <v>4753</v>
      </c>
    </row>
    <row r="1725" spans="1:12" x14ac:dyDescent="0.25">
      <c r="A1725" t="s">
        <v>6369</v>
      </c>
    </row>
    <row r="1726" spans="1:12" x14ac:dyDescent="0.25">
      <c r="A1726" t="s">
        <v>1006</v>
      </c>
      <c r="B1726" t="s">
        <v>4394</v>
      </c>
      <c r="C1726" t="s">
        <v>4732</v>
      </c>
      <c r="D1726" t="s">
        <v>5460</v>
      </c>
      <c r="E1726" t="s">
        <v>5461</v>
      </c>
      <c r="F1726" t="s">
        <v>4736</v>
      </c>
      <c r="G1726" t="s">
        <v>5462</v>
      </c>
      <c r="H1726" t="s">
        <v>5463</v>
      </c>
      <c r="I1726" t="s">
        <v>4737</v>
      </c>
      <c r="J1726" t="s">
        <v>5464</v>
      </c>
      <c r="K1726" t="s">
        <v>5465</v>
      </c>
      <c r="L1726" t="s">
        <v>5466</v>
      </c>
    </row>
    <row r="1727" spans="1:12" x14ac:dyDescent="0.25">
      <c r="A1727" t="s">
        <v>1371</v>
      </c>
      <c r="B1727">
        <v>9</v>
      </c>
      <c r="C1727">
        <v>0</v>
      </c>
      <c r="D1727">
        <v>1</v>
      </c>
      <c r="E1727">
        <v>8</v>
      </c>
      <c r="F1727">
        <v>0</v>
      </c>
      <c r="G1727">
        <v>1</v>
      </c>
      <c r="H1727">
        <v>0</v>
      </c>
      <c r="I1727">
        <v>0</v>
      </c>
      <c r="J1727">
        <v>0</v>
      </c>
      <c r="K1727">
        <v>0</v>
      </c>
      <c r="L1727">
        <v>0</v>
      </c>
    </row>
    <row r="1728" spans="1:12" x14ac:dyDescent="0.25">
      <c r="A1728" t="s">
        <v>1452</v>
      </c>
      <c r="B1728">
        <v>8</v>
      </c>
      <c r="C1728">
        <v>0</v>
      </c>
      <c r="D1728">
        <v>0</v>
      </c>
      <c r="E1728">
        <v>8</v>
      </c>
      <c r="F1728">
        <v>0</v>
      </c>
      <c r="G1728">
        <v>0</v>
      </c>
      <c r="H1728">
        <v>0</v>
      </c>
      <c r="I1728">
        <v>0</v>
      </c>
      <c r="J1728">
        <v>0</v>
      </c>
      <c r="K1728">
        <v>0</v>
      </c>
      <c r="L1728">
        <v>0</v>
      </c>
    </row>
    <row r="1729" spans="1:12" x14ac:dyDescent="0.25">
      <c r="A1729" t="s">
        <v>5560</v>
      </c>
      <c r="B1729">
        <v>5</v>
      </c>
      <c r="C1729">
        <v>4</v>
      </c>
      <c r="D1729">
        <v>0</v>
      </c>
      <c r="E1729">
        <v>0</v>
      </c>
      <c r="F1729">
        <v>0</v>
      </c>
      <c r="G1729">
        <v>0</v>
      </c>
      <c r="H1729">
        <v>0</v>
      </c>
      <c r="I1729">
        <v>0</v>
      </c>
      <c r="J1729">
        <v>1</v>
      </c>
      <c r="K1729">
        <v>0</v>
      </c>
      <c r="L1729">
        <v>0</v>
      </c>
    </row>
    <row r="1730" spans="1:12" x14ac:dyDescent="0.25">
      <c r="A1730" t="s">
        <v>1424</v>
      </c>
      <c r="B1730">
        <v>8</v>
      </c>
      <c r="C1730">
        <v>3</v>
      </c>
      <c r="D1730">
        <v>0</v>
      </c>
      <c r="E1730">
        <v>2</v>
      </c>
      <c r="F1730">
        <v>3</v>
      </c>
      <c r="G1730">
        <v>1</v>
      </c>
      <c r="H1730">
        <v>0</v>
      </c>
      <c r="I1730">
        <v>0</v>
      </c>
      <c r="J1730">
        <v>0</v>
      </c>
      <c r="K1730">
        <v>0</v>
      </c>
      <c r="L1730">
        <v>0</v>
      </c>
    </row>
    <row r="1731" spans="1:12" x14ac:dyDescent="0.25">
      <c r="A1731" t="s">
        <v>1340</v>
      </c>
      <c r="B1731">
        <v>4</v>
      </c>
      <c r="C1731">
        <v>0</v>
      </c>
      <c r="D1731">
        <v>1</v>
      </c>
      <c r="E1731">
        <v>4</v>
      </c>
      <c r="F1731">
        <v>0</v>
      </c>
      <c r="G1731">
        <v>0</v>
      </c>
      <c r="H1731">
        <v>0</v>
      </c>
      <c r="I1731">
        <v>0</v>
      </c>
      <c r="J1731">
        <v>0</v>
      </c>
      <c r="K1731">
        <v>0</v>
      </c>
      <c r="L1731">
        <v>0</v>
      </c>
    </row>
    <row r="1732" spans="1:12" x14ac:dyDescent="0.25">
      <c r="A1732" t="s">
        <v>1416</v>
      </c>
      <c r="B1732">
        <v>10</v>
      </c>
      <c r="C1732">
        <v>0</v>
      </c>
      <c r="D1732">
        <v>1</v>
      </c>
      <c r="E1732">
        <v>10</v>
      </c>
      <c r="F1732">
        <v>0</v>
      </c>
      <c r="G1732">
        <v>0</v>
      </c>
      <c r="H1732">
        <v>0</v>
      </c>
      <c r="I1732">
        <v>0</v>
      </c>
      <c r="J1732">
        <v>0</v>
      </c>
      <c r="K1732">
        <v>1</v>
      </c>
      <c r="L1732">
        <v>1</v>
      </c>
    </row>
    <row r="1733" spans="1:12" x14ac:dyDescent="0.25">
      <c r="A1733" t="s">
        <v>1296</v>
      </c>
      <c r="B1733">
        <v>44</v>
      </c>
      <c r="C1733">
        <v>7</v>
      </c>
      <c r="D1733">
        <v>3</v>
      </c>
      <c r="E1733">
        <v>32</v>
      </c>
      <c r="F1733">
        <v>3</v>
      </c>
      <c r="G1733">
        <v>2</v>
      </c>
      <c r="H1733">
        <v>0</v>
      </c>
      <c r="I1733">
        <v>0</v>
      </c>
      <c r="J1733">
        <v>1</v>
      </c>
      <c r="K1733">
        <v>1</v>
      </c>
      <c r="L1733">
        <v>1</v>
      </c>
    </row>
    <row r="1735" spans="1:12" x14ac:dyDescent="0.25">
      <c r="A1735" t="s">
        <v>6370</v>
      </c>
    </row>
    <row r="1736" spans="1:12" x14ac:dyDescent="0.25">
      <c r="A1736" t="s">
        <v>2723</v>
      </c>
      <c r="B1736" t="s">
        <v>4394</v>
      </c>
      <c r="C1736" t="s">
        <v>4732</v>
      </c>
      <c r="D1736" t="s">
        <v>5460</v>
      </c>
      <c r="E1736" t="s">
        <v>5461</v>
      </c>
      <c r="F1736" t="s">
        <v>4736</v>
      </c>
      <c r="G1736" t="s">
        <v>5462</v>
      </c>
      <c r="H1736" t="s">
        <v>5463</v>
      </c>
      <c r="I1736" t="s">
        <v>4737</v>
      </c>
      <c r="J1736" t="s">
        <v>5464</v>
      </c>
      <c r="K1736" t="s">
        <v>5465</v>
      </c>
      <c r="L1736" t="s">
        <v>5466</v>
      </c>
    </row>
    <row r="1737" spans="1:12" x14ac:dyDescent="0.25">
      <c r="A1737" t="s">
        <v>4433</v>
      </c>
      <c r="B1737">
        <v>2</v>
      </c>
      <c r="C1737" t="s">
        <v>4454</v>
      </c>
      <c r="D1737" t="s">
        <v>4406</v>
      </c>
      <c r="E1737" t="s">
        <v>4406</v>
      </c>
      <c r="F1737" t="s">
        <v>4406</v>
      </c>
      <c r="G1737" t="s">
        <v>4406</v>
      </c>
      <c r="H1737" t="s">
        <v>4406</v>
      </c>
      <c r="I1737" t="s">
        <v>4406</v>
      </c>
      <c r="J1737" t="s">
        <v>4406</v>
      </c>
      <c r="K1737" t="s">
        <v>4406</v>
      </c>
      <c r="L1737" t="s">
        <v>4406</v>
      </c>
    </row>
    <row r="1738" spans="1:12" x14ac:dyDescent="0.25">
      <c r="A1738" t="s">
        <v>4434</v>
      </c>
      <c r="B1738">
        <v>14</v>
      </c>
      <c r="C1738" t="s">
        <v>4522</v>
      </c>
      <c r="D1738" t="s">
        <v>4522</v>
      </c>
      <c r="E1738" t="s">
        <v>4946</v>
      </c>
      <c r="F1738" t="s">
        <v>4406</v>
      </c>
      <c r="G1738" t="s">
        <v>4406</v>
      </c>
      <c r="H1738" t="s">
        <v>4406</v>
      </c>
      <c r="I1738" t="s">
        <v>4406</v>
      </c>
      <c r="J1738" t="s">
        <v>4406</v>
      </c>
      <c r="K1738" t="s">
        <v>4400</v>
      </c>
      <c r="L1738" t="s">
        <v>4400</v>
      </c>
    </row>
    <row r="1739" spans="1:12" x14ac:dyDescent="0.25">
      <c r="A1739" t="s">
        <v>4435</v>
      </c>
      <c r="B1739">
        <v>16</v>
      </c>
      <c r="C1739" t="s">
        <v>4917</v>
      </c>
      <c r="D1739" t="s">
        <v>4917</v>
      </c>
      <c r="E1739" t="s">
        <v>4984</v>
      </c>
      <c r="F1739" t="s">
        <v>4479</v>
      </c>
      <c r="G1739" t="s">
        <v>4406</v>
      </c>
      <c r="H1739" t="s">
        <v>4406</v>
      </c>
      <c r="I1739" t="s">
        <v>4406</v>
      </c>
      <c r="J1739" t="s">
        <v>4406</v>
      </c>
      <c r="K1739" t="s">
        <v>4406</v>
      </c>
      <c r="L1739" t="s">
        <v>4406</v>
      </c>
    </row>
    <row r="1740" spans="1:12" x14ac:dyDescent="0.25">
      <c r="A1740" t="s">
        <v>4436</v>
      </c>
      <c r="B1740">
        <v>12</v>
      </c>
      <c r="C1740" t="s">
        <v>4596</v>
      </c>
      <c r="D1740" t="s">
        <v>4406</v>
      </c>
      <c r="E1740" t="s">
        <v>4791</v>
      </c>
      <c r="F1740" t="s">
        <v>4943</v>
      </c>
      <c r="G1740" t="s">
        <v>4596</v>
      </c>
      <c r="H1740" t="s">
        <v>4406</v>
      </c>
      <c r="I1740" t="s">
        <v>4406</v>
      </c>
      <c r="J1740" t="s">
        <v>4943</v>
      </c>
      <c r="K1740" t="s">
        <v>4406</v>
      </c>
      <c r="L1740" t="s">
        <v>4406</v>
      </c>
    </row>
    <row r="1741" spans="1:12" x14ac:dyDescent="0.25">
      <c r="A1741" t="s">
        <v>1296</v>
      </c>
      <c r="B1741">
        <v>44</v>
      </c>
      <c r="C1741" t="s">
        <v>4587</v>
      </c>
      <c r="D1741" t="s">
        <v>4689</v>
      </c>
      <c r="E1741" t="s">
        <v>4781</v>
      </c>
      <c r="F1741" t="s">
        <v>4689</v>
      </c>
      <c r="G1741" t="s">
        <v>4691</v>
      </c>
      <c r="H1741" t="s">
        <v>4406</v>
      </c>
      <c r="I1741" t="s">
        <v>4406</v>
      </c>
      <c r="J1741" t="s">
        <v>4753</v>
      </c>
      <c r="K1741" t="s">
        <v>4753</v>
      </c>
      <c r="L1741" t="s">
        <v>4753</v>
      </c>
    </row>
    <row r="1743" spans="1:12" x14ac:dyDescent="0.25">
      <c r="A1743" t="s">
        <v>6371</v>
      </c>
    </row>
    <row r="1744" spans="1:12" x14ac:dyDescent="0.25">
      <c r="A1744" t="s">
        <v>1013</v>
      </c>
      <c r="B1744" t="s">
        <v>4394</v>
      </c>
      <c r="C1744" t="s">
        <v>4732</v>
      </c>
      <c r="D1744" t="s">
        <v>5460</v>
      </c>
      <c r="E1744" t="s">
        <v>5461</v>
      </c>
      <c r="F1744" t="s">
        <v>4736</v>
      </c>
      <c r="G1744" t="s">
        <v>5462</v>
      </c>
      <c r="H1744" t="s">
        <v>5463</v>
      </c>
      <c r="I1744" t="s">
        <v>4737</v>
      </c>
      <c r="J1744" t="s">
        <v>5464</v>
      </c>
      <c r="K1744" t="s">
        <v>5465</v>
      </c>
      <c r="L1744" t="s">
        <v>5466</v>
      </c>
    </row>
    <row r="1745" spans="1:12" x14ac:dyDescent="0.25">
      <c r="A1745" t="s">
        <v>1561</v>
      </c>
      <c r="B1745">
        <v>1</v>
      </c>
      <c r="C1745" t="s">
        <v>4454</v>
      </c>
      <c r="D1745" t="s">
        <v>4406</v>
      </c>
      <c r="E1745" t="s">
        <v>4406</v>
      </c>
      <c r="F1745" t="s">
        <v>4406</v>
      </c>
      <c r="G1745" t="s">
        <v>4406</v>
      </c>
      <c r="H1745" t="s">
        <v>4406</v>
      </c>
      <c r="I1745" t="s">
        <v>4406</v>
      </c>
      <c r="J1745" t="s">
        <v>4406</v>
      </c>
      <c r="K1745" t="s">
        <v>4406</v>
      </c>
      <c r="L1745" t="s">
        <v>4406</v>
      </c>
    </row>
    <row r="1746" spans="1:12" x14ac:dyDescent="0.25">
      <c r="A1746" t="s">
        <v>1460</v>
      </c>
      <c r="B1746">
        <v>8</v>
      </c>
      <c r="C1746" t="s">
        <v>4462</v>
      </c>
      <c r="D1746" t="s">
        <v>4479</v>
      </c>
      <c r="E1746" t="s">
        <v>4793</v>
      </c>
      <c r="F1746" t="s">
        <v>4406</v>
      </c>
      <c r="G1746" t="s">
        <v>4406</v>
      </c>
      <c r="H1746" t="s">
        <v>4406</v>
      </c>
      <c r="I1746" t="s">
        <v>4406</v>
      </c>
      <c r="J1746" t="s">
        <v>4406</v>
      </c>
      <c r="K1746" t="s">
        <v>4406</v>
      </c>
      <c r="L1746" t="s">
        <v>4406</v>
      </c>
    </row>
    <row r="1747" spans="1:12" x14ac:dyDescent="0.25">
      <c r="A1747" t="s">
        <v>1342</v>
      </c>
      <c r="B1747">
        <v>16</v>
      </c>
      <c r="C1747" t="s">
        <v>4917</v>
      </c>
      <c r="D1747" t="s">
        <v>4917</v>
      </c>
      <c r="E1747" t="s">
        <v>4984</v>
      </c>
      <c r="F1747" t="s">
        <v>4479</v>
      </c>
      <c r="G1747" t="s">
        <v>4406</v>
      </c>
      <c r="H1747" t="s">
        <v>4406</v>
      </c>
      <c r="I1747" t="s">
        <v>4406</v>
      </c>
      <c r="J1747" t="s">
        <v>4406</v>
      </c>
      <c r="K1747" t="s">
        <v>4406</v>
      </c>
      <c r="L1747" t="s">
        <v>4406</v>
      </c>
    </row>
    <row r="1748" spans="1:12" x14ac:dyDescent="0.25">
      <c r="A1748" t="s">
        <v>1375</v>
      </c>
      <c r="B1748">
        <v>11</v>
      </c>
      <c r="C1748" t="s">
        <v>4726</v>
      </c>
      <c r="D1748" t="s">
        <v>4852</v>
      </c>
      <c r="E1748" t="s">
        <v>4781</v>
      </c>
      <c r="F1748" t="s">
        <v>4406</v>
      </c>
      <c r="G1748" t="s">
        <v>4406</v>
      </c>
      <c r="H1748" t="s">
        <v>4406</v>
      </c>
      <c r="I1748" t="s">
        <v>4406</v>
      </c>
      <c r="J1748" t="s">
        <v>4406</v>
      </c>
      <c r="K1748" t="s">
        <v>4852</v>
      </c>
      <c r="L1748" t="s">
        <v>4852</v>
      </c>
    </row>
    <row r="1749" spans="1:12" x14ac:dyDescent="0.25">
      <c r="A1749" t="s">
        <v>1401</v>
      </c>
      <c r="B1749">
        <v>8</v>
      </c>
      <c r="C1749" t="s">
        <v>4406</v>
      </c>
      <c r="D1749" t="s">
        <v>4406</v>
      </c>
      <c r="E1749" t="s">
        <v>4602</v>
      </c>
      <c r="F1749" t="s">
        <v>4479</v>
      </c>
      <c r="G1749" t="s">
        <v>4462</v>
      </c>
      <c r="H1749" t="s">
        <v>4406</v>
      </c>
      <c r="I1749" t="s">
        <v>4406</v>
      </c>
      <c r="J1749" t="s">
        <v>4479</v>
      </c>
      <c r="K1749" t="s">
        <v>4406</v>
      </c>
      <c r="L1749" t="s">
        <v>4406</v>
      </c>
    </row>
    <row r="1750" spans="1:12" x14ac:dyDescent="0.25">
      <c r="A1750" t="s">
        <v>1296</v>
      </c>
      <c r="B1750">
        <v>44</v>
      </c>
      <c r="C1750" t="s">
        <v>4587</v>
      </c>
      <c r="D1750" t="s">
        <v>4689</v>
      </c>
      <c r="E1750" t="s">
        <v>4781</v>
      </c>
      <c r="F1750" t="s">
        <v>4689</v>
      </c>
      <c r="G1750" t="s">
        <v>4691</v>
      </c>
      <c r="H1750" t="s">
        <v>4406</v>
      </c>
      <c r="I1750" t="s">
        <v>4406</v>
      </c>
      <c r="J1750" t="s">
        <v>4753</v>
      </c>
      <c r="K1750" t="s">
        <v>4753</v>
      </c>
      <c r="L1750" t="s">
        <v>4753</v>
      </c>
    </row>
    <row r="1752" spans="1:12" x14ac:dyDescent="0.25">
      <c r="A1752" t="s">
        <v>6372</v>
      </c>
    </row>
    <row r="1753" spans="1:12" x14ac:dyDescent="0.25">
      <c r="A1753" t="s">
        <v>2615</v>
      </c>
      <c r="B1753" t="s">
        <v>4394</v>
      </c>
      <c r="C1753" t="s">
        <v>4732</v>
      </c>
      <c r="D1753" t="s">
        <v>5460</v>
      </c>
      <c r="E1753" t="s">
        <v>5461</v>
      </c>
      <c r="F1753" t="s">
        <v>4736</v>
      </c>
      <c r="G1753" t="s">
        <v>5462</v>
      </c>
      <c r="H1753" t="s">
        <v>5463</v>
      </c>
      <c r="I1753" t="s">
        <v>4737</v>
      </c>
      <c r="J1753" t="s">
        <v>5464</v>
      </c>
      <c r="K1753" t="s">
        <v>5465</v>
      </c>
      <c r="L1753" t="s">
        <v>5466</v>
      </c>
    </row>
    <row r="1754" spans="1:12" x14ac:dyDescent="0.25">
      <c r="A1754" t="s">
        <v>5057</v>
      </c>
      <c r="B1754">
        <v>30</v>
      </c>
      <c r="C1754" t="s">
        <v>4406</v>
      </c>
      <c r="D1754" t="s">
        <v>4646</v>
      </c>
      <c r="E1754" t="s">
        <v>5027</v>
      </c>
      <c r="F1754" t="s">
        <v>4651</v>
      </c>
      <c r="G1754" t="s">
        <v>4416</v>
      </c>
      <c r="H1754" t="s">
        <v>4406</v>
      </c>
      <c r="I1754" t="s">
        <v>4406</v>
      </c>
      <c r="J1754" t="s">
        <v>4651</v>
      </c>
      <c r="K1754" t="s">
        <v>4651</v>
      </c>
      <c r="L1754" t="s">
        <v>4651</v>
      </c>
    </row>
    <row r="1755" spans="1:12" x14ac:dyDescent="0.25">
      <c r="A1755" t="s">
        <v>5060</v>
      </c>
      <c r="B1755">
        <v>13</v>
      </c>
      <c r="C1755" t="s">
        <v>4915</v>
      </c>
      <c r="D1755" t="s">
        <v>4406</v>
      </c>
      <c r="E1755" t="s">
        <v>4567</v>
      </c>
      <c r="F1755" t="s">
        <v>4474</v>
      </c>
      <c r="G1755" t="s">
        <v>4406</v>
      </c>
      <c r="H1755" t="s">
        <v>4406</v>
      </c>
      <c r="I1755" t="s">
        <v>4406</v>
      </c>
      <c r="J1755" t="s">
        <v>4406</v>
      </c>
      <c r="K1755" t="s">
        <v>4406</v>
      </c>
      <c r="L1755" t="s">
        <v>4406</v>
      </c>
    </row>
    <row r="1756" spans="1:12" x14ac:dyDescent="0.25">
      <c r="A1756" t="s">
        <v>5061</v>
      </c>
      <c r="B1756">
        <v>1</v>
      </c>
      <c r="C1756" t="s">
        <v>4406</v>
      </c>
      <c r="D1756" t="s">
        <v>4406</v>
      </c>
      <c r="E1756" t="s">
        <v>4454</v>
      </c>
      <c r="F1756" t="s">
        <v>4406</v>
      </c>
      <c r="G1756" t="s">
        <v>4406</v>
      </c>
      <c r="H1756" t="s">
        <v>4406</v>
      </c>
      <c r="I1756" t="s">
        <v>4406</v>
      </c>
      <c r="J1756" t="s">
        <v>4406</v>
      </c>
      <c r="K1756" t="s">
        <v>4406</v>
      </c>
      <c r="L1756" t="s">
        <v>4406</v>
      </c>
    </row>
    <row r="1757" spans="1:12" x14ac:dyDescent="0.25">
      <c r="A1757" t="s">
        <v>1296</v>
      </c>
      <c r="B1757">
        <v>44</v>
      </c>
      <c r="C1757" t="s">
        <v>4587</v>
      </c>
      <c r="D1757" t="s">
        <v>4689</v>
      </c>
      <c r="E1757" t="s">
        <v>4781</v>
      </c>
      <c r="F1757" t="s">
        <v>4689</v>
      </c>
      <c r="G1757" t="s">
        <v>4691</v>
      </c>
      <c r="H1757" t="s">
        <v>4406</v>
      </c>
      <c r="I1757" t="s">
        <v>4406</v>
      </c>
      <c r="J1757" t="s">
        <v>4753</v>
      </c>
      <c r="K1757" t="s">
        <v>4753</v>
      </c>
      <c r="L1757" t="s">
        <v>4753</v>
      </c>
    </row>
    <row r="1759" spans="1:12" x14ac:dyDescent="0.25">
      <c r="A1759" t="s">
        <v>6373</v>
      </c>
    </row>
    <row r="1760" spans="1:12" x14ac:dyDescent="0.25">
      <c r="A1760" t="s">
        <v>2617</v>
      </c>
      <c r="B1760" t="s">
        <v>4394</v>
      </c>
      <c r="C1760" t="s">
        <v>4732</v>
      </c>
      <c r="D1760" t="s">
        <v>5460</v>
      </c>
      <c r="E1760" t="s">
        <v>5461</v>
      </c>
      <c r="F1760" t="s">
        <v>4736</v>
      </c>
      <c r="G1760" t="s">
        <v>5462</v>
      </c>
      <c r="H1760" t="s">
        <v>5463</v>
      </c>
      <c r="I1760" t="s">
        <v>4737</v>
      </c>
      <c r="J1760" t="s">
        <v>5464</v>
      </c>
      <c r="K1760" t="s">
        <v>5465</v>
      </c>
      <c r="L1760" t="s">
        <v>5466</v>
      </c>
    </row>
    <row r="1761" spans="1:12" x14ac:dyDescent="0.25">
      <c r="A1761" t="s">
        <v>192</v>
      </c>
      <c r="B1761">
        <v>44</v>
      </c>
      <c r="C1761" t="s">
        <v>4587</v>
      </c>
      <c r="D1761" t="s">
        <v>4689</v>
      </c>
      <c r="E1761" t="s">
        <v>4781</v>
      </c>
      <c r="F1761" t="s">
        <v>4689</v>
      </c>
      <c r="G1761" t="s">
        <v>4691</v>
      </c>
      <c r="H1761" t="s">
        <v>4406</v>
      </c>
      <c r="I1761" t="s">
        <v>4406</v>
      </c>
      <c r="J1761" t="s">
        <v>4753</v>
      </c>
      <c r="K1761" t="s">
        <v>4753</v>
      </c>
      <c r="L1761" t="s">
        <v>4753</v>
      </c>
    </row>
    <row r="1762" spans="1:12" x14ac:dyDescent="0.25">
      <c r="A1762" t="s">
        <v>1296</v>
      </c>
      <c r="B1762">
        <v>44</v>
      </c>
      <c r="C1762" t="s">
        <v>4587</v>
      </c>
      <c r="D1762" t="s">
        <v>4689</v>
      </c>
      <c r="E1762" t="s">
        <v>4781</v>
      </c>
      <c r="F1762" t="s">
        <v>4689</v>
      </c>
      <c r="G1762" t="s">
        <v>4691</v>
      </c>
      <c r="H1762" t="s">
        <v>4406</v>
      </c>
      <c r="I1762" t="s">
        <v>4406</v>
      </c>
      <c r="J1762" t="s">
        <v>4753</v>
      </c>
      <c r="K1762" t="s">
        <v>4753</v>
      </c>
      <c r="L1762" t="s">
        <v>4753</v>
      </c>
    </row>
    <row r="1764" spans="1:12" x14ac:dyDescent="0.25">
      <c r="A1764" t="s">
        <v>6374</v>
      </c>
    </row>
    <row r="1765" spans="1:12" x14ac:dyDescent="0.25">
      <c r="A1765" t="s">
        <v>5521</v>
      </c>
      <c r="B1765" t="s">
        <v>4394</v>
      </c>
      <c r="C1765" t="s">
        <v>4732</v>
      </c>
      <c r="D1765" t="s">
        <v>5460</v>
      </c>
      <c r="E1765" t="s">
        <v>5461</v>
      </c>
      <c r="F1765" t="s">
        <v>4736</v>
      </c>
      <c r="G1765" t="s">
        <v>5462</v>
      </c>
      <c r="H1765" t="s">
        <v>5463</v>
      </c>
      <c r="I1765" t="s">
        <v>4737</v>
      </c>
      <c r="J1765" t="s">
        <v>5464</v>
      </c>
      <c r="K1765" t="s">
        <v>5465</v>
      </c>
      <c r="L1765" t="s">
        <v>5466</v>
      </c>
    </row>
    <row r="1766" spans="1:12" x14ac:dyDescent="0.25">
      <c r="A1766" t="s">
        <v>4438</v>
      </c>
      <c r="B1766">
        <v>18</v>
      </c>
      <c r="C1766" t="s">
        <v>4676</v>
      </c>
      <c r="D1766" t="s">
        <v>4676</v>
      </c>
      <c r="E1766" t="s">
        <v>4783</v>
      </c>
      <c r="F1766" t="s">
        <v>4571</v>
      </c>
      <c r="G1766" t="s">
        <v>4406</v>
      </c>
      <c r="H1766" t="s">
        <v>4406</v>
      </c>
      <c r="I1766" t="s">
        <v>4406</v>
      </c>
      <c r="J1766" t="s">
        <v>4406</v>
      </c>
      <c r="K1766" t="s">
        <v>4571</v>
      </c>
      <c r="L1766" t="s">
        <v>4571</v>
      </c>
    </row>
    <row r="1767" spans="1:12" x14ac:dyDescent="0.25">
      <c r="A1767" t="s">
        <v>4439</v>
      </c>
      <c r="B1767">
        <v>11</v>
      </c>
      <c r="C1767" t="s">
        <v>4726</v>
      </c>
      <c r="D1767" t="s">
        <v>4406</v>
      </c>
      <c r="E1767" t="s">
        <v>4452</v>
      </c>
      <c r="F1767" t="s">
        <v>4405</v>
      </c>
      <c r="G1767" t="s">
        <v>4852</v>
      </c>
      <c r="H1767" t="s">
        <v>4406</v>
      </c>
      <c r="I1767" t="s">
        <v>4406</v>
      </c>
      <c r="J1767" t="s">
        <v>4852</v>
      </c>
      <c r="K1767" t="s">
        <v>4406</v>
      </c>
      <c r="L1767" t="s">
        <v>4406</v>
      </c>
    </row>
    <row r="1768" spans="1:12" x14ac:dyDescent="0.25">
      <c r="A1768" t="s">
        <v>1340</v>
      </c>
      <c r="B1768">
        <v>5</v>
      </c>
      <c r="C1768" t="s">
        <v>4406</v>
      </c>
      <c r="D1768" t="s">
        <v>4472</v>
      </c>
      <c r="E1768" t="s">
        <v>4454</v>
      </c>
      <c r="F1768" t="s">
        <v>4406</v>
      </c>
      <c r="G1768" t="s">
        <v>4406</v>
      </c>
      <c r="H1768" t="s">
        <v>4406</v>
      </c>
      <c r="I1768" t="s">
        <v>4406</v>
      </c>
      <c r="J1768" t="s">
        <v>4406</v>
      </c>
      <c r="K1768" t="s">
        <v>4406</v>
      </c>
      <c r="L1768" t="s">
        <v>4406</v>
      </c>
    </row>
    <row r="1769" spans="1:12" x14ac:dyDescent="0.25">
      <c r="A1769" t="s">
        <v>1372</v>
      </c>
      <c r="B1769">
        <v>10</v>
      </c>
      <c r="C1769" t="s">
        <v>4472</v>
      </c>
      <c r="D1769" t="s">
        <v>4406</v>
      </c>
      <c r="E1769" t="s">
        <v>4782</v>
      </c>
      <c r="F1769" t="s">
        <v>4406</v>
      </c>
      <c r="G1769" t="s">
        <v>4646</v>
      </c>
      <c r="H1769" t="s">
        <v>4406</v>
      </c>
      <c r="I1769" t="s">
        <v>4406</v>
      </c>
      <c r="J1769" t="s">
        <v>4406</v>
      </c>
      <c r="K1769" t="s">
        <v>4406</v>
      </c>
      <c r="L1769" t="s">
        <v>4406</v>
      </c>
    </row>
    <row r="1770" spans="1:12" x14ac:dyDescent="0.25">
      <c r="A1770" t="s">
        <v>1296</v>
      </c>
      <c r="B1770">
        <v>44</v>
      </c>
      <c r="C1770" t="s">
        <v>4587</v>
      </c>
      <c r="D1770" t="s">
        <v>4689</v>
      </c>
      <c r="E1770" t="s">
        <v>4781</v>
      </c>
      <c r="F1770" t="s">
        <v>4689</v>
      </c>
      <c r="G1770" t="s">
        <v>4691</v>
      </c>
      <c r="H1770" t="s">
        <v>4406</v>
      </c>
      <c r="I1770" t="s">
        <v>4406</v>
      </c>
      <c r="J1770" t="s">
        <v>4753</v>
      </c>
      <c r="K1770" t="s">
        <v>4753</v>
      </c>
      <c r="L1770" t="s">
        <v>4753</v>
      </c>
    </row>
    <row r="1772" spans="1:12" x14ac:dyDescent="0.25">
      <c r="A1772" t="s">
        <v>6375</v>
      </c>
    </row>
    <row r="1773" spans="1:12" x14ac:dyDescent="0.25">
      <c r="A1773" t="s">
        <v>5518</v>
      </c>
      <c r="B1773" t="s">
        <v>4394</v>
      </c>
      <c r="C1773" t="s">
        <v>4732</v>
      </c>
      <c r="D1773" t="s">
        <v>5460</v>
      </c>
      <c r="E1773" t="s">
        <v>5461</v>
      </c>
      <c r="F1773" t="s">
        <v>4736</v>
      </c>
      <c r="G1773" t="s">
        <v>5462</v>
      </c>
      <c r="H1773" t="s">
        <v>5463</v>
      </c>
      <c r="I1773" t="s">
        <v>4737</v>
      </c>
      <c r="J1773" t="s">
        <v>5464</v>
      </c>
      <c r="K1773" t="s">
        <v>5465</v>
      </c>
      <c r="L1773" t="s">
        <v>5466</v>
      </c>
    </row>
    <row r="1774" spans="1:12" x14ac:dyDescent="0.25">
      <c r="A1774" t="s">
        <v>4438</v>
      </c>
      <c r="B1774">
        <v>19</v>
      </c>
      <c r="C1774" t="s">
        <v>4640</v>
      </c>
      <c r="D1774" t="s">
        <v>4600</v>
      </c>
      <c r="E1774" t="s">
        <v>4830</v>
      </c>
      <c r="F1774" t="s">
        <v>4640</v>
      </c>
      <c r="G1774" t="s">
        <v>4406</v>
      </c>
      <c r="H1774" t="s">
        <v>4406</v>
      </c>
      <c r="I1774" t="s">
        <v>4406</v>
      </c>
      <c r="J1774" t="s">
        <v>4406</v>
      </c>
      <c r="K1774" t="s">
        <v>4640</v>
      </c>
      <c r="L1774" t="s">
        <v>4640</v>
      </c>
    </row>
    <row r="1775" spans="1:12" x14ac:dyDescent="0.25">
      <c r="A1775" t="s">
        <v>4439</v>
      </c>
      <c r="B1775">
        <v>9</v>
      </c>
      <c r="C1775" t="s">
        <v>4731</v>
      </c>
      <c r="D1775" t="s">
        <v>4406</v>
      </c>
      <c r="E1775" t="s">
        <v>4727</v>
      </c>
      <c r="F1775" t="s">
        <v>4731</v>
      </c>
      <c r="G1775" t="s">
        <v>4676</v>
      </c>
      <c r="H1775" t="s">
        <v>4406</v>
      </c>
      <c r="I1775" t="s">
        <v>4406</v>
      </c>
      <c r="J1775" t="s">
        <v>4406</v>
      </c>
      <c r="K1775" t="s">
        <v>4406</v>
      </c>
      <c r="L1775" t="s">
        <v>4406</v>
      </c>
    </row>
    <row r="1776" spans="1:12" x14ac:dyDescent="0.25">
      <c r="A1776" t="s">
        <v>1400</v>
      </c>
      <c r="B1776">
        <v>2</v>
      </c>
      <c r="C1776" t="s">
        <v>4406</v>
      </c>
      <c r="D1776" t="s">
        <v>4406</v>
      </c>
      <c r="E1776" t="s">
        <v>4468</v>
      </c>
      <c r="F1776" t="s">
        <v>4406</v>
      </c>
      <c r="G1776" t="s">
        <v>4406</v>
      </c>
      <c r="H1776" t="s">
        <v>4406</v>
      </c>
      <c r="I1776" t="s">
        <v>4406</v>
      </c>
      <c r="J1776" t="s">
        <v>4468</v>
      </c>
      <c r="K1776" t="s">
        <v>4406</v>
      </c>
      <c r="L1776" t="s">
        <v>4406</v>
      </c>
    </row>
    <row r="1777" spans="1:12" x14ac:dyDescent="0.25">
      <c r="A1777" t="s">
        <v>1340</v>
      </c>
      <c r="B1777">
        <v>5</v>
      </c>
      <c r="C1777" t="s">
        <v>4406</v>
      </c>
      <c r="D1777" t="s">
        <v>4472</v>
      </c>
      <c r="E1777" t="s">
        <v>4454</v>
      </c>
      <c r="F1777" t="s">
        <v>4406</v>
      </c>
      <c r="G1777" t="s">
        <v>4406</v>
      </c>
      <c r="H1777" t="s">
        <v>4406</v>
      </c>
      <c r="I1777" t="s">
        <v>4406</v>
      </c>
      <c r="J1777" t="s">
        <v>4406</v>
      </c>
      <c r="K1777" t="s">
        <v>4406</v>
      </c>
      <c r="L1777" t="s">
        <v>4406</v>
      </c>
    </row>
    <row r="1778" spans="1:12" x14ac:dyDescent="0.25">
      <c r="A1778" t="s">
        <v>1372</v>
      </c>
      <c r="B1778">
        <v>9</v>
      </c>
      <c r="C1778" t="s">
        <v>4570</v>
      </c>
      <c r="D1778" t="s">
        <v>4406</v>
      </c>
      <c r="E1778" t="s">
        <v>4570</v>
      </c>
      <c r="F1778" t="s">
        <v>4406</v>
      </c>
      <c r="G1778" t="s">
        <v>4676</v>
      </c>
      <c r="H1778" t="s">
        <v>4406</v>
      </c>
      <c r="I1778" t="s">
        <v>4406</v>
      </c>
      <c r="J1778" t="s">
        <v>4406</v>
      </c>
      <c r="K1778" t="s">
        <v>4406</v>
      </c>
      <c r="L1778" t="s">
        <v>4406</v>
      </c>
    </row>
    <row r="1779" spans="1:12" x14ac:dyDescent="0.25">
      <c r="A1779" t="s">
        <v>1296</v>
      </c>
      <c r="B1779">
        <v>44</v>
      </c>
      <c r="C1779" t="s">
        <v>4587</v>
      </c>
      <c r="D1779" t="s">
        <v>4689</v>
      </c>
      <c r="E1779" t="s">
        <v>4781</v>
      </c>
      <c r="F1779" t="s">
        <v>4689</v>
      </c>
      <c r="G1779" t="s">
        <v>4691</v>
      </c>
      <c r="H1779" t="s">
        <v>4406</v>
      </c>
      <c r="I1779" t="s">
        <v>4406</v>
      </c>
      <c r="J1779" t="s">
        <v>4753</v>
      </c>
      <c r="K1779" t="s">
        <v>4753</v>
      </c>
      <c r="L1779" t="s">
        <v>4753</v>
      </c>
    </row>
    <row r="1781" spans="1:12" x14ac:dyDescent="0.25">
      <c r="A1781" t="s">
        <v>6376</v>
      </c>
    </row>
    <row r="1782" spans="1:12" x14ac:dyDescent="0.25">
      <c r="A1782" t="s">
        <v>1009</v>
      </c>
      <c r="B1782" t="s">
        <v>4394</v>
      </c>
      <c r="C1782" t="s">
        <v>4732</v>
      </c>
      <c r="D1782" t="s">
        <v>5460</v>
      </c>
      <c r="E1782" t="s">
        <v>5461</v>
      </c>
      <c r="F1782" t="s">
        <v>4736</v>
      </c>
      <c r="G1782" t="s">
        <v>5462</v>
      </c>
      <c r="H1782" t="s">
        <v>5463</v>
      </c>
      <c r="I1782" t="s">
        <v>4737</v>
      </c>
      <c r="J1782" t="s">
        <v>5464</v>
      </c>
      <c r="K1782" t="s">
        <v>5465</v>
      </c>
      <c r="L1782" t="s">
        <v>5466</v>
      </c>
    </row>
    <row r="1783" spans="1:12" x14ac:dyDescent="0.25">
      <c r="A1783" t="s">
        <v>4438</v>
      </c>
      <c r="B1783">
        <v>14</v>
      </c>
      <c r="C1783" t="s">
        <v>4400</v>
      </c>
      <c r="D1783" t="s">
        <v>4522</v>
      </c>
      <c r="E1783" t="s">
        <v>4946</v>
      </c>
      <c r="F1783" t="s">
        <v>4400</v>
      </c>
      <c r="G1783" t="s">
        <v>4406</v>
      </c>
      <c r="H1783" t="s">
        <v>4406</v>
      </c>
      <c r="I1783" t="s">
        <v>4406</v>
      </c>
      <c r="J1783" t="s">
        <v>4406</v>
      </c>
      <c r="K1783" t="s">
        <v>4400</v>
      </c>
      <c r="L1783" t="s">
        <v>4400</v>
      </c>
    </row>
    <row r="1784" spans="1:12" x14ac:dyDescent="0.25">
      <c r="A1784" t="s">
        <v>4439</v>
      </c>
      <c r="B1784">
        <v>6</v>
      </c>
      <c r="C1784" t="s">
        <v>4465</v>
      </c>
      <c r="D1784" t="s">
        <v>4406</v>
      </c>
      <c r="E1784" t="s">
        <v>4465</v>
      </c>
      <c r="F1784" t="s">
        <v>4465</v>
      </c>
      <c r="G1784" t="s">
        <v>4596</v>
      </c>
      <c r="H1784" t="s">
        <v>4406</v>
      </c>
      <c r="I1784" t="s">
        <v>4406</v>
      </c>
      <c r="J1784" t="s">
        <v>4406</v>
      </c>
      <c r="K1784" t="s">
        <v>4406</v>
      </c>
      <c r="L1784" t="s">
        <v>4406</v>
      </c>
    </row>
    <row r="1785" spans="1:12" x14ac:dyDescent="0.25">
      <c r="A1785" t="s">
        <v>1400</v>
      </c>
      <c r="B1785">
        <v>1</v>
      </c>
      <c r="C1785" t="s">
        <v>4454</v>
      </c>
      <c r="D1785" t="s">
        <v>4406</v>
      </c>
      <c r="E1785" t="s">
        <v>4406</v>
      </c>
      <c r="F1785" t="s">
        <v>4406</v>
      </c>
      <c r="G1785" t="s">
        <v>4406</v>
      </c>
      <c r="H1785" t="s">
        <v>4406</v>
      </c>
      <c r="I1785" t="s">
        <v>4406</v>
      </c>
      <c r="J1785" t="s">
        <v>4406</v>
      </c>
      <c r="K1785" t="s">
        <v>4406</v>
      </c>
      <c r="L1785" t="s">
        <v>4406</v>
      </c>
    </row>
    <row r="1786" spans="1:12" x14ac:dyDescent="0.25">
      <c r="A1786" t="s">
        <v>1340</v>
      </c>
      <c r="B1786">
        <v>4</v>
      </c>
      <c r="C1786" t="s">
        <v>4406</v>
      </c>
      <c r="D1786" t="s">
        <v>4462</v>
      </c>
      <c r="E1786" t="s">
        <v>4454</v>
      </c>
      <c r="F1786" t="s">
        <v>4406</v>
      </c>
      <c r="G1786" t="s">
        <v>4406</v>
      </c>
      <c r="H1786" t="s">
        <v>4406</v>
      </c>
      <c r="I1786" t="s">
        <v>4406</v>
      </c>
      <c r="J1786" t="s">
        <v>4406</v>
      </c>
      <c r="K1786" t="s">
        <v>4406</v>
      </c>
      <c r="L1786" t="s">
        <v>4406</v>
      </c>
    </row>
    <row r="1787" spans="1:12" x14ac:dyDescent="0.25">
      <c r="A1787" t="s">
        <v>1426</v>
      </c>
      <c r="B1787">
        <v>2</v>
      </c>
      <c r="C1787" t="s">
        <v>4406</v>
      </c>
      <c r="D1787" t="s">
        <v>4406</v>
      </c>
      <c r="E1787" t="s">
        <v>4468</v>
      </c>
      <c r="F1787" t="s">
        <v>4406</v>
      </c>
      <c r="G1787" t="s">
        <v>4406</v>
      </c>
      <c r="H1787" t="s">
        <v>4406</v>
      </c>
      <c r="I1787" t="s">
        <v>4406</v>
      </c>
      <c r="J1787" t="s">
        <v>4468</v>
      </c>
      <c r="K1787" t="s">
        <v>4406</v>
      </c>
      <c r="L1787" t="s">
        <v>4406</v>
      </c>
    </row>
    <row r="1788" spans="1:12" x14ac:dyDescent="0.25">
      <c r="A1788" t="s">
        <v>1372</v>
      </c>
      <c r="B1788">
        <v>17</v>
      </c>
      <c r="C1788" t="s">
        <v>4616</v>
      </c>
      <c r="D1788" t="s">
        <v>4406</v>
      </c>
      <c r="E1788" t="s">
        <v>4835</v>
      </c>
      <c r="F1788" t="s">
        <v>4406</v>
      </c>
      <c r="G1788" t="s">
        <v>4699</v>
      </c>
      <c r="H1788" t="s">
        <v>4406</v>
      </c>
      <c r="I1788" t="s">
        <v>4406</v>
      </c>
      <c r="J1788" t="s">
        <v>4406</v>
      </c>
      <c r="K1788" t="s">
        <v>4406</v>
      </c>
      <c r="L1788" t="s">
        <v>4406</v>
      </c>
    </row>
    <row r="1789" spans="1:12" x14ac:dyDescent="0.25">
      <c r="A1789" t="s">
        <v>1296</v>
      </c>
      <c r="B1789">
        <v>44</v>
      </c>
      <c r="C1789" t="s">
        <v>4587</v>
      </c>
      <c r="D1789" t="s">
        <v>4689</v>
      </c>
      <c r="E1789" t="s">
        <v>4781</v>
      </c>
      <c r="F1789" t="s">
        <v>4689</v>
      </c>
      <c r="G1789" t="s">
        <v>4691</v>
      </c>
      <c r="H1789" t="s">
        <v>4406</v>
      </c>
      <c r="I1789" t="s">
        <v>4406</v>
      </c>
      <c r="J1789" t="s">
        <v>4753</v>
      </c>
      <c r="K1789" t="s">
        <v>4753</v>
      </c>
      <c r="L1789" t="s">
        <v>4753</v>
      </c>
    </row>
    <row r="1791" spans="1:12" x14ac:dyDescent="0.25">
      <c r="A1791" t="s">
        <v>6377</v>
      </c>
    </row>
    <row r="1792" spans="1:12" x14ac:dyDescent="0.25">
      <c r="A1792" t="s">
        <v>1011</v>
      </c>
      <c r="B1792" t="s">
        <v>4394</v>
      </c>
      <c r="C1792" t="s">
        <v>4732</v>
      </c>
      <c r="D1792" t="s">
        <v>5460</v>
      </c>
      <c r="E1792" t="s">
        <v>5461</v>
      </c>
      <c r="F1792" t="s">
        <v>4736</v>
      </c>
      <c r="G1792" t="s">
        <v>5462</v>
      </c>
      <c r="H1792" t="s">
        <v>5463</v>
      </c>
      <c r="I1792" t="s">
        <v>4737</v>
      </c>
      <c r="J1792" t="s">
        <v>5464</v>
      </c>
      <c r="K1792" t="s">
        <v>5465</v>
      </c>
      <c r="L1792" t="s">
        <v>5466</v>
      </c>
    </row>
    <row r="1793" spans="1:12" x14ac:dyDescent="0.25">
      <c r="A1793" t="s">
        <v>4438</v>
      </c>
      <c r="B1793">
        <v>17</v>
      </c>
      <c r="C1793" t="s">
        <v>4406</v>
      </c>
      <c r="D1793" t="s">
        <v>4617</v>
      </c>
      <c r="E1793" t="s">
        <v>4729</v>
      </c>
      <c r="F1793" t="s">
        <v>4699</v>
      </c>
      <c r="G1793" t="s">
        <v>4406</v>
      </c>
      <c r="H1793" t="s">
        <v>4406</v>
      </c>
      <c r="I1793" t="s">
        <v>4406</v>
      </c>
      <c r="J1793" t="s">
        <v>4406</v>
      </c>
      <c r="K1793" t="s">
        <v>4699</v>
      </c>
      <c r="L1793" t="s">
        <v>4699</v>
      </c>
    </row>
    <row r="1794" spans="1:12" x14ac:dyDescent="0.25">
      <c r="A1794" t="s">
        <v>4439</v>
      </c>
      <c r="B1794">
        <v>6</v>
      </c>
      <c r="C1794" t="s">
        <v>4596</v>
      </c>
      <c r="D1794" t="s">
        <v>4406</v>
      </c>
      <c r="E1794" t="s">
        <v>4468</v>
      </c>
      <c r="F1794" t="s">
        <v>4465</v>
      </c>
      <c r="G1794" t="s">
        <v>4596</v>
      </c>
      <c r="H1794" t="s">
        <v>4406</v>
      </c>
      <c r="I1794" t="s">
        <v>4406</v>
      </c>
      <c r="J1794" t="s">
        <v>4406</v>
      </c>
      <c r="K1794" t="s">
        <v>4406</v>
      </c>
      <c r="L1794" t="s">
        <v>4406</v>
      </c>
    </row>
    <row r="1795" spans="1:12" x14ac:dyDescent="0.25">
      <c r="A1795" t="s">
        <v>1400</v>
      </c>
      <c r="B1795">
        <v>1</v>
      </c>
      <c r="C1795" t="s">
        <v>4454</v>
      </c>
      <c r="D1795" t="s">
        <v>4406</v>
      </c>
      <c r="E1795" t="s">
        <v>4406</v>
      </c>
      <c r="F1795" t="s">
        <v>4406</v>
      </c>
      <c r="G1795" t="s">
        <v>4406</v>
      </c>
      <c r="H1795" t="s">
        <v>4406</v>
      </c>
      <c r="I1795" t="s">
        <v>4406</v>
      </c>
      <c r="J1795" t="s">
        <v>4406</v>
      </c>
      <c r="K1795" t="s">
        <v>4406</v>
      </c>
      <c r="L1795" t="s">
        <v>4406</v>
      </c>
    </row>
    <row r="1796" spans="1:12" x14ac:dyDescent="0.25">
      <c r="A1796" t="s">
        <v>1340</v>
      </c>
      <c r="B1796">
        <v>4</v>
      </c>
      <c r="C1796" t="s">
        <v>4406</v>
      </c>
      <c r="D1796" t="s">
        <v>4462</v>
      </c>
      <c r="E1796" t="s">
        <v>4454</v>
      </c>
      <c r="F1796" t="s">
        <v>4406</v>
      </c>
      <c r="G1796" t="s">
        <v>4406</v>
      </c>
      <c r="H1796" t="s">
        <v>4406</v>
      </c>
      <c r="I1796" t="s">
        <v>4406</v>
      </c>
      <c r="J1796" t="s">
        <v>4406</v>
      </c>
      <c r="K1796" t="s">
        <v>4406</v>
      </c>
      <c r="L1796" t="s">
        <v>4406</v>
      </c>
    </row>
    <row r="1797" spans="1:12" x14ac:dyDescent="0.25">
      <c r="A1797" t="s">
        <v>1426</v>
      </c>
      <c r="B1797">
        <v>1</v>
      </c>
      <c r="C1797" t="s">
        <v>4406</v>
      </c>
      <c r="D1797" t="s">
        <v>4406</v>
      </c>
      <c r="E1797" t="s">
        <v>4406</v>
      </c>
      <c r="F1797" t="s">
        <v>4406</v>
      </c>
      <c r="G1797" t="s">
        <v>4406</v>
      </c>
      <c r="H1797" t="s">
        <v>4406</v>
      </c>
      <c r="I1797" t="s">
        <v>4406</v>
      </c>
      <c r="J1797" t="s">
        <v>4454</v>
      </c>
      <c r="K1797" t="s">
        <v>4406</v>
      </c>
      <c r="L1797" t="s">
        <v>4406</v>
      </c>
    </row>
    <row r="1798" spans="1:12" x14ac:dyDescent="0.25">
      <c r="A1798" t="s">
        <v>1372</v>
      </c>
      <c r="B1798">
        <v>15</v>
      </c>
      <c r="C1798" t="s">
        <v>4465</v>
      </c>
      <c r="D1798" t="s">
        <v>4406</v>
      </c>
      <c r="E1798" t="s">
        <v>4457</v>
      </c>
      <c r="F1798" t="s">
        <v>4406</v>
      </c>
      <c r="G1798" t="s">
        <v>4416</v>
      </c>
      <c r="H1798" t="s">
        <v>4406</v>
      </c>
      <c r="I1798" t="s">
        <v>4406</v>
      </c>
      <c r="J1798" t="s">
        <v>4406</v>
      </c>
      <c r="K1798" t="s">
        <v>4406</v>
      </c>
      <c r="L1798" t="s">
        <v>4406</v>
      </c>
    </row>
    <row r="1799" spans="1:12" x14ac:dyDescent="0.25">
      <c r="A1799" t="s">
        <v>1296</v>
      </c>
      <c r="B1799">
        <v>44</v>
      </c>
      <c r="C1799" t="s">
        <v>4587</v>
      </c>
      <c r="D1799" t="s">
        <v>4689</v>
      </c>
      <c r="E1799" t="s">
        <v>4781</v>
      </c>
      <c r="F1799" t="s">
        <v>4689</v>
      </c>
      <c r="G1799" t="s">
        <v>4691</v>
      </c>
      <c r="H1799" t="s">
        <v>4406</v>
      </c>
      <c r="I1799" t="s">
        <v>4406</v>
      </c>
      <c r="J1799" t="s">
        <v>4753</v>
      </c>
      <c r="K1799" t="s">
        <v>4753</v>
      </c>
      <c r="L1799" t="s">
        <v>4753</v>
      </c>
    </row>
    <row r="1801" spans="1:12" x14ac:dyDescent="0.25">
      <c r="A1801" t="s">
        <v>6378</v>
      </c>
    </row>
    <row r="1802" spans="1:12" x14ac:dyDescent="0.25">
      <c r="A1802" t="s">
        <v>903</v>
      </c>
      <c r="B1802" t="s">
        <v>4394</v>
      </c>
      <c r="C1802" t="s">
        <v>4732</v>
      </c>
      <c r="D1802" t="s">
        <v>5460</v>
      </c>
      <c r="E1802" t="s">
        <v>5461</v>
      </c>
      <c r="F1802" t="s">
        <v>4736</v>
      </c>
      <c r="G1802" t="s">
        <v>5462</v>
      </c>
      <c r="H1802" t="s">
        <v>5463</v>
      </c>
      <c r="I1802" t="s">
        <v>4737</v>
      </c>
      <c r="J1802" t="s">
        <v>5464</v>
      </c>
      <c r="K1802" t="s">
        <v>5465</v>
      </c>
      <c r="L1802" t="s">
        <v>5466</v>
      </c>
    </row>
    <row r="1803" spans="1:12" x14ac:dyDescent="0.25">
      <c r="A1803" t="s">
        <v>70</v>
      </c>
      <c r="B1803">
        <v>13</v>
      </c>
      <c r="C1803" t="s">
        <v>4567</v>
      </c>
      <c r="D1803" t="s">
        <v>4705</v>
      </c>
      <c r="E1803" t="s">
        <v>4915</v>
      </c>
      <c r="F1803" t="s">
        <v>4705</v>
      </c>
      <c r="G1803" t="s">
        <v>4474</v>
      </c>
      <c r="H1803" t="s">
        <v>4406</v>
      </c>
      <c r="I1803" t="s">
        <v>4406</v>
      </c>
      <c r="J1803" t="s">
        <v>4406</v>
      </c>
      <c r="K1803" t="s">
        <v>4705</v>
      </c>
      <c r="L1803" t="s">
        <v>4705</v>
      </c>
    </row>
    <row r="1804" spans="1:12" x14ac:dyDescent="0.25">
      <c r="A1804" t="s">
        <v>71</v>
      </c>
      <c r="B1804">
        <v>31</v>
      </c>
      <c r="C1804" t="s">
        <v>4564</v>
      </c>
      <c r="D1804" t="s">
        <v>4670</v>
      </c>
      <c r="E1804" t="s">
        <v>4997</v>
      </c>
      <c r="F1804" t="s">
        <v>4670</v>
      </c>
      <c r="G1804" t="s">
        <v>4406</v>
      </c>
      <c r="H1804" t="s">
        <v>4406</v>
      </c>
      <c r="I1804" t="s">
        <v>4406</v>
      </c>
      <c r="J1804" t="s">
        <v>4713</v>
      </c>
      <c r="K1804" t="s">
        <v>4406</v>
      </c>
      <c r="L1804" t="s">
        <v>4406</v>
      </c>
    </row>
    <row r="1805" spans="1:12" x14ac:dyDescent="0.25">
      <c r="A1805" t="s">
        <v>1296</v>
      </c>
      <c r="B1805">
        <v>44</v>
      </c>
      <c r="C1805" t="s">
        <v>4587</v>
      </c>
      <c r="D1805" t="s">
        <v>4689</v>
      </c>
      <c r="E1805" t="s">
        <v>4781</v>
      </c>
      <c r="F1805" t="s">
        <v>4689</v>
      </c>
      <c r="G1805" t="s">
        <v>4691</v>
      </c>
      <c r="H1805" t="s">
        <v>4406</v>
      </c>
      <c r="I1805" t="s">
        <v>4406</v>
      </c>
      <c r="J1805" t="s">
        <v>4753</v>
      </c>
      <c r="K1805" t="s">
        <v>4753</v>
      </c>
      <c r="L1805" t="s">
        <v>4753</v>
      </c>
    </row>
    <row r="1807" spans="1:12" x14ac:dyDescent="0.25">
      <c r="A1807" t="s">
        <v>6379</v>
      </c>
    </row>
    <row r="1808" spans="1:12" x14ac:dyDescent="0.25">
      <c r="A1808" t="s">
        <v>2842</v>
      </c>
      <c r="B1808" t="s">
        <v>4394</v>
      </c>
      <c r="C1808" t="s">
        <v>4428</v>
      </c>
      <c r="D1808" t="s">
        <v>4429</v>
      </c>
      <c r="E1808" t="s">
        <v>4430</v>
      </c>
      <c r="F1808" t="s">
        <v>4431</v>
      </c>
      <c r="G1808" t="s">
        <v>4432</v>
      </c>
    </row>
    <row r="1809" spans="1:7" x14ac:dyDescent="0.25">
      <c r="A1809" t="s">
        <v>5549</v>
      </c>
      <c r="B1809">
        <v>43</v>
      </c>
      <c r="C1809">
        <v>1.42</v>
      </c>
      <c r="D1809">
        <v>1</v>
      </c>
      <c r="E1809">
        <v>1</v>
      </c>
      <c r="F1809">
        <v>3</v>
      </c>
      <c r="G1809">
        <v>61</v>
      </c>
    </row>
    <row r="1810" spans="1:7" x14ac:dyDescent="0.25">
      <c r="A1810" t="s">
        <v>1397</v>
      </c>
      <c r="B1810">
        <v>40</v>
      </c>
      <c r="C1810">
        <v>1.7</v>
      </c>
      <c r="D1810">
        <v>1</v>
      </c>
      <c r="E1810">
        <v>1</v>
      </c>
      <c r="F1810">
        <v>4</v>
      </c>
      <c r="G1810">
        <v>68</v>
      </c>
    </row>
    <row r="1812" spans="1:7" x14ac:dyDescent="0.25">
      <c r="A1812" t="s">
        <v>5530</v>
      </c>
    </row>
    <row r="1813" spans="1:7" x14ac:dyDescent="0.25">
      <c r="A1813" t="s">
        <v>2842</v>
      </c>
      <c r="B1813" t="s">
        <v>4394</v>
      </c>
      <c r="C1813" t="s">
        <v>4428</v>
      </c>
      <c r="D1813" t="s">
        <v>4429</v>
      </c>
      <c r="E1813" t="s">
        <v>4430</v>
      </c>
      <c r="F1813" t="s">
        <v>4431</v>
      </c>
      <c r="G1813" t="s">
        <v>4432</v>
      </c>
    </row>
    <row r="1814" spans="1:7" x14ac:dyDescent="0.25">
      <c r="A1814" t="s">
        <v>5549</v>
      </c>
      <c r="B1814">
        <v>5</v>
      </c>
      <c r="C1814">
        <v>1.4</v>
      </c>
      <c r="D1814">
        <v>1</v>
      </c>
      <c r="E1814">
        <v>1</v>
      </c>
      <c r="F1814">
        <v>2</v>
      </c>
      <c r="G1814">
        <v>7</v>
      </c>
    </row>
    <row r="1815" spans="1:7" x14ac:dyDescent="0.25">
      <c r="A1815" t="s">
        <v>1397</v>
      </c>
      <c r="B1815">
        <v>5</v>
      </c>
      <c r="C1815">
        <v>0.2</v>
      </c>
      <c r="D1815">
        <v>0</v>
      </c>
      <c r="E1815">
        <v>0</v>
      </c>
      <c r="F1815">
        <v>1</v>
      </c>
      <c r="G1815">
        <v>1</v>
      </c>
    </row>
    <row r="1817" spans="1:7" x14ac:dyDescent="0.25">
      <c r="A1817" t="s">
        <v>5531</v>
      </c>
    </row>
    <row r="1818" spans="1:7" x14ac:dyDescent="0.25">
      <c r="A1818" t="s">
        <v>2842</v>
      </c>
      <c r="B1818" t="s">
        <v>4394</v>
      </c>
      <c r="C1818" t="s">
        <v>109</v>
      </c>
      <c r="D1818" t="s">
        <v>192</v>
      </c>
    </row>
    <row r="1819" spans="1:7" x14ac:dyDescent="0.25">
      <c r="A1819" t="s">
        <v>5549</v>
      </c>
      <c r="B1819">
        <v>83</v>
      </c>
      <c r="C1819" t="s">
        <v>5007</v>
      </c>
      <c r="D1819" t="s">
        <v>4749</v>
      </c>
    </row>
    <row r="1820" spans="1:7" x14ac:dyDescent="0.25">
      <c r="A1820" t="s">
        <v>1397</v>
      </c>
      <c r="B1820">
        <v>55</v>
      </c>
      <c r="C1820" t="s">
        <v>5344</v>
      </c>
      <c r="D1820" t="s">
        <v>4905</v>
      </c>
    </row>
    <row r="1821" spans="1:7" x14ac:dyDescent="0.25">
      <c r="A1821" t="s">
        <v>1296</v>
      </c>
      <c r="B1821">
        <v>138</v>
      </c>
      <c r="C1821" t="s">
        <v>5279</v>
      </c>
      <c r="D1821" t="s">
        <v>5076</v>
      </c>
    </row>
    <row r="1823" spans="1:7" x14ac:dyDescent="0.25">
      <c r="A1823" t="s">
        <v>6380</v>
      </c>
    </row>
    <row r="1824" spans="1:7" x14ac:dyDescent="0.25">
      <c r="A1824" t="s">
        <v>2842</v>
      </c>
      <c r="B1824" t="s">
        <v>4394</v>
      </c>
      <c r="C1824" t="s">
        <v>1309</v>
      </c>
      <c r="D1824" t="s">
        <v>4844</v>
      </c>
      <c r="E1824" t="s">
        <v>4847</v>
      </c>
      <c r="F1824" t="s">
        <v>4848</v>
      </c>
    </row>
    <row r="1825" spans="1:6" x14ac:dyDescent="0.25">
      <c r="A1825" t="s">
        <v>5549</v>
      </c>
      <c r="B1825">
        <v>83</v>
      </c>
      <c r="C1825" t="s">
        <v>4406</v>
      </c>
      <c r="D1825" t="s">
        <v>4870</v>
      </c>
      <c r="E1825" t="s">
        <v>4605</v>
      </c>
      <c r="F1825" t="s">
        <v>4707</v>
      </c>
    </row>
    <row r="1826" spans="1:6" x14ac:dyDescent="0.25">
      <c r="A1826" t="s">
        <v>1397</v>
      </c>
      <c r="B1826">
        <v>55</v>
      </c>
      <c r="C1826" t="s">
        <v>5076</v>
      </c>
      <c r="D1826" t="s">
        <v>4452</v>
      </c>
      <c r="E1826" t="s">
        <v>4500</v>
      </c>
      <c r="F1826" t="s">
        <v>4472</v>
      </c>
    </row>
    <row r="1827" spans="1:6" x14ac:dyDescent="0.25">
      <c r="A1827" t="s">
        <v>1296</v>
      </c>
      <c r="B1827">
        <v>138</v>
      </c>
      <c r="C1827" t="s">
        <v>4750</v>
      </c>
      <c r="D1827" t="s">
        <v>4509</v>
      </c>
      <c r="E1827" t="s">
        <v>5225</v>
      </c>
      <c r="F1827" t="s">
        <v>4863</v>
      </c>
    </row>
    <row r="1829" spans="1:6" x14ac:dyDescent="0.25">
      <c r="A1829" t="s">
        <v>6381</v>
      </c>
    </row>
    <row r="1830" spans="1:6" x14ac:dyDescent="0.25">
      <c r="A1830" t="s">
        <v>992</v>
      </c>
      <c r="B1830" t="s">
        <v>4394</v>
      </c>
      <c r="C1830" t="s">
        <v>1309</v>
      </c>
      <c r="D1830" t="s">
        <v>4844</v>
      </c>
      <c r="E1830" t="s">
        <v>4847</v>
      </c>
      <c r="F1830" t="s">
        <v>4848</v>
      </c>
    </row>
    <row r="1831" spans="1:6" x14ac:dyDescent="0.25">
      <c r="A1831" t="s">
        <v>4844</v>
      </c>
      <c r="B1831">
        <v>21</v>
      </c>
      <c r="C1831" t="s">
        <v>4749</v>
      </c>
      <c r="D1831" t="s">
        <v>5007</v>
      </c>
      <c r="E1831" t="s">
        <v>4406</v>
      </c>
      <c r="F1831" t="s">
        <v>4406</v>
      </c>
    </row>
    <row r="1832" spans="1:6" x14ac:dyDescent="0.25">
      <c r="A1832" t="s">
        <v>4845</v>
      </c>
      <c r="B1832">
        <v>108</v>
      </c>
      <c r="C1832" t="s">
        <v>4902</v>
      </c>
      <c r="D1832" t="s">
        <v>4858</v>
      </c>
      <c r="E1832" t="s">
        <v>4841</v>
      </c>
      <c r="F1832" t="s">
        <v>4859</v>
      </c>
    </row>
    <row r="1833" spans="1:6" x14ac:dyDescent="0.25">
      <c r="A1833" t="s">
        <v>4846</v>
      </c>
      <c r="B1833">
        <v>9</v>
      </c>
      <c r="C1833" t="s">
        <v>4406</v>
      </c>
      <c r="D1833" t="s">
        <v>4465</v>
      </c>
      <c r="E1833" t="s">
        <v>4406</v>
      </c>
      <c r="F1833" t="s">
        <v>4469</v>
      </c>
    </row>
    <row r="1834" spans="1:6" x14ac:dyDescent="0.25">
      <c r="A1834" t="s">
        <v>1296</v>
      </c>
      <c r="B1834">
        <v>138</v>
      </c>
      <c r="C1834" t="s">
        <v>4750</v>
      </c>
      <c r="D1834" t="s">
        <v>4509</v>
      </c>
      <c r="E1834" t="s">
        <v>5225</v>
      </c>
      <c r="F1834" t="s">
        <v>4863</v>
      </c>
    </row>
    <row r="1836" spans="1:6" x14ac:dyDescent="0.25">
      <c r="A1836" t="s">
        <v>6382</v>
      </c>
    </row>
    <row r="1837" spans="1:6" x14ac:dyDescent="0.25">
      <c r="A1837" t="s">
        <v>995</v>
      </c>
      <c r="B1837" t="s">
        <v>4394</v>
      </c>
      <c r="C1837" t="s">
        <v>1309</v>
      </c>
      <c r="D1837" t="s">
        <v>4844</v>
      </c>
      <c r="E1837" t="s">
        <v>4847</v>
      </c>
      <c r="F1837" t="s">
        <v>4848</v>
      </c>
    </row>
    <row r="1838" spans="1:6" x14ac:dyDescent="0.25">
      <c r="A1838" t="s">
        <v>1338</v>
      </c>
      <c r="B1838">
        <v>43</v>
      </c>
      <c r="C1838">
        <v>1</v>
      </c>
      <c r="D1838">
        <v>20</v>
      </c>
      <c r="E1838">
        <v>20</v>
      </c>
      <c r="F1838">
        <v>2</v>
      </c>
    </row>
    <row r="1839" spans="1:6" x14ac:dyDescent="0.25">
      <c r="A1839" t="s">
        <v>1370</v>
      </c>
      <c r="B1839">
        <v>10</v>
      </c>
      <c r="C1839">
        <v>0</v>
      </c>
      <c r="D1839">
        <v>0</v>
      </c>
      <c r="E1839">
        <v>5</v>
      </c>
      <c r="F1839">
        <v>5</v>
      </c>
    </row>
    <row r="1840" spans="1:6" x14ac:dyDescent="0.25">
      <c r="A1840" t="s">
        <v>1439</v>
      </c>
      <c r="B1840">
        <v>7</v>
      </c>
      <c r="C1840">
        <v>0</v>
      </c>
      <c r="D1840">
        <v>0</v>
      </c>
      <c r="E1840">
        <v>4</v>
      </c>
      <c r="F1840">
        <v>3</v>
      </c>
    </row>
    <row r="1841" spans="1:7" x14ac:dyDescent="0.25">
      <c r="A1841" t="s">
        <v>1476</v>
      </c>
      <c r="B1841">
        <v>5</v>
      </c>
      <c r="C1841">
        <v>0</v>
      </c>
      <c r="D1841">
        <v>2</v>
      </c>
      <c r="E1841">
        <v>2</v>
      </c>
      <c r="F1841">
        <v>1</v>
      </c>
    </row>
    <row r="1842" spans="1:7" x14ac:dyDescent="0.25">
      <c r="A1842" t="s">
        <v>5476</v>
      </c>
      <c r="B1842">
        <v>2</v>
      </c>
      <c r="C1842">
        <v>0</v>
      </c>
      <c r="D1842">
        <v>1</v>
      </c>
      <c r="E1842">
        <v>1</v>
      </c>
      <c r="F1842">
        <v>0</v>
      </c>
    </row>
    <row r="1843" spans="1:7" x14ac:dyDescent="0.25">
      <c r="A1843" t="s">
        <v>1399</v>
      </c>
      <c r="B1843">
        <v>23</v>
      </c>
      <c r="C1843">
        <v>1</v>
      </c>
      <c r="D1843">
        <v>12</v>
      </c>
      <c r="E1843">
        <v>6</v>
      </c>
      <c r="F1843">
        <v>4</v>
      </c>
    </row>
    <row r="1844" spans="1:7" x14ac:dyDescent="0.25">
      <c r="A1844" t="s">
        <v>1415</v>
      </c>
      <c r="B1844">
        <v>48</v>
      </c>
      <c r="C1844">
        <v>0</v>
      </c>
      <c r="D1844">
        <v>9</v>
      </c>
      <c r="E1844">
        <v>33</v>
      </c>
      <c r="F1844">
        <v>6</v>
      </c>
    </row>
    <row r="1845" spans="1:7" x14ac:dyDescent="0.25">
      <c r="A1845" t="s">
        <v>1296</v>
      </c>
      <c r="B1845">
        <v>138</v>
      </c>
      <c r="C1845">
        <v>2</v>
      </c>
      <c r="D1845">
        <v>44</v>
      </c>
      <c r="E1845">
        <v>71</v>
      </c>
      <c r="F1845">
        <v>21</v>
      </c>
    </row>
    <row r="1847" spans="1:7" x14ac:dyDescent="0.25">
      <c r="A1847" t="s">
        <v>6383</v>
      </c>
    </row>
    <row r="1848" spans="1:7" x14ac:dyDescent="0.25">
      <c r="A1848" t="s">
        <v>903</v>
      </c>
      <c r="B1848" t="s">
        <v>4394</v>
      </c>
      <c r="C1848" t="s">
        <v>1309</v>
      </c>
      <c r="D1848" t="s">
        <v>4844</v>
      </c>
      <c r="E1848" t="s">
        <v>4847</v>
      </c>
      <c r="F1848" t="s">
        <v>4848</v>
      </c>
    </row>
    <row r="1849" spans="1:7" x14ac:dyDescent="0.25">
      <c r="A1849" t="s">
        <v>70</v>
      </c>
      <c r="B1849">
        <v>37</v>
      </c>
      <c r="C1849" t="s">
        <v>4406</v>
      </c>
      <c r="D1849" t="s">
        <v>5157</v>
      </c>
      <c r="E1849" t="s">
        <v>5301</v>
      </c>
      <c r="F1849" t="s">
        <v>4625</v>
      </c>
    </row>
    <row r="1850" spans="1:7" x14ac:dyDescent="0.25">
      <c r="A1850" t="s">
        <v>71</v>
      </c>
      <c r="B1850">
        <v>101</v>
      </c>
      <c r="C1850" t="s">
        <v>4744</v>
      </c>
      <c r="D1850" t="s">
        <v>4955</v>
      </c>
      <c r="E1850" t="s">
        <v>4560</v>
      </c>
      <c r="F1850" t="s">
        <v>4459</v>
      </c>
    </row>
    <row r="1851" spans="1:7" x14ac:dyDescent="0.25">
      <c r="A1851" t="s">
        <v>1296</v>
      </c>
      <c r="B1851">
        <v>138</v>
      </c>
      <c r="C1851" t="s">
        <v>4750</v>
      </c>
      <c r="D1851" t="s">
        <v>4509</v>
      </c>
      <c r="E1851" t="s">
        <v>5225</v>
      </c>
      <c r="F1851" t="s">
        <v>4863</v>
      </c>
    </row>
    <row r="1853" spans="1:7" x14ac:dyDescent="0.25">
      <c r="A1853" t="s">
        <v>6384</v>
      </c>
    </row>
    <row r="1854" spans="1:7" x14ac:dyDescent="0.25">
      <c r="A1854" t="s">
        <v>2842</v>
      </c>
      <c r="B1854" t="s">
        <v>4394</v>
      </c>
      <c r="C1854" t="s">
        <v>4438</v>
      </c>
      <c r="D1854" t="s">
        <v>4439</v>
      </c>
      <c r="E1854" t="s">
        <v>1400</v>
      </c>
      <c r="F1854" t="s">
        <v>1340</v>
      </c>
      <c r="G1854" t="s">
        <v>1372</v>
      </c>
    </row>
    <row r="1855" spans="1:7" x14ac:dyDescent="0.25">
      <c r="A1855" t="s">
        <v>5549</v>
      </c>
      <c r="B1855">
        <v>83</v>
      </c>
      <c r="C1855" t="s">
        <v>4956</v>
      </c>
      <c r="D1855" t="s">
        <v>5142</v>
      </c>
      <c r="E1855" t="s">
        <v>5076</v>
      </c>
      <c r="F1855" t="s">
        <v>4936</v>
      </c>
      <c r="G1855" t="s">
        <v>4607</v>
      </c>
    </row>
    <row r="1856" spans="1:7" x14ac:dyDescent="0.25">
      <c r="A1856" t="s">
        <v>1397</v>
      </c>
      <c r="B1856">
        <v>55</v>
      </c>
      <c r="C1856" t="s">
        <v>5252</v>
      </c>
      <c r="D1856" t="s">
        <v>5113</v>
      </c>
      <c r="E1856" t="s">
        <v>5467</v>
      </c>
      <c r="F1856" t="s">
        <v>4599</v>
      </c>
      <c r="G1856" t="s">
        <v>4960</v>
      </c>
    </row>
    <row r="1857" spans="1:7" x14ac:dyDescent="0.25">
      <c r="A1857" t="s">
        <v>1296</v>
      </c>
      <c r="B1857">
        <v>138</v>
      </c>
      <c r="C1857" t="s">
        <v>4786</v>
      </c>
      <c r="D1857" t="s">
        <v>4944</v>
      </c>
      <c r="E1857" t="s">
        <v>4667</v>
      </c>
      <c r="F1857" t="s">
        <v>4596</v>
      </c>
      <c r="G1857" t="s">
        <v>4596</v>
      </c>
    </row>
    <row r="1859" spans="1:7" x14ac:dyDescent="0.25">
      <c r="A1859" t="s">
        <v>6385</v>
      </c>
    </row>
    <row r="1860" spans="1:7" x14ac:dyDescent="0.25">
      <c r="A1860" t="s">
        <v>992</v>
      </c>
      <c r="B1860" t="s">
        <v>4394</v>
      </c>
      <c r="C1860" t="s">
        <v>4438</v>
      </c>
      <c r="D1860" t="s">
        <v>4439</v>
      </c>
      <c r="E1860" t="s">
        <v>1400</v>
      </c>
      <c r="F1860" t="s">
        <v>1340</v>
      </c>
      <c r="G1860" t="s">
        <v>1372</v>
      </c>
    </row>
    <row r="1861" spans="1:7" x14ac:dyDescent="0.25">
      <c r="A1861" t="s">
        <v>4844</v>
      </c>
      <c r="B1861">
        <v>21</v>
      </c>
      <c r="C1861" t="s">
        <v>4778</v>
      </c>
      <c r="D1861" t="s">
        <v>4522</v>
      </c>
      <c r="E1861" t="s">
        <v>4406</v>
      </c>
      <c r="F1861" t="s">
        <v>4675</v>
      </c>
      <c r="G1861" t="s">
        <v>4785</v>
      </c>
    </row>
    <row r="1862" spans="1:7" x14ac:dyDescent="0.25">
      <c r="A1862" t="s">
        <v>4845</v>
      </c>
      <c r="B1862">
        <v>108</v>
      </c>
      <c r="C1862" t="s">
        <v>4790</v>
      </c>
      <c r="D1862" t="s">
        <v>4858</v>
      </c>
      <c r="E1862" t="s">
        <v>4571</v>
      </c>
      <c r="F1862" t="s">
        <v>4548</v>
      </c>
      <c r="G1862" t="s">
        <v>4965</v>
      </c>
    </row>
    <row r="1863" spans="1:7" x14ac:dyDescent="0.25">
      <c r="A1863" t="s">
        <v>4846</v>
      </c>
      <c r="B1863">
        <v>9</v>
      </c>
      <c r="C1863" t="s">
        <v>4570</v>
      </c>
      <c r="D1863" t="s">
        <v>4731</v>
      </c>
      <c r="E1863" t="s">
        <v>4406</v>
      </c>
      <c r="F1863" t="s">
        <v>4676</v>
      </c>
      <c r="G1863" t="s">
        <v>4731</v>
      </c>
    </row>
    <row r="1864" spans="1:7" x14ac:dyDescent="0.25">
      <c r="A1864" t="s">
        <v>1296</v>
      </c>
      <c r="B1864">
        <v>138</v>
      </c>
      <c r="C1864" t="s">
        <v>4786</v>
      </c>
      <c r="D1864" t="s">
        <v>4944</v>
      </c>
      <c r="E1864" t="s">
        <v>4667</v>
      </c>
      <c r="F1864" t="s">
        <v>4596</v>
      </c>
      <c r="G1864" t="s">
        <v>4596</v>
      </c>
    </row>
    <row r="1866" spans="1:7" x14ac:dyDescent="0.25">
      <c r="A1866" t="s">
        <v>6386</v>
      </c>
    </row>
    <row r="1867" spans="1:7" x14ac:dyDescent="0.25">
      <c r="A1867" t="s">
        <v>995</v>
      </c>
      <c r="B1867" t="s">
        <v>4394</v>
      </c>
      <c r="C1867" t="s">
        <v>4438</v>
      </c>
      <c r="D1867" t="s">
        <v>4439</v>
      </c>
      <c r="E1867" t="s">
        <v>1400</v>
      </c>
      <c r="F1867" t="s">
        <v>1340</v>
      </c>
      <c r="G1867" t="s">
        <v>1372</v>
      </c>
    </row>
    <row r="1868" spans="1:7" x14ac:dyDescent="0.25">
      <c r="A1868" t="s">
        <v>1338</v>
      </c>
      <c r="B1868">
        <v>43</v>
      </c>
      <c r="C1868">
        <v>24</v>
      </c>
      <c r="D1868">
        <v>3</v>
      </c>
      <c r="E1868">
        <v>0</v>
      </c>
      <c r="F1868">
        <v>9</v>
      </c>
      <c r="G1868">
        <v>7</v>
      </c>
    </row>
    <row r="1869" spans="1:7" x14ac:dyDescent="0.25">
      <c r="A1869" t="s">
        <v>1370</v>
      </c>
      <c r="B1869">
        <v>10</v>
      </c>
      <c r="C1869">
        <v>3</v>
      </c>
      <c r="D1869">
        <v>3</v>
      </c>
      <c r="E1869">
        <v>1</v>
      </c>
      <c r="F1869">
        <v>1</v>
      </c>
      <c r="G1869">
        <v>2</v>
      </c>
    </row>
    <row r="1870" spans="1:7" x14ac:dyDescent="0.25">
      <c r="A1870" t="s">
        <v>1439</v>
      </c>
      <c r="B1870">
        <v>7</v>
      </c>
      <c r="C1870">
        <v>2</v>
      </c>
      <c r="D1870">
        <v>1</v>
      </c>
      <c r="E1870">
        <v>1</v>
      </c>
      <c r="F1870">
        <v>2</v>
      </c>
      <c r="G1870">
        <v>1</v>
      </c>
    </row>
    <row r="1871" spans="1:7" x14ac:dyDescent="0.25">
      <c r="A1871" t="s">
        <v>1476</v>
      </c>
      <c r="B1871">
        <v>5</v>
      </c>
      <c r="C1871">
        <v>2</v>
      </c>
      <c r="D1871">
        <v>2</v>
      </c>
      <c r="E1871">
        <v>0</v>
      </c>
      <c r="F1871">
        <v>0</v>
      </c>
      <c r="G1871">
        <v>1</v>
      </c>
    </row>
    <row r="1872" spans="1:7" x14ac:dyDescent="0.25">
      <c r="A1872" t="s">
        <v>5476</v>
      </c>
      <c r="B1872">
        <v>2</v>
      </c>
      <c r="C1872">
        <v>0</v>
      </c>
      <c r="D1872">
        <v>0</v>
      </c>
      <c r="E1872">
        <v>0</v>
      </c>
      <c r="F1872">
        <v>0</v>
      </c>
      <c r="G1872">
        <v>2</v>
      </c>
    </row>
    <row r="1873" spans="1:7" x14ac:dyDescent="0.25">
      <c r="A1873" t="s">
        <v>1399</v>
      </c>
      <c r="B1873">
        <v>23</v>
      </c>
      <c r="C1873">
        <v>7</v>
      </c>
      <c r="D1873">
        <v>11</v>
      </c>
      <c r="E1873">
        <v>1</v>
      </c>
      <c r="F1873">
        <v>3</v>
      </c>
      <c r="G1873">
        <v>1</v>
      </c>
    </row>
    <row r="1874" spans="1:7" x14ac:dyDescent="0.25">
      <c r="A1874" t="s">
        <v>1415</v>
      </c>
      <c r="B1874">
        <v>48</v>
      </c>
      <c r="C1874">
        <v>22</v>
      </c>
      <c r="D1874">
        <v>6</v>
      </c>
      <c r="E1874">
        <v>3</v>
      </c>
      <c r="F1874">
        <v>8</v>
      </c>
      <c r="G1874">
        <v>9</v>
      </c>
    </row>
    <row r="1875" spans="1:7" x14ac:dyDescent="0.25">
      <c r="A1875" t="s">
        <v>1296</v>
      </c>
      <c r="B1875">
        <v>138</v>
      </c>
      <c r="C1875">
        <v>60</v>
      </c>
      <c r="D1875">
        <v>26</v>
      </c>
      <c r="E1875">
        <v>6</v>
      </c>
      <c r="F1875">
        <v>23</v>
      </c>
      <c r="G1875">
        <v>23</v>
      </c>
    </row>
    <row r="1877" spans="1:7" x14ac:dyDescent="0.25">
      <c r="A1877" t="s">
        <v>6387</v>
      </c>
    </row>
    <row r="1878" spans="1:7" x14ac:dyDescent="0.25">
      <c r="A1878" t="s">
        <v>998</v>
      </c>
      <c r="B1878" t="s">
        <v>4394</v>
      </c>
      <c r="C1878" t="s">
        <v>4438</v>
      </c>
      <c r="D1878" t="s">
        <v>4439</v>
      </c>
      <c r="E1878" t="s">
        <v>1400</v>
      </c>
      <c r="F1878" t="s">
        <v>1340</v>
      </c>
      <c r="G1878" t="s">
        <v>1372</v>
      </c>
    </row>
    <row r="1879" spans="1:7" x14ac:dyDescent="0.25">
      <c r="A1879" t="s">
        <v>109</v>
      </c>
      <c r="B1879">
        <v>125</v>
      </c>
      <c r="C1879" t="s">
        <v>5109</v>
      </c>
      <c r="D1879" t="s">
        <v>4616</v>
      </c>
      <c r="E1879" t="s">
        <v>4424</v>
      </c>
      <c r="F1879" t="s">
        <v>5318</v>
      </c>
      <c r="G1879" t="s">
        <v>4616</v>
      </c>
    </row>
    <row r="1880" spans="1:7" x14ac:dyDescent="0.25">
      <c r="A1880" t="s">
        <v>192</v>
      </c>
      <c r="B1880">
        <v>13</v>
      </c>
      <c r="C1880" t="s">
        <v>4566</v>
      </c>
      <c r="D1880" t="s">
        <v>4567</v>
      </c>
      <c r="E1880" t="s">
        <v>4566</v>
      </c>
      <c r="F1880" t="s">
        <v>4474</v>
      </c>
      <c r="G1880" t="s">
        <v>4705</v>
      </c>
    </row>
    <row r="1881" spans="1:7" x14ac:dyDescent="0.25">
      <c r="A1881" t="s">
        <v>1296</v>
      </c>
      <c r="B1881">
        <v>138</v>
      </c>
      <c r="C1881" t="s">
        <v>4786</v>
      </c>
      <c r="D1881" t="s">
        <v>4944</v>
      </c>
      <c r="E1881" t="s">
        <v>4667</v>
      </c>
      <c r="F1881" t="s">
        <v>4596</v>
      </c>
      <c r="G1881" t="s">
        <v>4596</v>
      </c>
    </row>
    <row r="1883" spans="1:7" x14ac:dyDescent="0.25">
      <c r="A1883" t="s">
        <v>6388</v>
      </c>
    </row>
    <row r="1884" spans="1:7" x14ac:dyDescent="0.25">
      <c r="A1884" t="s">
        <v>1295</v>
      </c>
      <c r="B1884" t="s">
        <v>4394</v>
      </c>
      <c r="C1884" t="s">
        <v>4438</v>
      </c>
      <c r="D1884" t="s">
        <v>4439</v>
      </c>
      <c r="E1884" t="s">
        <v>1400</v>
      </c>
      <c r="F1884" t="s">
        <v>1340</v>
      </c>
      <c r="G1884" t="s">
        <v>1372</v>
      </c>
    </row>
    <row r="1885" spans="1:7" x14ac:dyDescent="0.25">
      <c r="A1885" t="s">
        <v>4395</v>
      </c>
      <c r="B1885">
        <v>15</v>
      </c>
      <c r="C1885" t="s">
        <v>4415</v>
      </c>
      <c r="D1885" t="s">
        <v>4415</v>
      </c>
      <c r="E1885" t="s">
        <v>4406</v>
      </c>
      <c r="F1885" t="s">
        <v>4472</v>
      </c>
      <c r="G1885" t="s">
        <v>4415</v>
      </c>
    </row>
    <row r="1886" spans="1:7" x14ac:dyDescent="0.25">
      <c r="A1886" t="s">
        <v>4396</v>
      </c>
      <c r="B1886">
        <v>53</v>
      </c>
      <c r="C1886" t="s">
        <v>4648</v>
      </c>
      <c r="D1886" t="s">
        <v>4654</v>
      </c>
      <c r="E1886" t="s">
        <v>4654</v>
      </c>
      <c r="F1886" t="s">
        <v>5182</v>
      </c>
      <c r="G1886" t="s">
        <v>5003</v>
      </c>
    </row>
    <row r="1887" spans="1:7" x14ac:dyDescent="0.25">
      <c r="A1887" t="s">
        <v>4397</v>
      </c>
      <c r="B1887">
        <v>1</v>
      </c>
      <c r="C1887" t="s">
        <v>4406</v>
      </c>
      <c r="D1887" t="s">
        <v>4454</v>
      </c>
      <c r="E1887" t="s">
        <v>4406</v>
      </c>
      <c r="F1887" t="s">
        <v>4406</v>
      </c>
      <c r="G1887" t="s">
        <v>4406</v>
      </c>
    </row>
    <row r="1888" spans="1:7" x14ac:dyDescent="0.25">
      <c r="A1888" t="s">
        <v>4398</v>
      </c>
      <c r="B1888">
        <v>64</v>
      </c>
      <c r="C1888" t="s">
        <v>4712</v>
      </c>
      <c r="D1888" t="s">
        <v>5173</v>
      </c>
      <c r="E1888" t="s">
        <v>4656</v>
      </c>
      <c r="F1888" t="s">
        <v>4854</v>
      </c>
      <c r="G1888" t="s">
        <v>4854</v>
      </c>
    </row>
    <row r="1889" spans="1:7" x14ac:dyDescent="0.25">
      <c r="A1889" t="s">
        <v>4399</v>
      </c>
      <c r="B1889">
        <v>5</v>
      </c>
      <c r="C1889" t="s">
        <v>4457</v>
      </c>
      <c r="D1889" t="s">
        <v>4406</v>
      </c>
      <c r="E1889" t="s">
        <v>4406</v>
      </c>
      <c r="F1889" t="s">
        <v>4472</v>
      </c>
      <c r="G1889" t="s">
        <v>4472</v>
      </c>
    </row>
    <row r="1890" spans="1:7" x14ac:dyDescent="0.25">
      <c r="A1890" t="s">
        <v>1296</v>
      </c>
      <c r="B1890">
        <v>138</v>
      </c>
      <c r="C1890" t="s">
        <v>4786</v>
      </c>
      <c r="D1890" t="s">
        <v>4944</v>
      </c>
      <c r="E1890" t="s">
        <v>4667</v>
      </c>
      <c r="F1890" t="s">
        <v>4596</v>
      </c>
      <c r="G1890" t="s">
        <v>4596</v>
      </c>
    </row>
    <row r="1892" spans="1:7" x14ac:dyDescent="0.25">
      <c r="A1892" t="s">
        <v>6389</v>
      </c>
    </row>
    <row r="1893" spans="1:7" x14ac:dyDescent="0.25">
      <c r="A1893" t="s">
        <v>1006</v>
      </c>
      <c r="B1893" t="s">
        <v>4394</v>
      </c>
      <c r="C1893" t="s">
        <v>4438</v>
      </c>
      <c r="D1893" t="s">
        <v>4439</v>
      </c>
      <c r="E1893" t="s">
        <v>1400</v>
      </c>
      <c r="F1893" t="s">
        <v>1340</v>
      </c>
      <c r="G1893" t="s">
        <v>1372</v>
      </c>
    </row>
    <row r="1894" spans="1:7" x14ac:dyDescent="0.25">
      <c r="A1894" t="s">
        <v>1371</v>
      </c>
      <c r="B1894">
        <v>26</v>
      </c>
      <c r="C1894">
        <v>18</v>
      </c>
      <c r="D1894">
        <v>3</v>
      </c>
      <c r="E1894">
        <v>0</v>
      </c>
      <c r="F1894">
        <v>1</v>
      </c>
      <c r="G1894">
        <v>4</v>
      </c>
    </row>
    <row r="1895" spans="1:7" x14ac:dyDescent="0.25">
      <c r="A1895" t="s">
        <v>1452</v>
      </c>
      <c r="B1895">
        <v>17</v>
      </c>
      <c r="C1895">
        <v>11</v>
      </c>
      <c r="D1895">
        <v>2</v>
      </c>
      <c r="E1895">
        <v>1</v>
      </c>
      <c r="F1895">
        <v>0</v>
      </c>
      <c r="G1895">
        <v>3</v>
      </c>
    </row>
    <row r="1896" spans="1:7" x14ac:dyDescent="0.25">
      <c r="A1896" t="s">
        <v>5560</v>
      </c>
      <c r="B1896">
        <v>14</v>
      </c>
      <c r="C1896">
        <v>2</v>
      </c>
      <c r="D1896">
        <v>5</v>
      </c>
      <c r="E1896">
        <v>2</v>
      </c>
      <c r="F1896">
        <v>0</v>
      </c>
      <c r="G1896">
        <v>5</v>
      </c>
    </row>
    <row r="1897" spans="1:7" x14ac:dyDescent="0.25">
      <c r="A1897" t="s">
        <v>1424</v>
      </c>
      <c r="B1897">
        <v>30</v>
      </c>
      <c r="C1897">
        <v>12</v>
      </c>
      <c r="D1897">
        <v>13</v>
      </c>
      <c r="E1897">
        <v>2</v>
      </c>
      <c r="F1897">
        <v>0</v>
      </c>
      <c r="G1897">
        <v>3</v>
      </c>
    </row>
    <row r="1898" spans="1:7" x14ac:dyDescent="0.25">
      <c r="A1898" t="s">
        <v>1340</v>
      </c>
      <c r="B1898">
        <v>21</v>
      </c>
      <c r="C1898">
        <v>0</v>
      </c>
      <c r="D1898">
        <v>0</v>
      </c>
      <c r="E1898">
        <v>0</v>
      </c>
      <c r="F1898">
        <v>21</v>
      </c>
      <c r="G1898">
        <v>0</v>
      </c>
    </row>
    <row r="1899" spans="1:7" x14ac:dyDescent="0.25">
      <c r="A1899" t="s">
        <v>5561</v>
      </c>
      <c r="B1899">
        <v>6</v>
      </c>
      <c r="C1899">
        <v>0</v>
      </c>
      <c r="D1899">
        <v>2</v>
      </c>
      <c r="E1899">
        <v>1</v>
      </c>
      <c r="F1899">
        <v>0</v>
      </c>
      <c r="G1899">
        <v>3</v>
      </c>
    </row>
    <row r="1900" spans="1:7" x14ac:dyDescent="0.25">
      <c r="A1900" t="s">
        <v>1416</v>
      </c>
      <c r="B1900">
        <v>24</v>
      </c>
      <c r="C1900">
        <v>17</v>
      </c>
      <c r="D1900">
        <v>1</v>
      </c>
      <c r="E1900">
        <v>0</v>
      </c>
      <c r="F1900">
        <v>1</v>
      </c>
      <c r="G1900">
        <v>5</v>
      </c>
    </row>
    <row r="1901" spans="1:7" x14ac:dyDescent="0.25">
      <c r="A1901" t="s">
        <v>1296</v>
      </c>
      <c r="B1901">
        <v>138</v>
      </c>
      <c r="C1901">
        <v>60</v>
      </c>
      <c r="D1901">
        <v>26</v>
      </c>
      <c r="E1901">
        <v>6</v>
      </c>
      <c r="F1901">
        <v>23</v>
      </c>
      <c r="G1901">
        <v>23</v>
      </c>
    </row>
    <row r="1903" spans="1:7" x14ac:dyDescent="0.25">
      <c r="A1903" t="s">
        <v>6390</v>
      </c>
    </row>
    <row r="1904" spans="1:7" x14ac:dyDescent="0.25">
      <c r="A1904" t="s">
        <v>5521</v>
      </c>
      <c r="B1904" t="s">
        <v>4394</v>
      </c>
      <c r="C1904" t="s">
        <v>4438</v>
      </c>
      <c r="D1904" t="s">
        <v>4439</v>
      </c>
      <c r="E1904" t="s">
        <v>1400</v>
      </c>
      <c r="F1904" t="s">
        <v>1340</v>
      </c>
      <c r="G1904" t="s">
        <v>1372</v>
      </c>
    </row>
    <row r="1905" spans="1:8" x14ac:dyDescent="0.25">
      <c r="A1905" t="s">
        <v>4438</v>
      </c>
      <c r="B1905">
        <v>53</v>
      </c>
      <c r="C1905" t="s">
        <v>5091</v>
      </c>
      <c r="D1905" t="s">
        <v>4869</v>
      </c>
      <c r="E1905" t="s">
        <v>4406</v>
      </c>
      <c r="F1905" t="s">
        <v>4406</v>
      </c>
      <c r="G1905" t="s">
        <v>4654</v>
      </c>
    </row>
    <row r="1906" spans="1:8" x14ac:dyDescent="0.25">
      <c r="A1906" t="s">
        <v>4439</v>
      </c>
      <c r="B1906">
        <v>29</v>
      </c>
      <c r="C1906" t="s">
        <v>4888</v>
      </c>
      <c r="D1906" t="s">
        <v>4828</v>
      </c>
      <c r="E1906" t="s">
        <v>4686</v>
      </c>
      <c r="F1906" t="s">
        <v>4406</v>
      </c>
      <c r="G1906" t="s">
        <v>4882</v>
      </c>
    </row>
    <row r="1907" spans="1:8" x14ac:dyDescent="0.25">
      <c r="A1907" t="s">
        <v>1400</v>
      </c>
      <c r="B1907">
        <v>4</v>
      </c>
      <c r="C1907" t="s">
        <v>4406</v>
      </c>
      <c r="D1907" t="s">
        <v>4406</v>
      </c>
      <c r="E1907" t="s">
        <v>4793</v>
      </c>
      <c r="F1907" t="s">
        <v>4406</v>
      </c>
      <c r="G1907" t="s">
        <v>4462</v>
      </c>
    </row>
    <row r="1908" spans="1:8" x14ac:dyDescent="0.25">
      <c r="A1908" t="s">
        <v>1340</v>
      </c>
      <c r="B1908">
        <v>23</v>
      </c>
      <c r="C1908" t="s">
        <v>4406</v>
      </c>
      <c r="D1908" t="s">
        <v>4406</v>
      </c>
      <c r="E1908" t="s">
        <v>4406</v>
      </c>
      <c r="F1908" t="s">
        <v>4454</v>
      </c>
      <c r="G1908" t="s">
        <v>4406</v>
      </c>
    </row>
    <row r="1909" spans="1:8" x14ac:dyDescent="0.25">
      <c r="A1909" t="s">
        <v>1426</v>
      </c>
      <c r="B1909">
        <v>1</v>
      </c>
      <c r="C1909" t="s">
        <v>4454</v>
      </c>
      <c r="D1909" t="s">
        <v>4406</v>
      </c>
      <c r="E1909" t="s">
        <v>4406</v>
      </c>
      <c r="F1909" t="s">
        <v>4406</v>
      </c>
      <c r="G1909" t="s">
        <v>4406</v>
      </c>
    </row>
    <row r="1910" spans="1:8" x14ac:dyDescent="0.25">
      <c r="A1910" t="s">
        <v>1372</v>
      </c>
      <c r="B1910">
        <v>28</v>
      </c>
      <c r="C1910" t="s">
        <v>4468</v>
      </c>
      <c r="D1910" t="s">
        <v>4406</v>
      </c>
      <c r="E1910" t="s">
        <v>4406</v>
      </c>
      <c r="F1910" t="s">
        <v>4406</v>
      </c>
      <c r="G1910" t="s">
        <v>4468</v>
      </c>
    </row>
    <row r="1911" spans="1:8" x14ac:dyDescent="0.25">
      <c r="A1911" t="s">
        <v>1296</v>
      </c>
      <c r="B1911">
        <v>138</v>
      </c>
      <c r="C1911" t="s">
        <v>4786</v>
      </c>
      <c r="D1911" t="s">
        <v>4944</v>
      </c>
      <c r="E1911" t="s">
        <v>4667</v>
      </c>
      <c r="F1911" t="s">
        <v>4596</v>
      </c>
      <c r="G1911" t="s">
        <v>4596</v>
      </c>
    </row>
    <row r="1913" spans="1:8" x14ac:dyDescent="0.25">
      <c r="A1913" t="s">
        <v>6391</v>
      </c>
    </row>
    <row r="1914" spans="1:8" x14ac:dyDescent="0.25">
      <c r="A1914" t="s">
        <v>903</v>
      </c>
      <c r="B1914" t="s">
        <v>4394</v>
      </c>
      <c r="C1914" t="s">
        <v>4438</v>
      </c>
      <c r="D1914" t="s">
        <v>4439</v>
      </c>
      <c r="E1914" t="s">
        <v>1400</v>
      </c>
      <c r="F1914" t="s">
        <v>1340</v>
      </c>
      <c r="G1914" t="s">
        <v>1372</v>
      </c>
    </row>
    <row r="1915" spans="1:8" x14ac:dyDescent="0.25">
      <c r="A1915" t="s">
        <v>70</v>
      </c>
      <c r="B1915">
        <v>37</v>
      </c>
      <c r="C1915" t="s">
        <v>4941</v>
      </c>
      <c r="D1915" t="s">
        <v>4408</v>
      </c>
      <c r="E1915" t="s">
        <v>4406</v>
      </c>
      <c r="F1915" t="s">
        <v>4494</v>
      </c>
      <c r="G1915" t="s">
        <v>5222</v>
      </c>
    </row>
    <row r="1916" spans="1:8" x14ac:dyDescent="0.25">
      <c r="A1916" t="s">
        <v>71</v>
      </c>
      <c r="B1916">
        <v>101</v>
      </c>
      <c r="C1916" t="s">
        <v>5434</v>
      </c>
      <c r="D1916" t="s">
        <v>4960</v>
      </c>
      <c r="E1916" t="s">
        <v>4699</v>
      </c>
      <c r="F1916" t="s">
        <v>4530</v>
      </c>
      <c r="G1916" t="s">
        <v>4425</v>
      </c>
    </row>
    <row r="1917" spans="1:8" x14ac:dyDescent="0.25">
      <c r="A1917" t="s">
        <v>1296</v>
      </c>
      <c r="B1917">
        <v>138</v>
      </c>
      <c r="C1917" t="s">
        <v>4786</v>
      </c>
      <c r="D1917" t="s">
        <v>4944</v>
      </c>
      <c r="E1917" t="s">
        <v>4667</v>
      </c>
      <c r="F1917" t="s">
        <v>4596</v>
      </c>
      <c r="G1917" t="s">
        <v>4596</v>
      </c>
    </row>
    <row r="1919" spans="1:8" x14ac:dyDescent="0.25">
      <c r="A1919" t="s">
        <v>6392</v>
      </c>
    </row>
    <row r="1920" spans="1:8" x14ac:dyDescent="0.25">
      <c r="A1920" t="s">
        <v>2842</v>
      </c>
      <c r="B1920" t="s">
        <v>4394</v>
      </c>
      <c r="C1920" t="s">
        <v>4438</v>
      </c>
      <c r="D1920" t="s">
        <v>4439</v>
      </c>
      <c r="E1920" t="s">
        <v>1400</v>
      </c>
      <c r="F1920" t="s">
        <v>1340</v>
      </c>
      <c r="G1920" t="s">
        <v>1426</v>
      </c>
      <c r="H1920" t="s">
        <v>1372</v>
      </c>
    </row>
    <row r="1921" spans="1:8" x14ac:dyDescent="0.25">
      <c r="A1921" t="s">
        <v>5549</v>
      </c>
      <c r="B1921">
        <v>83</v>
      </c>
      <c r="C1921" t="s">
        <v>5226</v>
      </c>
      <c r="D1921" t="s">
        <v>4607</v>
      </c>
      <c r="E1921" t="s">
        <v>4422</v>
      </c>
      <c r="F1921" t="s">
        <v>4936</v>
      </c>
      <c r="G1921" t="s">
        <v>4406</v>
      </c>
      <c r="H1921" t="s">
        <v>4843</v>
      </c>
    </row>
    <row r="1922" spans="1:8" x14ac:dyDescent="0.25">
      <c r="A1922" t="s">
        <v>1397</v>
      </c>
      <c r="B1922">
        <v>55</v>
      </c>
      <c r="C1922" t="s">
        <v>4745</v>
      </c>
      <c r="D1922" t="s">
        <v>4745</v>
      </c>
      <c r="E1922" t="s">
        <v>5467</v>
      </c>
      <c r="F1922" t="s">
        <v>4599</v>
      </c>
      <c r="G1922" t="s">
        <v>4905</v>
      </c>
      <c r="H1922" t="s">
        <v>4591</v>
      </c>
    </row>
    <row r="1923" spans="1:8" x14ac:dyDescent="0.25">
      <c r="A1923" t="s">
        <v>1296</v>
      </c>
      <c r="B1923">
        <v>138</v>
      </c>
      <c r="C1923" t="s">
        <v>4743</v>
      </c>
      <c r="D1923" t="s">
        <v>4953</v>
      </c>
      <c r="E1923" t="s">
        <v>4697</v>
      </c>
      <c r="F1923" t="s">
        <v>4596</v>
      </c>
      <c r="G1923" t="s">
        <v>4410</v>
      </c>
      <c r="H1923" t="s">
        <v>4933</v>
      </c>
    </row>
    <row r="1925" spans="1:8" x14ac:dyDescent="0.25">
      <c r="A1925" t="s">
        <v>6393</v>
      </c>
    </row>
    <row r="1926" spans="1:8" x14ac:dyDescent="0.25">
      <c r="A1926" t="s">
        <v>992</v>
      </c>
      <c r="B1926" t="s">
        <v>4394</v>
      </c>
      <c r="C1926" t="s">
        <v>4438</v>
      </c>
      <c r="D1926" t="s">
        <v>4439</v>
      </c>
      <c r="E1926" t="s">
        <v>1400</v>
      </c>
      <c r="F1926" t="s">
        <v>1340</v>
      </c>
      <c r="G1926" t="s">
        <v>1426</v>
      </c>
      <c r="H1926" t="s">
        <v>1372</v>
      </c>
    </row>
    <row r="1927" spans="1:8" x14ac:dyDescent="0.25">
      <c r="A1927" t="s">
        <v>4844</v>
      </c>
      <c r="B1927">
        <v>21</v>
      </c>
      <c r="C1927" t="s">
        <v>4865</v>
      </c>
      <c r="D1927" t="s">
        <v>4522</v>
      </c>
      <c r="E1927" t="s">
        <v>4406</v>
      </c>
      <c r="F1927" t="s">
        <v>4675</v>
      </c>
      <c r="G1927" t="s">
        <v>4749</v>
      </c>
      <c r="H1927" t="s">
        <v>4785</v>
      </c>
    </row>
    <row r="1928" spans="1:8" x14ac:dyDescent="0.25">
      <c r="A1928" t="s">
        <v>4845</v>
      </c>
      <c r="B1928">
        <v>108</v>
      </c>
      <c r="C1928" t="s">
        <v>5215</v>
      </c>
      <c r="D1928" t="s">
        <v>5127</v>
      </c>
      <c r="E1928" t="s">
        <v>4954</v>
      </c>
      <c r="F1928" t="s">
        <v>4548</v>
      </c>
      <c r="G1928" t="s">
        <v>4406</v>
      </c>
      <c r="H1928" t="s">
        <v>5127</v>
      </c>
    </row>
    <row r="1929" spans="1:8" x14ac:dyDescent="0.25">
      <c r="A1929" t="s">
        <v>4846</v>
      </c>
      <c r="B1929">
        <v>9</v>
      </c>
      <c r="C1929" t="s">
        <v>4570</v>
      </c>
      <c r="D1929" t="s">
        <v>4465</v>
      </c>
      <c r="E1929" t="s">
        <v>4406</v>
      </c>
      <c r="F1929" t="s">
        <v>4676</v>
      </c>
      <c r="G1929" t="s">
        <v>4406</v>
      </c>
      <c r="H1929" t="s">
        <v>4676</v>
      </c>
    </row>
    <row r="1930" spans="1:8" x14ac:dyDescent="0.25">
      <c r="A1930" t="s">
        <v>1296</v>
      </c>
      <c r="B1930">
        <v>138</v>
      </c>
      <c r="C1930" t="s">
        <v>4743</v>
      </c>
      <c r="D1930" t="s">
        <v>4953</v>
      </c>
      <c r="E1930" t="s">
        <v>4697</v>
      </c>
      <c r="F1930" t="s">
        <v>4596</v>
      </c>
      <c r="G1930" t="s">
        <v>4410</v>
      </c>
      <c r="H1930" t="s">
        <v>4933</v>
      </c>
    </row>
    <row r="1932" spans="1:8" x14ac:dyDescent="0.25">
      <c r="A1932" t="s">
        <v>6394</v>
      </c>
    </row>
    <row r="1933" spans="1:8" x14ac:dyDescent="0.25">
      <c r="A1933" t="s">
        <v>995</v>
      </c>
      <c r="B1933" t="s">
        <v>4394</v>
      </c>
      <c r="C1933" t="s">
        <v>4438</v>
      </c>
      <c r="D1933" t="s">
        <v>4439</v>
      </c>
      <c r="E1933" t="s">
        <v>1400</v>
      </c>
      <c r="F1933" t="s">
        <v>1340</v>
      </c>
      <c r="G1933" t="s">
        <v>1426</v>
      </c>
      <c r="H1933" t="s">
        <v>1372</v>
      </c>
    </row>
    <row r="1934" spans="1:8" x14ac:dyDescent="0.25">
      <c r="A1934" t="s">
        <v>1338</v>
      </c>
      <c r="B1934">
        <v>43</v>
      </c>
      <c r="C1934">
        <v>20</v>
      </c>
      <c r="D1934">
        <v>3</v>
      </c>
      <c r="E1934">
        <v>0</v>
      </c>
      <c r="F1934">
        <v>9</v>
      </c>
      <c r="G1934">
        <v>1</v>
      </c>
      <c r="H1934">
        <v>10</v>
      </c>
    </row>
    <row r="1935" spans="1:8" x14ac:dyDescent="0.25">
      <c r="A1935" t="s">
        <v>1370</v>
      </c>
      <c r="B1935">
        <v>10</v>
      </c>
      <c r="C1935">
        <v>6</v>
      </c>
      <c r="D1935">
        <v>2</v>
      </c>
      <c r="E1935">
        <v>1</v>
      </c>
      <c r="F1935">
        <v>1</v>
      </c>
      <c r="G1935">
        <v>0</v>
      </c>
      <c r="H1935">
        <v>0</v>
      </c>
    </row>
    <row r="1936" spans="1:8" x14ac:dyDescent="0.25">
      <c r="A1936" t="s">
        <v>1439</v>
      </c>
      <c r="B1936">
        <v>7</v>
      </c>
      <c r="C1936">
        <v>2</v>
      </c>
      <c r="D1936">
        <v>1</v>
      </c>
      <c r="E1936">
        <v>1</v>
      </c>
      <c r="F1936">
        <v>2</v>
      </c>
      <c r="G1936">
        <v>0</v>
      </c>
      <c r="H1936">
        <v>1</v>
      </c>
    </row>
    <row r="1937" spans="1:8" x14ac:dyDescent="0.25">
      <c r="A1937" t="s">
        <v>1476</v>
      </c>
      <c r="B1937">
        <v>5</v>
      </c>
      <c r="C1937">
        <v>1</v>
      </c>
      <c r="D1937">
        <v>4</v>
      </c>
      <c r="E1937">
        <v>0</v>
      </c>
      <c r="F1937">
        <v>0</v>
      </c>
      <c r="G1937">
        <v>0</v>
      </c>
      <c r="H1937">
        <v>0</v>
      </c>
    </row>
    <row r="1938" spans="1:8" x14ac:dyDescent="0.25">
      <c r="A1938" t="s">
        <v>5476</v>
      </c>
      <c r="B1938">
        <v>2</v>
      </c>
      <c r="C1938">
        <v>0</v>
      </c>
      <c r="D1938">
        <v>0</v>
      </c>
      <c r="E1938">
        <v>1</v>
      </c>
      <c r="F1938">
        <v>0</v>
      </c>
      <c r="G1938">
        <v>0</v>
      </c>
      <c r="H1938">
        <v>1</v>
      </c>
    </row>
    <row r="1939" spans="1:8" x14ac:dyDescent="0.25">
      <c r="A1939" t="s">
        <v>1399</v>
      </c>
      <c r="B1939">
        <v>23</v>
      </c>
      <c r="C1939">
        <v>11</v>
      </c>
      <c r="D1939">
        <v>9</v>
      </c>
      <c r="E1939">
        <v>0</v>
      </c>
      <c r="F1939">
        <v>3</v>
      </c>
      <c r="G1939">
        <v>0</v>
      </c>
      <c r="H1939">
        <v>0</v>
      </c>
    </row>
    <row r="1940" spans="1:8" x14ac:dyDescent="0.25">
      <c r="A1940" t="s">
        <v>1415</v>
      </c>
      <c r="B1940">
        <v>48</v>
      </c>
      <c r="C1940">
        <v>13</v>
      </c>
      <c r="D1940">
        <v>10</v>
      </c>
      <c r="E1940">
        <v>1</v>
      </c>
      <c r="F1940">
        <v>8</v>
      </c>
      <c r="G1940">
        <v>0</v>
      </c>
      <c r="H1940">
        <v>16</v>
      </c>
    </row>
    <row r="1941" spans="1:8" x14ac:dyDescent="0.25">
      <c r="A1941" t="s">
        <v>1296</v>
      </c>
      <c r="B1941">
        <v>138</v>
      </c>
      <c r="C1941">
        <v>53</v>
      </c>
      <c r="D1941">
        <v>29</v>
      </c>
      <c r="E1941">
        <v>4</v>
      </c>
      <c r="F1941">
        <v>23</v>
      </c>
      <c r="G1941">
        <v>1</v>
      </c>
      <c r="H1941">
        <v>28</v>
      </c>
    </row>
    <row r="1943" spans="1:8" x14ac:dyDescent="0.25">
      <c r="A1943" t="s">
        <v>6395</v>
      </c>
    </row>
    <row r="1944" spans="1:8" x14ac:dyDescent="0.25">
      <c r="A1944" t="s">
        <v>998</v>
      </c>
      <c r="B1944" t="s">
        <v>4394</v>
      </c>
      <c r="C1944" t="s">
        <v>4438</v>
      </c>
      <c r="D1944" t="s">
        <v>4439</v>
      </c>
      <c r="E1944" t="s">
        <v>1400</v>
      </c>
      <c r="F1944" t="s">
        <v>1340</v>
      </c>
      <c r="G1944" t="s">
        <v>1426</v>
      </c>
      <c r="H1944" t="s">
        <v>1372</v>
      </c>
    </row>
    <row r="1945" spans="1:8" x14ac:dyDescent="0.25">
      <c r="A1945" t="s">
        <v>109</v>
      </c>
      <c r="B1945">
        <v>125</v>
      </c>
      <c r="C1945" t="s">
        <v>4505</v>
      </c>
      <c r="D1945" t="s">
        <v>4527</v>
      </c>
      <c r="E1945" t="s">
        <v>4635</v>
      </c>
      <c r="F1945" t="s">
        <v>5318</v>
      </c>
      <c r="G1945" t="s">
        <v>4417</v>
      </c>
      <c r="H1945" t="s">
        <v>4924</v>
      </c>
    </row>
    <row r="1946" spans="1:8" x14ac:dyDescent="0.25">
      <c r="A1946" t="s">
        <v>192</v>
      </c>
      <c r="B1946">
        <v>13</v>
      </c>
      <c r="C1946" t="s">
        <v>4474</v>
      </c>
      <c r="D1946" t="s">
        <v>4565</v>
      </c>
      <c r="E1946" t="s">
        <v>4474</v>
      </c>
      <c r="F1946" t="s">
        <v>4474</v>
      </c>
      <c r="G1946" t="s">
        <v>4406</v>
      </c>
      <c r="H1946" t="s">
        <v>4705</v>
      </c>
    </row>
    <row r="1947" spans="1:8" x14ac:dyDescent="0.25">
      <c r="A1947" t="s">
        <v>1296</v>
      </c>
      <c r="B1947">
        <v>138</v>
      </c>
      <c r="C1947" t="s">
        <v>4743</v>
      </c>
      <c r="D1947" t="s">
        <v>4953</v>
      </c>
      <c r="E1947" t="s">
        <v>4697</v>
      </c>
      <c r="F1947" t="s">
        <v>4596</v>
      </c>
      <c r="G1947" t="s">
        <v>4410</v>
      </c>
      <c r="H1947" t="s">
        <v>4933</v>
      </c>
    </row>
    <row r="1949" spans="1:8" x14ac:dyDescent="0.25">
      <c r="A1949" t="s">
        <v>5532</v>
      </c>
    </row>
    <row r="1950" spans="1:8" x14ac:dyDescent="0.25">
      <c r="A1950" t="s">
        <v>1295</v>
      </c>
      <c r="B1950" t="s">
        <v>4394</v>
      </c>
      <c r="C1950" t="s">
        <v>4438</v>
      </c>
      <c r="D1950" t="s">
        <v>4439</v>
      </c>
      <c r="E1950" t="s">
        <v>1400</v>
      </c>
      <c r="F1950" t="s">
        <v>1340</v>
      </c>
      <c r="G1950" t="s">
        <v>1426</v>
      </c>
      <c r="H1950" t="s">
        <v>1372</v>
      </c>
    </row>
    <row r="1951" spans="1:8" x14ac:dyDescent="0.25">
      <c r="A1951" t="s">
        <v>4395</v>
      </c>
      <c r="B1951">
        <v>15</v>
      </c>
      <c r="C1951" t="s">
        <v>4465</v>
      </c>
      <c r="D1951" t="s">
        <v>4415</v>
      </c>
      <c r="E1951" t="s">
        <v>4406</v>
      </c>
      <c r="F1951" t="s">
        <v>4472</v>
      </c>
      <c r="G1951" t="s">
        <v>4416</v>
      </c>
      <c r="H1951" t="s">
        <v>4607</v>
      </c>
    </row>
    <row r="1952" spans="1:8" x14ac:dyDescent="0.25">
      <c r="A1952" t="s">
        <v>4396</v>
      </c>
      <c r="B1952">
        <v>53</v>
      </c>
      <c r="C1952" t="s">
        <v>4538</v>
      </c>
      <c r="D1952" t="s">
        <v>4576</v>
      </c>
      <c r="E1952" t="s">
        <v>4952</v>
      </c>
      <c r="F1952" t="s">
        <v>5182</v>
      </c>
      <c r="G1952" t="s">
        <v>4406</v>
      </c>
      <c r="H1952" t="s">
        <v>4538</v>
      </c>
    </row>
    <row r="1953" spans="1:8" x14ac:dyDescent="0.25">
      <c r="A1953" t="s">
        <v>4397</v>
      </c>
      <c r="B1953">
        <v>1</v>
      </c>
      <c r="C1953" t="s">
        <v>4454</v>
      </c>
      <c r="D1953" t="s">
        <v>4406</v>
      </c>
      <c r="E1953" t="s">
        <v>4406</v>
      </c>
      <c r="F1953" t="s">
        <v>4406</v>
      </c>
      <c r="G1953" t="s">
        <v>4406</v>
      </c>
      <c r="H1953" t="s">
        <v>4406</v>
      </c>
    </row>
    <row r="1954" spans="1:8" x14ac:dyDescent="0.25">
      <c r="A1954" t="s">
        <v>4398</v>
      </c>
      <c r="B1954">
        <v>64</v>
      </c>
      <c r="C1954" t="s">
        <v>5226</v>
      </c>
      <c r="D1954" t="s">
        <v>5179</v>
      </c>
      <c r="E1954" t="s">
        <v>4656</v>
      </c>
      <c r="F1954" t="s">
        <v>4854</v>
      </c>
      <c r="G1954" t="s">
        <v>4406</v>
      </c>
      <c r="H1954" t="s">
        <v>4479</v>
      </c>
    </row>
    <row r="1955" spans="1:8" x14ac:dyDescent="0.25">
      <c r="A1955" t="s">
        <v>4399</v>
      </c>
      <c r="B1955">
        <v>5</v>
      </c>
      <c r="C1955" t="s">
        <v>4457</v>
      </c>
      <c r="D1955" t="s">
        <v>4406</v>
      </c>
      <c r="E1955" t="s">
        <v>4406</v>
      </c>
      <c r="F1955" t="s">
        <v>4472</v>
      </c>
      <c r="G1955" t="s">
        <v>4406</v>
      </c>
      <c r="H1955" t="s">
        <v>4472</v>
      </c>
    </row>
    <row r="1956" spans="1:8" x14ac:dyDescent="0.25">
      <c r="A1956" t="s">
        <v>1296</v>
      </c>
      <c r="B1956">
        <v>138</v>
      </c>
      <c r="C1956" t="s">
        <v>4743</v>
      </c>
      <c r="D1956" t="s">
        <v>4953</v>
      </c>
      <c r="E1956" t="s">
        <v>4697</v>
      </c>
      <c r="F1956" t="s">
        <v>4596</v>
      </c>
      <c r="G1956" t="s">
        <v>4410</v>
      </c>
      <c r="H1956" t="s">
        <v>4933</v>
      </c>
    </row>
    <row r="1958" spans="1:8" x14ac:dyDescent="0.25">
      <c r="A1958" t="s">
        <v>5533</v>
      </c>
    </row>
    <row r="1959" spans="1:8" x14ac:dyDescent="0.25">
      <c r="A1959" t="s">
        <v>1006</v>
      </c>
      <c r="B1959" t="s">
        <v>4394</v>
      </c>
      <c r="C1959" t="s">
        <v>4438</v>
      </c>
      <c r="D1959" t="s">
        <v>4439</v>
      </c>
      <c r="E1959" t="s">
        <v>1400</v>
      </c>
      <c r="F1959" t="s">
        <v>1340</v>
      </c>
      <c r="G1959" t="s">
        <v>1426</v>
      </c>
      <c r="H1959" t="s">
        <v>1372</v>
      </c>
    </row>
    <row r="1960" spans="1:8" x14ac:dyDescent="0.25">
      <c r="A1960" t="s">
        <v>1371</v>
      </c>
      <c r="B1960">
        <v>26</v>
      </c>
      <c r="C1960">
        <v>18</v>
      </c>
      <c r="D1960">
        <v>3</v>
      </c>
      <c r="E1960">
        <v>0</v>
      </c>
      <c r="F1960">
        <v>1</v>
      </c>
      <c r="G1960">
        <v>0</v>
      </c>
      <c r="H1960">
        <v>4</v>
      </c>
    </row>
    <row r="1961" spans="1:8" x14ac:dyDescent="0.25">
      <c r="A1961" t="s">
        <v>1452</v>
      </c>
      <c r="B1961">
        <v>17</v>
      </c>
      <c r="C1961">
        <v>7</v>
      </c>
      <c r="D1961">
        <v>2</v>
      </c>
      <c r="E1961">
        <v>0</v>
      </c>
      <c r="F1961">
        <v>0</v>
      </c>
      <c r="G1961">
        <v>0</v>
      </c>
      <c r="H1961">
        <v>8</v>
      </c>
    </row>
    <row r="1962" spans="1:8" x14ac:dyDescent="0.25">
      <c r="A1962" t="s">
        <v>5560</v>
      </c>
      <c r="B1962">
        <v>14</v>
      </c>
      <c r="C1962">
        <v>2</v>
      </c>
      <c r="D1962">
        <v>9</v>
      </c>
      <c r="E1962">
        <v>0</v>
      </c>
      <c r="F1962">
        <v>0</v>
      </c>
      <c r="G1962">
        <v>1</v>
      </c>
      <c r="H1962">
        <v>2</v>
      </c>
    </row>
    <row r="1963" spans="1:8" x14ac:dyDescent="0.25">
      <c r="A1963" t="s">
        <v>1424</v>
      </c>
      <c r="B1963">
        <v>30</v>
      </c>
      <c r="C1963">
        <v>14</v>
      </c>
      <c r="D1963">
        <v>11</v>
      </c>
      <c r="E1963">
        <v>3</v>
      </c>
      <c r="F1963">
        <v>0</v>
      </c>
      <c r="G1963">
        <v>0</v>
      </c>
      <c r="H1963">
        <v>2</v>
      </c>
    </row>
    <row r="1964" spans="1:8" x14ac:dyDescent="0.25">
      <c r="A1964" t="s">
        <v>1340</v>
      </c>
      <c r="B1964">
        <v>21</v>
      </c>
      <c r="C1964">
        <v>0</v>
      </c>
      <c r="D1964">
        <v>0</v>
      </c>
      <c r="E1964">
        <v>0</v>
      </c>
      <c r="F1964">
        <v>21</v>
      </c>
      <c r="G1964">
        <v>0</v>
      </c>
      <c r="H1964">
        <v>0</v>
      </c>
    </row>
    <row r="1965" spans="1:8" x14ac:dyDescent="0.25">
      <c r="A1965" t="s">
        <v>5561</v>
      </c>
      <c r="B1965">
        <v>6</v>
      </c>
      <c r="C1965">
        <v>1</v>
      </c>
      <c r="D1965">
        <v>2</v>
      </c>
      <c r="E1965">
        <v>1</v>
      </c>
      <c r="F1965">
        <v>0</v>
      </c>
      <c r="G1965">
        <v>0</v>
      </c>
      <c r="H1965">
        <v>2</v>
      </c>
    </row>
    <row r="1966" spans="1:8" x14ac:dyDescent="0.25">
      <c r="A1966" t="s">
        <v>1416</v>
      </c>
      <c r="B1966">
        <v>24</v>
      </c>
      <c r="C1966">
        <v>11</v>
      </c>
      <c r="D1966">
        <v>2</v>
      </c>
      <c r="E1966">
        <v>0</v>
      </c>
      <c r="F1966">
        <v>1</v>
      </c>
      <c r="G1966">
        <v>0</v>
      </c>
      <c r="H1966">
        <v>10</v>
      </c>
    </row>
    <row r="1967" spans="1:8" x14ac:dyDescent="0.25">
      <c r="A1967" t="s">
        <v>1296</v>
      </c>
      <c r="B1967">
        <v>138</v>
      </c>
      <c r="C1967">
        <v>53</v>
      </c>
      <c r="D1967">
        <v>29</v>
      </c>
      <c r="E1967">
        <v>4</v>
      </c>
      <c r="F1967">
        <v>23</v>
      </c>
      <c r="G1967">
        <v>1</v>
      </c>
      <c r="H1967">
        <v>28</v>
      </c>
    </row>
    <row r="1969" spans="1:8" x14ac:dyDescent="0.25">
      <c r="A1969" t="s">
        <v>6396</v>
      </c>
    </row>
    <row r="1970" spans="1:8" x14ac:dyDescent="0.25">
      <c r="A1970" t="s">
        <v>903</v>
      </c>
      <c r="B1970" t="s">
        <v>4394</v>
      </c>
      <c r="C1970" t="s">
        <v>4438</v>
      </c>
      <c r="D1970" t="s">
        <v>4439</v>
      </c>
      <c r="E1970" t="s">
        <v>1400</v>
      </c>
      <c r="F1970" t="s">
        <v>1340</v>
      </c>
      <c r="G1970" t="s">
        <v>1426</v>
      </c>
      <c r="H1970" t="s">
        <v>1372</v>
      </c>
    </row>
    <row r="1971" spans="1:8" x14ac:dyDescent="0.25">
      <c r="A1971" t="s">
        <v>70</v>
      </c>
      <c r="B1971">
        <v>37</v>
      </c>
      <c r="C1971" t="s">
        <v>4718</v>
      </c>
      <c r="D1971" t="s">
        <v>4625</v>
      </c>
      <c r="E1971" t="s">
        <v>4931</v>
      </c>
      <c r="F1971" t="s">
        <v>4494</v>
      </c>
      <c r="G1971" t="s">
        <v>4931</v>
      </c>
      <c r="H1971" t="s">
        <v>5222</v>
      </c>
    </row>
    <row r="1972" spans="1:8" x14ac:dyDescent="0.25">
      <c r="A1972" t="s">
        <v>71</v>
      </c>
      <c r="B1972">
        <v>101</v>
      </c>
      <c r="C1972" t="s">
        <v>5459</v>
      </c>
      <c r="D1972" t="s">
        <v>4942</v>
      </c>
      <c r="E1972" t="s">
        <v>4626</v>
      </c>
      <c r="F1972" t="s">
        <v>4530</v>
      </c>
      <c r="G1972" t="s">
        <v>4406</v>
      </c>
      <c r="H1972" t="s">
        <v>4459</v>
      </c>
    </row>
    <row r="1973" spans="1:8" x14ac:dyDescent="0.25">
      <c r="A1973" t="s">
        <v>1296</v>
      </c>
      <c r="B1973">
        <v>138</v>
      </c>
      <c r="C1973" t="s">
        <v>4743</v>
      </c>
      <c r="D1973" t="s">
        <v>4953</v>
      </c>
      <c r="E1973" t="s">
        <v>4697</v>
      </c>
      <c r="F1973" t="s">
        <v>4596</v>
      </c>
      <c r="G1973" t="s">
        <v>4410</v>
      </c>
      <c r="H1973" t="s">
        <v>4933</v>
      </c>
    </row>
    <row r="1975" spans="1:8" x14ac:dyDescent="0.25">
      <c r="A1975" t="s">
        <v>6397</v>
      </c>
    </row>
    <row r="1976" spans="1:8" x14ac:dyDescent="0.25">
      <c r="A1976" t="s">
        <v>2842</v>
      </c>
      <c r="B1976" t="s">
        <v>4394</v>
      </c>
      <c r="C1976" t="s">
        <v>4438</v>
      </c>
      <c r="D1976" t="s">
        <v>4439</v>
      </c>
      <c r="E1976" t="s">
        <v>1400</v>
      </c>
      <c r="F1976" t="s">
        <v>1340</v>
      </c>
      <c r="G1976" t="s">
        <v>1426</v>
      </c>
      <c r="H1976" t="s">
        <v>1372</v>
      </c>
    </row>
    <row r="1977" spans="1:8" x14ac:dyDescent="0.25">
      <c r="A1977" t="s">
        <v>5549</v>
      </c>
      <c r="B1977">
        <v>83</v>
      </c>
      <c r="C1977" t="s">
        <v>5393</v>
      </c>
      <c r="D1977" t="s">
        <v>5142</v>
      </c>
      <c r="E1977" t="s">
        <v>4406</v>
      </c>
      <c r="F1977" t="s">
        <v>4541</v>
      </c>
      <c r="G1977" t="s">
        <v>5076</v>
      </c>
      <c r="H1977" t="s">
        <v>4843</v>
      </c>
    </row>
    <row r="1978" spans="1:8" x14ac:dyDescent="0.25">
      <c r="A1978" t="s">
        <v>1397</v>
      </c>
      <c r="B1978">
        <v>55</v>
      </c>
      <c r="C1978" t="s">
        <v>4726</v>
      </c>
      <c r="D1978" t="s">
        <v>4638</v>
      </c>
      <c r="E1978" t="s">
        <v>5076</v>
      </c>
      <c r="F1978" t="s">
        <v>4599</v>
      </c>
      <c r="G1978" t="s">
        <v>5467</v>
      </c>
      <c r="H1978" t="s">
        <v>4960</v>
      </c>
    </row>
    <row r="1979" spans="1:8" x14ac:dyDescent="0.25">
      <c r="A1979" t="s">
        <v>1296</v>
      </c>
      <c r="B1979">
        <v>138</v>
      </c>
      <c r="C1979" t="s">
        <v>4712</v>
      </c>
      <c r="D1979" t="s">
        <v>4596</v>
      </c>
      <c r="E1979" t="s">
        <v>4750</v>
      </c>
      <c r="F1979" t="s">
        <v>4863</v>
      </c>
      <c r="G1979" t="s">
        <v>4667</v>
      </c>
      <c r="H1979" t="s">
        <v>4443</v>
      </c>
    </row>
    <row r="1981" spans="1:8" x14ac:dyDescent="0.25">
      <c r="A1981" t="s">
        <v>6398</v>
      </c>
    </row>
    <row r="1982" spans="1:8" x14ac:dyDescent="0.25">
      <c r="A1982" t="s">
        <v>992</v>
      </c>
      <c r="B1982" t="s">
        <v>4394</v>
      </c>
      <c r="C1982" t="s">
        <v>4438</v>
      </c>
      <c r="D1982" t="s">
        <v>4439</v>
      </c>
      <c r="E1982" t="s">
        <v>1400</v>
      </c>
      <c r="F1982" t="s">
        <v>1340</v>
      </c>
      <c r="G1982" t="s">
        <v>1426</v>
      </c>
      <c r="H1982" t="s">
        <v>1372</v>
      </c>
    </row>
    <row r="1983" spans="1:8" x14ac:dyDescent="0.25">
      <c r="A1983" t="s">
        <v>4844</v>
      </c>
      <c r="B1983">
        <v>21</v>
      </c>
      <c r="C1983" t="s">
        <v>4778</v>
      </c>
      <c r="D1983" t="s">
        <v>4522</v>
      </c>
      <c r="E1983" t="s">
        <v>4406</v>
      </c>
      <c r="F1983" t="s">
        <v>4675</v>
      </c>
      <c r="G1983" t="s">
        <v>4406</v>
      </c>
      <c r="H1983" t="s">
        <v>4785</v>
      </c>
    </row>
    <row r="1984" spans="1:8" x14ac:dyDescent="0.25">
      <c r="A1984" t="s">
        <v>4845</v>
      </c>
      <c r="B1984">
        <v>108</v>
      </c>
      <c r="C1984" t="s">
        <v>5215</v>
      </c>
      <c r="D1984" t="s">
        <v>4965</v>
      </c>
      <c r="E1984" t="s">
        <v>4952</v>
      </c>
      <c r="F1984" t="s">
        <v>4596</v>
      </c>
      <c r="G1984" t="s">
        <v>4571</v>
      </c>
      <c r="H1984" t="s">
        <v>4462</v>
      </c>
    </row>
    <row r="1985" spans="1:8" x14ac:dyDescent="0.25">
      <c r="A1985" t="s">
        <v>4846</v>
      </c>
      <c r="B1985">
        <v>9</v>
      </c>
      <c r="C1985" t="s">
        <v>4570</v>
      </c>
      <c r="D1985" t="s">
        <v>4465</v>
      </c>
      <c r="E1985" t="s">
        <v>4406</v>
      </c>
      <c r="F1985" t="s">
        <v>4676</v>
      </c>
      <c r="G1985" t="s">
        <v>4406</v>
      </c>
      <c r="H1985" t="s">
        <v>4676</v>
      </c>
    </row>
    <row r="1986" spans="1:8" x14ac:dyDescent="0.25">
      <c r="A1986" t="s">
        <v>1296</v>
      </c>
      <c r="B1986">
        <v>138</v>
      </c>
      <c r="C1986" t="s">
        <v>4712</v>
      </c>
      <c r="D1986" t="s">
        <v>4596</v>
      </c>
      <c r="E1986" t="s">
        <v>4750</v>
      </c>
      <c r="F1986" t="s">
        <v>4863</v>
      </c>
      <c r="G1986" t="s">
        <v>4667</v>
      </c>
      <c r="H1986" t="s">
        <v>4443</v>
      </c>
    </row>
    <row r="1988" spans="1:8" x14ac:dyDescent="0.25">
      <c r="A1988" t="s">
        <v>6399</v>
      </c>
    </row>
    <row r="1989" spans="1:8" x14ac:dyDescent="0.25">
      <c r="A1989" t="s">
        <v>995</v>
      </c>
      <c r="B1989" t="s">
        <v>4394</v>
      </c>
      <c r="C1989" t="s">
        <v>4438</v>
      </c>
      <c r="D1989" t="s">
        <v>4439</v>
      </c>
      <c r="E1989" t="s">
        <v>1400</v>
      </c>
      <c r="F1989" t="s">
        <v>1340</v>
      </c>
      <c r="G1989" t="s">
        <v>1426</v>
      </c>
      <c r="H1989" t="s">
        <v>1372</v>
      </c>
    </row>
    <row r="1990" spans="1:8" x14ac:dyDescent="0.25">
      <c r="A1990" t="s">
        <v>1338</v>
      </c>
      <c r="B1990">
        <v>43</v>
      </c>
      <c r="C1990">
        <v>19</v>
      </c>
      <c r="D1990">
        <v>3</v>
      </c>
      <c r="E1990">
        <v>0</v>
      </c>
      <c r="F1990">
        <v>7</v>
      </c>
      <c r="G1990">
        <v>0</v>
      </c>
      <c r="H1990">
        <v>14</v>
      </c>
    </row>
    <row r="1991" spans="1:8" x14ac:dyDescent="0.25">
      <c r="A1991" t="s">
        <v>1370</v>
      </c>
      <c r="B1991">
        <v>10</v>
      </c>
      <c r="C1991">
        <v>4</v>
      </c>
      <c r="D1991">
        <v>2</v>
      </c>
      <c r="E1991">
        <v>0</v>
      </c>
      <c r="F1991">
        <v>1</v>
      </c>
      <c r="G1991">
        <v>1</v>
      </c>
      <c r="H1991">
        <v>2</v>
      </c>
    </row>
    <row r="1992" spans="1:8" x14ac:dyDescent="0.25">
      <c r="A1992" t="s">
        <v>1439</v>
      </c>
      <c r="B1992">
        <v>7</v>
      </c>
      <c r="C1992">
        <v>1</v>
      </c>
      <c r="D1992">
        <v>1</v>
      </c>
      <c r="E1992">
        <v>0</v>
      </c>
      <c r="F1992">
        <v>2</v>
      </c>
      <c r="G1992">
        <v>1</v>
      </c>
      <c r="H1992">
        <v>2</v>
      </c>
    </row>
    <row r="1993" spans="1:8" x14ac:dyDescent="0.25">
      <c r="A1993" t="s">
        <v>1476</v>
      </c>
      <c r="B1993">
        <v>5</v>
      </c>
      <c r="C1993">
        <v>0</v>
      </c>
      <c r="D1993">
        <v>3</v>
      </c>
      <c r="E1993">
        <v>1</v>
      </c>
      <c r="F1993">
        <v>0</v>
      </c>
      <c r="G1993">
        <v>0</v>
      </c>
      <c r="H1993">
        <v>1</v>
      </c>
    </row>
    <row r="1994" spans="1:8" x14ac:dyDescent="0.25">
      <c r="A1994" t="s">
        <v>5476</v>
      </c>
      <c r="B1994">
        <v>2</v>
      </c>
      <c r="C1994">
        <v>0</v>
      </c>
      <c r="D1994">
        <v>0</v>
      </c>
      <c r="E1994">
        <v>0</v>
      </c>
      <c r="F1994">
        <v>0</v>
      </c>
      <c r="G1994">
        <v>0</v>
      </c>
      <c r="H1994">
        <v>2</v>
      </c>
    </row>
    <row r="1995" spans="1:8" x14ac:dyDescent="0.25">
      <c r="A1995" t="s">
        <v>1399</v>
      </c>
      <c r="B1995">
        <v>23</v>
      </c>
      <c r="C1995">
        <v>9</v>
      </c>
      <c r="D1995">
        <v>8</v>
      </c>
      <c r="E1995">
        <v>1</v>
      </c>
      <c r="F1995">
        <v>3</v>
      </c>
      <c r="G1995">
        <v>1</v>
      </c>
      <c r="H1995">
        <v>1</v>
      </c>
    </row>
    <row r="1996" spans="1:8" x14ac:dyDescent="0.25">
      <c r="A1996" t="s">
        <v>1415</v>
      </c>
      <c r="B1996">
        <v>48</v>
      </c>
      <c r="C1996">
        <v>21</v>
      </c>
      <c r="D1996">
        <v>6</v>
      </c>
      <c r="E1996">
        <v>0</v>
      </c>
      <c r="F1996">
        <v>8</v>
      </c>
      <c r="G1996">
        <v>3</v>
      </c>
      <c r="H1996">
        <v>10</v>
      </c>
    </row>
    <row r="1997" spans="1:8" x14ac:dyDescent="0.25">
      <c r="A1997" t="s">
        <v>1296</v>
      </c>
      <c r="B1997">
        <v>138</v>
      </c>
      <c r="C1997">
        <v>54</v>
      </c>
      <c r="D1997">
        <v>23</v>
      </c>
      <c r="E1997">
        <v>2</v>
      </c>
      <c r="F1997">
        <v>21</v>
      </c>
      <c r="G1997">
        <v>6</v>
      </c>
      <c r="H1997">
        <v>32</v>
      </c>
    </row>
    <row r="1999" spans="1:8" x14ac:dyDescent="0.25">
      <c r="A1999" t="s">
        <v>6400</v>
      </c>
    </row>
    <row r="2000" spans="1:8" x14ac:dyDescent="0.25">
      <c r="A2000" t="s">
        <v>998</v>
      </c>
      <c r="B2000" t="s">
        <v>4394</v>
      </c>
      <c r="C2000" t="s">
        <v>4438</v>
      </c>
      <c r="D2000" t="s">
        <v>4439</v>
      </c>
      <c r="E2000" t="s">
        <v>1400</v>
      </c>
      <c r="F2000" t="s">
        <v>1340</v>
      </c>
      <c r="G2000" t="s">
        <v>1426</v>
      </c>
      <c r="H2000" t="s">
        <v>1372</v>
      </c>
    </row>
    <row r="2001" spans="1:8" x14ac:dyDescent="0.25">
      <c r="A2001" t="s">
        <v>109</v>
      </c>
      <c r="B2001">
        <v>125</v>
      </c>
      <c r="C2001" t="s">
        <v>4505</v>
      </c>
      <c r="D2001" t="s">
        <v>4657</v>
      </c>
      <c r="E2001" t="s">
        <v>4417</v>
      </c>
      <c r="F2001" t="s">
        <v>4863</v>
      </c>
      <c r="G2001" t="s">
        <v>4424</v>
      </c>
      <c r="H2001" t="s">
        <v>4486</v>
      </c>
    </row>
    <row r="2002" spans="1:8" x14ac:dyDescent="0.25">
      <c r="A2002" t="s">
        <v>192</v>
      </c>
      <c r="B2002">
        <v>13</v>
      </c>
      <c r="C2002" t="s">
        <v>4566</v>
      </c>
      <c r="D2002" t="s">
        <v>4566</v>
      </c>
      <c r="E2002" t="s">
        <v>4705</v>
      </c>
      <c r="F2002" t="s">
        <v>4474</v>
      </c>
      <c r="G2002" t="s">
        <v>4566</v>
      </c>
      <c r="H2002" t="s">
        <v>4705</v>
      </c>
    </row>
    <row r="2003" spans="1:8" x14ac:dyDescent="0.25">
      <c r="A2003" t="s">
        <v>1296</v>
      </c>
      <c r="B2003">
        <v>138</v>
      </c>
      <c r="C2003" t="s">
        <v>4712</v>
      </c>
      <c r="D2003" t="s">
        <v>4596</v>
      </c>
      <c r="E2003" t="s">
        <v>4750</v>
      </c>
      <c r="F2003" t="s">
        <v>4863</v>
      </c>
      <c r="G2003" t="s">
        <v>4667</v>
      </c>
      <c r="H2003" t="s">
        <v>4443</v>
      </c>
    </row>
    <row r="2005" spans="1:8" x14ac:dyDescent="0.25">
      <c r="A2005" t="s">
        <v>6401</v>
      </c>
    </row>
    <row r="2006" spans="1:8" x14ac:dyDescent="0.25">
      <c r="A2006" t="s">
        <v>1295</v>
      </c>
      <c r="B2006" t="s">
        <v>4394</v>
      </c>
      <c r="C2006" t="s">
        <v>4438</v>
      </c>
      <c r="D2006" t="s">
        <v>4439</v>
      </c>
      <c r="E2006" t="s">
        <v>1400</v>
      </c>
      <c r="F2006" t="s">
        <v>1340</v>
      </c>
      <c r="G2006" t="s">
        <v>1426</v>
      </c>
      <c r="H2006" t="s">
        <v>1372</v>
      </c>
    </row>
    <row r="2007" spans="1:8" x14ac:dyDescent="0.25">
      <c r="A2007" t="s">
        <v>4395</v>
      </c>
      <c r="B2007">
        <v>15</v>
      </c>
      <c r="C2007" t="s">
        <v>4415</v>
      </c>
      <c r="D2007" t="s">
        <v>4607</v>
      </c>
      <c r="E2007" t="s">
        <v>4406</v>
      </c>
      <c r="F2007" t="s">
        <v>4472</v>
      </c>
      <c r="G2007" t="s">
        <v>4416</v>
      </c>
      <c r="H2007" t="s">
        <v>4465</v>
      </c>
    </row>
    <row r="2008" spans="1:8" x14ac:dyDescent="0.25">
      <c r="A2008" t="s">
        <v>4396</v>
      </c>
      <c r="B2008">
        <v>53</v>
      </c>
      <c r="C2008" t="s">
        <v>5330</v>
      </c>
      <c r="D2008" t="s">
        <v>4650</v>
      </c>
      <c r="E2008" t="s">
        <v>4406</v>
      </c>
      <c r="F2008" t="s">
        <v>5003</v>
      </c>
      <c r="G2008" t="s">
        <v>4720</v>
      </c>
      <c r="H2008" t="s">
        <v>4485</v>
      </c>
    </row>
    <row r="2009" spans="1:8" x14ac:dyDescent="0.25">
      <c r="A2009" t="s">
        <v>4397</v>
      </c>
      <c r="B2009">
        <v>1</v>
      </c>
      <c r="C2009" t="s">
        <v>4406</v>
      </c>
      <c r="D2009" t="s">
        <v>4454</v>
      </c>
      <c r="E2009" t="s">
        <v>4406</v>
      </c>
      <c r="F2009" t="s">
        <v>4406</v>
      </c>
      <c r="G2009" t="s">
        <v>4406</v>
      </c>
      <c r="H2009" t="s">
        <v>4406</v>
      </c>
    </row>
    <row r="2010" spans="1:8" x14ac:dyDescent="0.25">
      <c r="A2010" t="s">
        <v>4398</v>
      </c>
      <c r="B2010">
        <v>64</v>
      </c>
      <c r="C2010" t="s">
        <v>4712</v>
      </c>
      <c r="D2010" t="s">
        <v>4462</v>
      </c>
      <c r="E2010" t="s">
        <v>4695</v>
      </c>
      <c r="F2010" t="s">
        <v>4479</v>
      </c>
      <c r="G2010" t="s">
        <v>4656</v>
      </c>
      <c r="H2010" t="s">
        <v>4543</v>
      </c>
    </row>
    <row r="2011" spans="1:8" x14ac:dyDescent="0.25">
      <c r="A2011" t="s">
        <v>4399</v>
      </c>
      <c r="B2011">
        <v>5</v>
      </c>
      <c r="C2011" t="s">
        <v>4457</v>
      </c>
      <c r="D2011" t="s">
        <v>4406</v>
      </c>
      <c r="E2011" t="s">
        <v>4406</v>
      </c>
      <c r="F2011" t="s">
        <v>4472</v>
      </c>
      <c r="G2011" t="s">
        <v>4406</v>
      </c>
      <c r="H2011" t="s">
        <v>4472</v>
      </c>
    </row>
    <row r="2012" spans="1:8" x14ac:dyDescent="0.25">
      <c r="A2012" t="s">
        <v>1296</v>
      </c>
      <c r="B2012">
        <v>138</v>
      </c>
      <c r="C2012" t="s">
        <v>4712</v>
      </c>
      <c r="D2012" t="s">
        <v>4596</v>
      </c>
      <c r="E2012" t="s">
        <v>4750</v>
      </c>
      <c r="F2012" t="s">
        <v>4863</v>
      </c>
      <c r="G2012" t="s">
        <v>4667</v>
      </c>
      <c r="H2012" t="s">
        <v>4443</v>
      </c>
    </row>
    <row r="2014" spans="1:8" x14ac:dyDescent="0.25">
      <c r="A2014" t="s">
        <v>6402</v>
      </c>
    </row>
    <row r="2015" spans="1:8" x14ac:dyDescent="0.25">
      <c r="A2015" t="s">
        <v>1006</v>
      </c>
      <c r="B2015" t="s">
        <v>4394</v>
      </c>
      <c r="C2015" t="s">
        <v>4438</v>
      </c>
      <c r="D2015" t="s">
        <v>4439</v>
      </c>
      <c r="E2015" t="s">
        <v>1400</v>
      </c>
      <c r="F2015" t="s">
        <v>1340</v>
      </c>
      <c r="G2015" t="s">
        <v>1426</v>
      </c>
      <c r="H2015" t="s">
        <v>1372</v>
      </c>
    </row>
    <row r="2016" spans="1:8" x14ac:dyDescent="0.25">
      <c r="A2016" t="s">
        <v>1371</v>
      </c>
      <c r="B2016">
        <v>26</v>
      </c>
      <c r="C2016">
        <v>17</v>
      </c>
      <c r="D2016">
        <v>3</v>
      </c>
      <c r="E2016">
        <v>0</v>
      </c>
      <c r="F2016">
        <v>0</v>
      </c>
      <c r="G2016">
        <v>0</v>
      </c>
      <c r="H2016">
        <v>6</v>
      </c>
    </row>
    <row r="2017" spans="1:8" x14ac:dyDescent="0.25">
      <c r="A2017" t="s">
        <v>1452</v>
      </c>
      <c r="B2017">
        <v>17</v>
      </c>
      <c r="C2017">
        <v>11</v>
      </c>
      <c r="D2017">
        <v>1</v>
      </c>
      <c r="E2017">
        <v>0</v>
      </c>
      <c r="F2017">
        <v>0</v>
      </c>
      <c r="G2017">
        <v>0</v>
      </c>
      <c r="H2017">
        <v>5</v>
      </c>
    </row>
    <row r="2018" spans="1:8" x14ac:dyDescent="0.25">
      <c r="A2018" t="s">
        <v>5560</v>
      </c>
      <c r="B2018">
        <v>14</v>
      </c>
      <c r="C2018">
        <v>2</v>
      </c>
      <c r="D2018">
        <v>4</v>
      </c>
      <c r="E2018">
        <v>2</v>
      </c>
      <c r="F2018">
        <v>0</v>
      </c>
      <c r="G2018">
        <v>1</v>
      </c>
      <c r="H2018">
        <v>5</v>
      </c>
    </row>
    <row r="2019" spans="1:8" x14ac:dyDescent="0.25">
      <c r="A2019" t="s">
        <v>1424</v>
      </c>
      <c r="B2019">
        <v>30</v>
      </c>
      <c r="C2019">
        <v>10</v>
      </c>
      <c r="D2019">
        <v>15</v>
      </c>
      <c r="E2019">
        <v>0</v>
      </c>
      <c r="F2019">
        <v>0</v>
      </c>
      <c r="G2019">
        <v>2</v>
      </c>
      <c r="H2019">
        <v>3</v>
      </c>
    </row>
    <row r="2020" spans="1:8" x14ac:dyDescent="0.25">
      <c r="A2020" t="s">
        <v>1340</v>
      </c>
      <c r="B2020">
        <v>21</v>
      </c>
      <c r="C2020">
        <v>0</v>
      </c>
      <c r="D2020">
        <v>0</v>
      </c>
      <c r="E2020">
        <v>0</v>
      </c>
      <c r="F2020">
        <v>21</v>
      </c>
      <c r="G2020">
        <v>0</v>
      </c>
      <c r="H2020">
        <v>0</v>
      </c>
    </row>
    <row r="2021" spans="1:8" x14ac:dyDescent="0.25">
      <c r="A2021" t="s">
        <v>5561</v>
      </c>
      <c r="B2021">
        <v>6</v>
      </c>
      <c r="C2021">
        <v>0</v>
      </c>
      <c r="D2021">
        <v>0</v>
      </c>
      <c r="E2021">
        <v>0</v>
      </c>
      <c r="F2021">
        <v>0</v>
      </c>
      <c r="G2021">
        <v>3</v>
      </c>
      <c r="H2021">
        <v>3</v>
      </c>
    </row>
    <row r="2022" spans="1:8" x14ac:dyDescent="0.25">
      <c r="A2022" t="s">
        <v>1416</v>
      </c>
      <c r="B2022">
        <v>24</v>
      </c>
      <c r="C2022">
        <v>14</v>
      </c>
      <c r="D2022">
        <v>0</v>
      </c>
      <c r="E2022">
        <v>0</v>
      </c>
      <c r="F2022">
        <v>0</v>
      </c>
      <c r="G2022">
        <v>0</v>
      </c>
      <c r="H2022">
        <v>10</v>
      </c>
    </row>
    <row r="2023" spans="1:8" x14ac:dyDescent="0.25">
      <c r="A2023" t="s">
        <v>1296</v>
      </c>
      <c r="B2023">
        <v>138</v>
      </c>
      <c r="C2023">
        <v>54</v>
      </c>
      <c r="D2023">
        <v>23</v>
      </c>
      <c r="E2023">
        <v>2</v>
      </c>
      <c r="F2023">
        <v>21</v>
      </c>
      <c r="G2023">
        <v>6</v>
      </c>
      <c r="H2023">
        <v>32</v>
      </c>
    </row>
    <row r="2025" spans="1:8" x14ac:dyDescent="0.25">
      <c r="A2025" t="s">
        <v>6403</v>
      </c>
    </row>
    <row r="2026" spans="1:8" x14ac:dyDescent="0.25">
      <c r="A2026" t="s">
        <v>903</v>
      </c>
      <c r="B2026" t="s">
        <v>4394</v>
      </c>
      <c r="C2026" t="s">
        <v>4438</v>
      </c>
      <c r="D2026" t="s">
        <v>4439</v>
      </c>
      <c r="E2026" t="s">
        <v>1400</v>
      </c>
      <c r="F2026" t="s">
        <v>1340</v>
      </c>
      <c r="G2026" t="s">
        <v>1426</v>
      </c>
      <c r="H2026" t="s">
        <v>1372</v>
      </c>
    </row>
    <row r="2027" spans="1:8" x14ac:dyDescent="0.25">
      <c r="A2027" t="s">
        <v>70</v>
      </c>
      <c r="B2027">
        <v>37</v>
      </c>
      <c r="C2027" t="s">
        <v>4553</v>
      </c>
      <c r="D2027" t="s">
        <v>4883</v>
      </c>
      <c r="E2027" t="s">
        <v>4931</v>
      </c>
      <c r="F2027" t="s">
        <v>4494</v>
      </c>
      <c r="G2027" t="s">
        <v>4406</v>
      </c>
      <c r="H2027" t="s">
        <v>4496</v>
      </c>
    </row>
    <row r="2028" spans="1:8" x14ac:dyDescent="0.25">
      <c r="A2028" t="s">
        <v>71</v>
      </c>
      <c r="B2028">
        <v>101</v>
      </c>
      <c r="C2028" t="s">
        <v>4510</v>
      </c>
      <c r="D2028" t="s">
        <v>4874</v>
      </c>
      <c r="E2028" t="s">
        <v>4402</v>
      </c>
      <c r="F2028" t="s">
        <v>4867</v>
      </c>
      <c r="G2028" t="s">
        <v>4699</v>
      </c>
      <c r="H2028" t="s">
        <v>4859</v>
      </c>
    </row>
    <row r="2029" spans="1:8" x14ac:dyDescent="0.25">
      <c r="A2029" t="s">
        <v>1296</v>
      </c>
      <c r="B2029">
        <v>138</v>
      </c>
      <c r="C2029" t="s">
        <v>4712</v>
      </c>
      <c r="D2029" t="s">
        <v>4596</v>
      </c>
      <c r="E2029" t="s">
        <v>4750</v>
      </c>
      <c r="F2029" t="s">
        <v>4863</v>
      </c>
      <c r="G2029" t="s">
        <v>4667</v>
      </c>
      <c r="H2029" t="s">
        <v>4443</v>
      </c>
    </row>
    <row r="2031" spans="1:8" x14ac:dyDescent="0.25">
      <c r="A2031" t="s">
        <v>6404</v>
      </c>
    </row>
    <row r="2032" spans="1:8" x14ac:dyDescent="0.25">
      <c r="A2032" t="s">
        <v>992</v>
      </c>
      <c r="B2032" t="s">
        <v>4394</v>
      </c>
      <c r="C2032" t="s">
        <v>4438</v>
      </c>
      <c r="D2032" t="s">
        <v>4439</v>
      </c>
      <c r="E2032" t="s">
        <v>1400</v>
      </c>
      <c r="F2032" t="s">
        <v>1340</v>
      </c>
      <c r="G2032" t="s">
        <v>1426</v>
      </c>
      <c r="H2032" t="s">
        <v>1372</v>
      </c>
    </row>
    <row r="2033" spans="1:8" x14ac:dyDescent="0.25">
      <c r="A2033" t="s">
        <v>4844</v>
      </c>
      <c r="B2033">
        <v>21</v>
      </c>
      <c r="C2033" t="s">
        <v>4585</v>
      </c>
      <c r="D2033" t="s">
        <v>4675</v>
      </c>
      <c r="E2033" t="s">
        <v>4406</v>
      </c>
      <c r="F2033" t="s">
        <v>4675</v>
      </c>
      <c r="G2033" t="s">
        <v>4749</v>
      </c>
      <c r="H2033" t="s">
        <v>4450</v>
      </c>
    </row>
    <row r="2034" spans="1:8" x14ac:dyDescent="0.25">
      <c r="A2034" t="s">
        <v>4845</v>
      </c>
      <c r="B2034">
        <v>108</v>
      </c>
      <c r="C2034" t="s">
        <v>4482</v>
      </c>
      <c r="D2034" t="s">
        <v>4663</v>
      </c>
      <c r="E2034" t="s">
        <v>4954</v>
      </c>
      <c r="F2034" t="s">
        <v>4596</v>
      </c>
      <c r="G2034" t="s">
        <v>4670</v>
      </c>
      <c r="H2034" t="s">
        <v>4533</v>
      </c>
    </row>
    <row r="2035" spans="1:8" x14ac:dyDescent="0.25">
      <c r="A2035" t="s">
        <v>4846</v>
      </c>
      <c r="B2035">
        <v>9</v>
      </c>
      <c r="C2035" t="s">
        <v>4731</v>
      </c>
      <c r="D2035" t="s">
        <v>4465</v>
      </c>
      <c r="E2035" t="s">
        <v>4406</v>
      </c>
      <c r="F2035" t="s">
        <v>4676</v>
      </c>
      <c r="G2035" t="s">
        <v>4676</v>
      </c>
      <c r="H2035" t="s">
        <v>4731</v>
      </c>
    </row>
    <row r="2036" spans="1:8" x14ac:dyDescent="0.25">
      <c r="A2036" t="s">
        <v>1296</v>
      </c>
      <c r="B2036">
        <v>138</v>
      </c>
      <c r="C2036" t="s">
        <v>4682</v>
      </c>
      <c r="D2036" t="s">
        <v>4470</v>
      </c>
      <c r="E2036" t="s">
        <v>4697</v>
      </c>
      <c r="F2036" t="s">
        <v>4863</v>
      </c>
      <c r="G2036" t="s">
        <v>4670</v>
      </c>
      <c r="H2036" t="s">
        <v>4918</v>
      </c>
    </row>
    <row r="2038" spans="1:8" x14ac:dyDescent="0.25">
      <c r="A2038" t="s">
        <v>6405</v>
      </c>
    </row>
    <row r="2039" spans="1:8" x14ac:dyDescent="0.25">
      <c r="A2039" t="s">
        <v>995</v>
      </c>
      <c r="B2039" t="s">
        <v>4394</v>
      </c>
      <c r="C2039" t="s">
        <v>4438</v>
      </c>
      <c r="D2039" t="s">
        <v>4439</v>
      </c>
      <c r="E2039" t="s">
        <v>1400</v>
      </c>
      <c r="F2039" t="s">
        <v>1340</v>
      </c>
      <c r="G2039" t="s">
        <v>1426</v>
      </c>
      <c r="H2039" t="s">
        <v>1372</v>
      </c>
    </row>
    <row r="2040" spans="1:8" x14ac:dyDescent="0.25">
      <c r="A2040" t="s">
        <v>1338</v>
      </c>
      <c r="B2040">
        <v>43</v>
      </c>
      <c r="C2040">
        <v>14</v>
      </c>
      <c r="D2040">
        <v>3</v>
      </c>
      <c r="E2040">
        <v>0</v>
      </c>
      <c r="F2040">
        <v>7</v>
      </c>
      <c r="G2040">
        <v>1</v>
      </c>
      <c r="H2040">
        <v>18</v>
      </c>
    </row>
    <row r="2041" spans="1:8" x14ac:dyDescent="0.25">
      <c r="A2041" t="s">
        <v>1370</v>
      </c>
      <c r="B2041">
        <v>10</v>
      </c>
      <c r="C2041">
        <v>6</v>
      </c>
      <c r="D2041">
        <v>2</v>
      </c>
      <c r="E2041">
        <v>0</v>
      </c>
      <c r="F2041">
        <v>1</v>
      </c>
      <c r="G2041">
        <v>1</v>
      </c>
      <c r="H2041">
        <v>0</v>
      </c>
    </row>
    <row r="2042" spans="1:8" x14ac:dyDescent="0.25">
      <c r="A2042" t="s">
        <v>1439</v>
      </c>
      <c r="B2042">
        <v>7</v>
      </c>
      <c r="C2042">
        <v>1</v>
      </c>
      <c r="D2042">
        <v>1</v>
      </c>
      <c r="E2042">
        <v>0</v>
      </c>
      <c r="F2042">
        <v>2</v>
      </c>
      <c r="G2042">
        <v>1</v>
      </c>
      <c r="H2042">
        <v>2</v>
      </c>
    </row>
    <row r="2043" spans="1:8" x14ac:dyDescent="0.25">
      <c r="A2043" t="s">
        <v>1476</v>
      </c>
      <c r="B2043">
        <v>5</v>
      </c>
      <c r="C2043">
        <v>2</v>
      </c>
      <c r="D2043">
        <v>2</v>
      </c>
      <c r="E2043">
        <v>1</v>
      </c>
      <c r="F2043">
        <v>0</v>
      </c>
      <c r="G2043">
        <v>0</v>
      </c>
      <c r="H2043">
        <v>0</v>
      </c>
    </row>
    <row r="2044" spans="1:8" x14ac:dyDescent="0.25">
      <c r="A2044" t="s">
        <v>5476</v>
      </c>
      <c r="B2044">
        <v>2</v>
      </c>
      <c r="C2044">
        <v>0</v>
      </c>
      <c r="D2044">
        <v>0</v>
      </c>
      <c r="E2044">
        <v>1</v>
      </c>
      <c r="F2044">
        <v>0</v>
      </c>
      <c r="G2044">
        <v>0</v>
      </c>
      <c r="H2044">
        <v>1</v>
      </c>
    </row>
    <row r="2045" spans="1:8" x14ac:dyDescent="0.25">
      <c r="A2045" t="s">
        <v>1399</v>
      </c>
      <c r="B2045">
        <v>23</v>
      </c>
      <c r="C2045">
        <v>9</v>
      </c>
      <c r="D2045">
        <v>6</v>
      </c>
      <c r="E2045">
        <v>2</v>
      </c>
      <c r="F2045">
        <v>3</v>
      </c>
      <c r="G2045">
        <v>1</v>
      </c>
      <c r="H2045">
        <v>2</v>
      </c>
    </row>
    <row r="2046" spans="1:8" x14ac:dyDescent="0.25">
      <c r="A2046" t="s">
        <v>1415</v>
      </c>
      <c r="B2046">
        <v>48</v>
      </c>
      <c r="C2046">
        <v>10</v>
      </c>
      <c r="D2046">
        <v>5</v>
      </c>
      <c r="E2046">
        <v>0</v>
      </c>
      <c r="F2046">
        <v>8</v>
      </c>
      <c r="G2046">
        <v>5</v>
      </c>
      <c r="H2046">
        <v>20</v>
      </c>
    </row>
    <row r="2047" spans="1:8" x14ac:dyDescent="0.25">
      <c r="A2047" t="s">
        <v>1296</v>
      </c>
      <c r="B2047">
        <v>138</v>
      </c>
      <c r="C2047">
        <v>42</v>
      </c>
      <c r="D2047">
        <v>19</v>
      </c>
      <c r="E2047">
        <v>4</v>
      </c>
      <c r="F2047">
        <v>21</v>
      </c>
      <c r="G2047">
        <v>9</v>
      </c>
      <c r="H2047">
        <v>43</v>
      </c>
    </row>
    <row r="2049" spans="1:8" x14ac:dyDescent="0.25">
      <c r="A2049" t="s">
        <v>6406</v>
      </c>
    </row>
    <row r="2050" spans="1:8" x14ac:dyDescent="0.25">
      <c r="A2050" t="s">
        <v>998</v>
      </c>
      <c r="B2050" t="s">
        <v>4394</v>
      </c>
      <c r="C2050" t="s">
        <v>4438</v>
      </c>
      <c r="D2050" t="s">
        <v>4439</v>
      </c>
      <c r="E2050" t="s">
        <v>1400</v>
      </c>
      <c r="F2050" t="s">
        <v>1340</v>
      </c>
      <c r="G2050" t="s">
        <v>1426</v>
      </c>
      <c r="H2050" t="s">
        <v>1372</v>
      </c>
    </row>
    <row r="2051" spans="1:8" x14ac:dyDescent="0.25">
      <c r="A2051" t="s">
        <v>109</v>
      </c>
      <c r="B2051">
        <v>125</v>
      </c>
      <c r="C2051" t="s">
        <v>4629</v>
      </c>
      <c r="D2051" t="s">
        <v>4707</v>
      </c>
      <c r="E2051" t="s">
        <v>4424</v>
      </c>
      <c r="F2051" t="s">
        <v>4863</v>
      </c>
      <c r="G2051" t="s">
        <v>4749</v>
      </c>
      <c r="H2051" t="s">
        <v>4633</v>
      </c>
    </row>
    <row r="2052" spans="1:8" x14ac:dyDescent="0.25">
      <c r="A2052" t="s">
        <v>192</v>
      </c>
      <c r="B2052">
        <v>13</v>
      </c>
      <c r="C2052" t="s">
        <v>4474</v>
      </c>
      <c r="D2052" t="s">
        <v>4567</v>
      </c>
      <c r="E2052" t="s">
        <v>4705</v>
      </c>
      <c r="F2052" t="s">
        <v>4474</v>
      </c>
      <c r="G2052" t="s">
        <v>4566</v>
      </c>
      <c r="H2052" t="s">
        <v>4705</v>
      </c>
    </row>
    <row r="2053" spans="1:8" x14ac:dyDescent="0.25">
      <c r="A2053" t="s">
        <v>1296</v>
      </c>
      <c r="B2053">
        <v>138</v>
      </c>
      <c r="C2053" t="s">
        <v>4682</v>
      </c>
      <c r="D2053" t="s">
        <v>4470</v>
      </c>
      <c r="E2053" t="s">
        <v>4697</v>
      </c>
      <c r="F2053" t="s">
        <v>4863</v>
      </c>
      <c r="G2053" t="s">
        <v>4670</v>
      </c>
      <c r="H2053" t="s">
        <v>4918</v>
      </c>
    </row>
    <row r="2055" spans="1:8" x14ac:dyDescent="0.25">
      <c r="A2055" t="s">
        <v>6407</v>
      </c>
    </row>
    <row r="2056" spans="1:8" x14ac:dyDescent="0.25">
      <c r="A2056" t="s">
        <v>1295</v>
      </c>
      <c r="B2056" t="s">
        <v>4394</v>
      </c>
      <c r="C2056" t="s">
        <v>4438</v>
      </c>
      <c r="D2056" t="s">
        <v>4439</v>
      </c>
      <c r="E2056" t="s">
        <v>1400</v>
      </c>
      <c r="F2056" t="s">
        <v>1340</v>
      </c>
      <c r="G2056" t="s">
        <v>1426</v>
      </c>
      <c r="H2056" t="s">
        <v>1372</v>
      </c>
    </row>
    <row r="2057" spans="1:8" x14ac:dyDescent="0.25">
      <c r="A2057" t="s">
        <v>4395</v>
      </c>
      <c r="B2057">
        <v>15</v>
      </c>
      <c r="C2057" t="s">
        <v>4465</v>
      </c>
      <c r="D2057" t="s">
        <v>4416</v>
      </c>
      <c r="E2057" t="s">
        <v>4406</v>
      </c>
      <c r="F2057" t="s">
        <v>4472</v>
      </c>
      <c r="G2057" t="s">
        <v>4472</v>
      </c>
      <c r="H2057" t="s">
        <v>4472</v>
      </c>
    </row>
    <row r="2058" spans="1:8" x14ac:dyDescent="0.25">
      <c r="A2058" t="s">
        <v>4396</v>
      </c>
      <c r="B2058">
        <v>53</v>
      </c>
      <c r="C2058" t="s">
        <v>4578</v>
      </c>
      <c r="D2058" t="s">
        <v>4654</v>
      </c>
      <c r="E2058" t="s">
        <v>4952</v>
      </c>
      <c r="F2058" t="s">
        <v>5003</v>
      </c>
      <c r="G2058" t="s">
        <v>4654</v>
      </c>
      <c r="H2058" t="s">
        <v>5219</v>
      </c>
    </row>
    <row r="2059" spans="1:8" x14ac:dyDescent="0.25">
      <c r="A2059" t="s">
        <v>4397</v>
      </c>
      <c r="B2059">
        <v>1</v>
      </c>
      <c r="C2059" t="s">
        <v>4454</v>
      </c>
      <c r="D2059" t="s">
        <v>4406</v>
      </c>
      <c r="E2059" t="s">
        <v>4406</v>
      </c>
      <c r="F2059" t="s">
        <v>4406</v>
      </c>
      <c r="G2059" t="s">
        <v>4406</v>
      </c>
      <c r="H2059" t="s">
        <v>4406</v>
      </c>
    </row>
    <row r="2060" spans="1:8" x14ac:dyDescent="0.25">
      <c r="A2060" t="s">
        <v>4398</v>
      </c>
      <c r="B2060">
        <v>64</v>
      </c>
      <c r="C2060" t="s">
        <v>5117</v>
      </c>
      <c r="D2060" t="s">
        <v>5262</v>
      </c>
      <c r="E2060" t="s">
        <v>4656</v>
      </c>
      <c r="F2060" t="s">
        <v>4479</v>
      </c>
      <c r="G2060" t="s">
        <v>4656</v>
      </c>
      <c r="H2060" t="s">
        <v>4948</v>
      </c>
    </row>
    <row r="2061" spans="1:8" x14ac:dyDescent="0.25">
      <c r="A2061" t="s">
        <v>4399</v>
      </c>
      <c r="B2061">
        <v>5</v>
      </c>
      <c r="C2061" t="s">
        <v>4457</v>
      </c>
      <c r="D2061" t="s">
        <v>4406</v>
      </c>
      <c r="E2061" t="s">
        <v>4406</v>
      </c>
      <c r="F2061" t="s">
        <v>4472</v>
      </c>
      <c r="G2061" t="s">
        <v>4406</v>
      </c>
      <c r="H2061" t="s">
        <v>4472</v>
      </c>
    </row>
    <row r="2062" spans="1:8" x14ac:dyDescent="0.25">
      <c r="A2062" t="s">
        <v>1296</v>
      </c>
      <c r="B2062">
        <v>138</v>
      </c>
      <c r="C2062" t="s">
        <v>4682</v>
      </c>
      <c r="D2062" t="s">
        <v>4470</v>
      </c>
      <c r="E2062" t="s">
        <v>4697</v>
      </c>
      <c r="F2062" t="s">
        <v>4863</v>
      </c>
      <c r="G2062" t="s">
        <v>4670</v>
      </c>
      <c r="H2062" t="s">
        <v>4918</v>
      </c>
    </row>
    <row r="2064" spans="1:8" x14ac:dyDescent="0.25">
      <c r="A2064" t="s">
        <v>6408</v>
      </c>
    </row>
    <row r="2065" spans="1:8" x14ac:dyDescent="0.25">
      <c r="A2065" t="s">
        <v>1006</v>
      </c>
      <c r="B2065" t="s">
        <v>4394</v>
      </c>
      <c r="C2065" t="s">
        <v>4438</v>
      </c>
      <c r="D2065" t="s">
        <v>4439</v>
      </c>
      <c r="E2065" t="s">
        <v>1400</v>
      </c>
      <c r="F2065" t="s">
        <v>1340</v>
      </c>
      <c r="G2065" t="s">
        <v>1426</v>
      </c>
      <c r="H2065" t="s">
        <v>1372</v>
      </c>
    </row>
    <row r="2066" spans="1:8" x14ac:dyDescent="0.25">
      <c r="A2066" t="s">
        <v>1371</v>
      </c>
      <c r="B2066">
        <v>26</v>
      </c>
      <c r="C2066">
        <v>15</v>
      </c>
      <c r="D2066">
        <v>1</v>
      </c>
      <c r="E2066">
        <v>0</v>
      </c>
      <c r="F2066">
        <v>0</v>
      </c>
      <c r="G2066">
        <v>2</v>
      </c>
      <c r="H2066">
        <v>8</v>
      </c>
    </row>
    <row r="2067" spans="1:8" x14ac:dyDescent="0.25">
      <c r="A2067" t="s">
        <v>1452</v>
      </c>
      <c r="B2067">
        <v>17</v>
      </c>
      <c r="C2067">
        <v>5</v>
      </c>
      <c r="D2067">
        <v>1</v>
      </c>
      <c r="E2067">
        <v>0</v>
      </c>
      <c r="F2067">
        <v>0</v>
      </c>
      <c r="G2067">
        <v>0</v>
      </c>
      <c r="H2067">
        <v>11</v>
      </c>
    </row>
    <row r="2068" spans="1:8" x14ac:dyDescent="0.25">
      <c r="A2068" t="s">
        <v>5560</v>
      </c>
      <c r="B2068">
        <v>14</v>
      </c>
      <c r="C2068">
        <v>3</v>
      </c>
      <c r="D2068">
        <v>5</v>
      </c>
      <c r="E2068">
        <v>2</v>
      </c>
      <c r="F2068">
        <v>0</v>
      </c>
      <c r="G2068">
        <v>2</v>
      </c>
      <c r="H2068">
        <v>2</v>
      </c>
    </row>
    <row r="2069" spans="1:8" x14ac:dyDescent="0.25">
      <c r="A2069" t="s">
        <v>1424</v>
      </c>
      <c r="B2069">
        <v>30</v>
      </c>
      <c r="C2069">
        <v>12</v>
      </c>
      <c r="D2069">
        <v>12</v>
      </c>
      <c r="E2069">
        <v>1</v>
      </c>
      <c r="F2069">
        <v>0</v>
      </c>
      <c r="G2069">
        <v>2</v>
      </c>
      <c r="H2069">
        <v>3</v>
      </c>
    </row>
    <row r="2070" spans="1:8" x14ac:dyDescent="0.25">
      <c r="A2070" t="s">
        <v>1340</v>
      </c>
      <c r="B2070">
        <v>21</v>
      </c>
      <c r="C2070">
        <v>0</v>
      </c>
      <c r="D2070">
        <v>0</v>
      </c>
      <c r="E2070">
        <v>0</v>
      </c>
      <c r="F2070">
        <v>21</v>
      </c>
      <c r="G2070">
        <v>0</v>
      </c>
      <c r="H2070">
        <v>0</v>
      </c>
    </row>
    <row r="2071" spans="1:8" x14ac:dyDescent="0.25">
      <c r="A2071" t="s">
        <v>5561</v>
      </c>
      <c r="B2071">
        <v>6</v>
      </c>
      <c r="C2071">
        <v>1</v>
      </c>
      <c r="D2071">
        <v>0</v>
      </c>
      <c r="E2071">
        <v>0</v>
      </c>
      <c r="F2071">
        <v>0</v>
      </c>
      <c r="G2071">
        <v>3</v>
      </c>
      <c r="H2071">
        <v>2</v>
      </c>
    </row>
    <row r="2072" spans="1:8" x14ac:dyDescent="0.25">
      <c r="A2072" t="s">
        <v>1416</v>
      </c>
      <c r="B2072">
        <v>24</v>
      </c>
      <c r="C2072">
        <v>6</v>
      </c>
      <c r="D2072">
        <v>0</v>
      </c>
      <c r="E2072">
        <v>1</v>
      </c>
      <c r="F2072">
        <v>0</v>
      </c>
      <c r="G2072">
        <v>0</v>
      </c>
      <c r="H2072">
        <v>17</v>
      </c>
    </row>
    <row r="2073" spans="1:8" x14ac:dyDescent="0.25">
      <c r="A2073" t="s">
        <v>1296</v>
      </c>
      <c r="B2073">
        <v>138</v>
      </c>
      <c r="C2073">
        <v>42</v>
      </c>
      <c r="D2073">
        <v>19</v>
      </c>
      <c r="E2073">
        <v>4</v>
      </c>
      <c r="F2073">
        <v>21</v>
      </c>
      <c r="G2073">
        <v>9</v>
      </c>
      <c r="H2073">
        <v>43</v>
      </c>
    </row>
    <row r="2075" spans="1:8" x14ac:dyDescent="0.25">
      <c r="A2075" t="s">
        <v>6409</v>
      </c>
    </row>
    <row r="2076" spans="1:8" x14ac:dyDescent="0.25">
      <c r="A2076" t="s">
        <v>2842</v>
      </c>
      <c r="B2076" t="s">
        <v>4394</v>
      </c>
      <c r="C2076" t="s">
        <v>4438</v>
      </c>
      <c r="D2076" t="s">
        <v>4439</v>
      </c>
      <c r="E2076" t="s">
        <v>1400</v>
      </c>
      <c r="F2076" t="s">
        <v>1340</v>
      </c>
      <c r="G2076" t="s">
        <v>1426</v>
      </c>
      <c r="H2076" t="s">
        <v>1372</v>
      </c>
    </row>
    <row r="2077" spans="1:8" x14ac:dyDescent="0.25">
      <c r="A2077" t="s">
        <v>5549</v>
      </c>
      <c r="B2077">
        <v>83</v>
      </c>
      <c r="C2077" t="s">
        <v>4520</v>
      </c>
      <c r="D2077" t="s">
        <v>4559</v>
      </c>
      <c r="E2077" t="s">
        <v>4422</v>
      </c>
      <c r="F2077" t="s">
        <v>4541</v>
      </c>
      <c r="G2077" t="s">
        <v>4749</v>
      </c>
      <c r="H2077" t="s">
        <v>4531</v>
      </c>
    </row>
    <row r="2078" spans="1:8" x14ac:dyDescent="0.25">
      <c r="A2078" t="s">
        <v>1397</v>
      </c>
      <c r="B2078">
        <v>55</v>
      </c>
      <c r="C2078" t="s">
        <v>4638</v>
      </c>
      <c r="D2078" t="s">
        <v>5252</v>
      </c>
      <c r="E2078" t="s">
        <v>5467</v>
      </c>
      <c r="F2078" t="s">
        <v>4599</v>
      </c>
      <c r="G2078" t="s">
        <v>4852</v>
      </c>
      <c r="H2078" t="s">
        <v>4405</v>
      </c>
    </row>
    <row r="2079" spans="1:8" x14ac:dyDescent="0.25">
      <c r="A2079" t="s">
        <v>1296</v>
      </c>
      <c r="B2079">
        <v>138</v>
      </c>
      <c r="C2079" t="s">
        <v>4682</v>
      </c>
      <c r="D2079" t="s">
        <v>4470</v>
      </c>
      <c r="E2079" t="s">
        <v>4697</v>
      </c>
      <c r="F2079" t="s">
        <v>4863</v>
      </c>
      <c r="G2079" t="s">
        <v>4670</v>
      </c>
      <c r="H2079" t="s">
        <v>4918</v>
      </c>
    </row>
    <row r="2081" spans="1:8" x14ac:dyDescent="0.25">
      <c r="A2081" t="s">
        <v>6410</v>
      </c>
    </row>
    <row r="2082" spans="1:8" x14ac:dyDescent="0.25">
      <c r="A2082" t="s">
        <v>903</v>
      </c>
      <c r="B2082" t="s">
        <v>4394</v>
      </c>
      <c r="C2082" t="s">
        <v>4438</v>
      </c>
      <c r="D2082" t="s">
        <v>4439</v>
      </c>
      <c r="E2082" t="s">
        <v>1400</v>
      </c>
      <c r="F2082" t="s">
        <v>1340</v>
      </c>
      <c r="G2082" t="s">
        <v>1426</v>
      </c>
      <c r="H2082" t="s">
        <v>1372</v>
      </c>
    </row>
    <row r="2083" spans="1:8" x14ac:dyDescent="0.25">
      <c r="A2083" t="s">
        <v>70</v>
      </c>
      <c r="B2083">
        <v>37</v>
      </c>
      <c r="C2083" t="s">
        <v>4625</v>
      </c>
      <c r="D2083" t="s">
        <v>4883</v>
      </c>
      <c r="E2083" t="s">
        <v>4883</v>
      </c>
      <c r="F2083" t="s">
        <v>4494</v>
      </c>
      <c r="G2083" t="s">
        <v>4746</v>
      </c>
      <c r="H2083" t="s">
        <v>4496</v>
      </c>
    </row>
    <row r="2084" spans="1:8" x14ac:dyDescent="0.25">
      <c r="A2084" t="s">
        <v>71</v>
      </c>
      <c r="B2084">
        <v>101</v>
      </c>
      <c r="C2084" t="s">
        <v>4518</v>
      </c>
      <c r="D2084" t="s">
        <v>4867</v>
      </c>
      <c r="E2084" t="s">
        <v>4402</v>
      </c>
      <c r="F2084" t="s">
        <v>4867</v>
      </c>
      <c r="G2084" t="s">
        <v>4887</v>
      </c>
      <c r="H2084" t="s">
        <v>4486</v>
      </c>
    </row>
    <row r="2085" spans="1:8" x14ac:dyDescent="0.25">
      <c r="A2085" t="s">
        <v>1296</v>
      </c>
      <c r="B2085">
        <v>138</v>
      </c>
      <c r="C2085" t="s">
        <v>4682</v>
      </c>
      <c r="D2085" t="s">
        <v>4470</v>
      </c>
      <c r="E2085" t="s">
        <v>4697</v>
      </c>
      <c r="F2085" t="s">
        <v>4863</v>
      </c>
      <c r="G2085" t="s">
        <v>4670</v>
      </c>
      <c r="H2085" t="s">
        <v>4918</v>
      </c>
    </row>
    <row r="2087" spans="1:8" x14ac:dyDescent="0.25">
      <c r="A2087" t="s">
        <v>6411</v>
      </c>
    </row>
    <row r="2088" spans="1:8" x14ac:dyDescent="0.25">
      <c r="A2088" t="s">
        <v>2842</v>
      </c>
      <c r="B2088" t="s">
        <v>4394</v>
      </c>
      <c r="C2088" t="s">
        <v>109</v>
      </c>
      <c r="D2088" t="s">
        <v>192</v>
      </c>
    </row>
    <row r="2089" spans="1:8" x14ac:dyDescent="0.25">
      <c r="A2089" t="s">
        <v>5549</v>
      </c>
      <c r="B2089">
        <v>83</v>
      </c>
      <c r="C2089" t="s">
        <v>5153</v>
      </c>
      <c r="D2089" t="s">
        <v>4829</v>
      </c>
    </row>
    <row r="2090" spans="1:8" x14ac:dyDescent="0.25">
      <c r="A2090" t="s">
        <v>1397</v>
      </c>
      <c r="B2090">
        <v>55</v>
      </c>
      <c r="C2090" t="s">
        <v>4534</v>
      </c>
      <c r="D2090" t="s">
        <v>5470</v>
      </c>
    </row>
    <row r="2091" spans="1:8" x14ac:dyDescent="0.25">
      <c r="A2091" t="s">
        <v>1296</v>
      </c>
      <c r="B2091">
        <v>138</v>
      </c>
      <c r="C2091" t="s">
        <v>5287</v>
      </c>
      <c r="D2091" t="s">
        <v>5534</v>
      </c>
    </row>
    <row r="2093" spans="1:8" x14ac:dyDescent="0.25">
      <c r="A2093" t="s">
        <v>6412</v>
      </c>
    </row>
    <row r="2094" spans="1:8" x14ac:dyDescent="0.25">
      <c r="A2094" t="s">
        <v>992</v>
      </c>
      <c r="B2094" t="s">
        <v>4394</v>
      </c>
      <c r="C2094" t="s">
        <v>109</v>
      </c>
      <c r="D2094" t="s">
        <v>192</v>
      </c>
    </row>
    <row r="2095" spans="1:8" x14ac:dyDescent="0.25">
      <c r="A2095" t="s">
        <v>4844</v>
      </c>
      <c r="B2095">
        <v>21</v>
      </c>
      <c r="C2095" t="s">
        <v>4865</v>
      </c>
      <c r="D2095" t="s">
        <v>4585</v>
      </c>
    </row>
    <row r="2096" spans="1:8" x14ac:dyDescent="0.25">
      <c r="A2096" t="s">
        <v>4845</v>
      </c>
      <c r="B2096">
        <v>108</v>
      </c>
      <c r="C2096" t="s">
        <v>5215</v>
      </c>
      <c r="D2096" t="s">
        <v>5216</v>
      </c>
    </row>
    <row r="2097" spans="1:4" x14ac:dyDescent="0.25">
      <c r="A2097" t="s">
        <v>4846</v>
      </c>
      <c r="B2097">
        <v>9</v>
      </c>
      <c r="C2097" t="s">
        <v>4465</v>
      </c>
      <c r="D2097" t="s">
        <v>4469</v>
      </c>
    </row>
    <row r="2098" spans="1:4" x14ac:dyDescent="0.25">
      <c r="A2098" t="s">
        <v>1296</v>
      </c>
      <c r="B2098">
        <v>138</v>
      </c>
      <c r="C2098" t="s">
        <v>5287</v>
      </c>
      <c r="D2098" t="s">
        <v>5534</v>
      </c>
    </row>
    <row r="2100" spans="1:4" x14ac:dyDescent="0.25">
      <c r="A2100" t="s">
        <v>6413</v>
      </c>
    </row>
    <row r="2101" spans="1:4" x14ac:dyDescent="0.25">
      <c r="A2101" t="s">
        <v>995</v>
      </c>
      <c r="B2101" t="s">
        <v>4394</v>
      </c>
      <c r="C2101" t="s">
        <v>109</v>
      </c>
      <c r="D2101" t="s">
        <v>192</v>
      </c>
    </row>
    <row r="2102" spans="1:4" x14ac:dyDescent="0.25">
      <c r="A2102" t="s">
        <v>1338</v>
      </c>
      <c r="B2102">
        <v>43</v>
      </c>
      <c r="C2102">
        <v>20</v>
      </c>
      <c r="D2102">
        <v>23</v>
      </c>
    </row>
    <row r="2103" spans="1:4" x14ac:dyDescent="0.25">
      <c r="A2103" t="s">
        <v>1370</v>
      </c>
      <c r="B2103">
        <v>10</v>
      </c>
      <c r="C2103">
        <v>0</v>
      </c>
      <c r="D2103">
        <v>10</v>
      </c>
    </row>
    <row r="2104" spans="1:4" x14ac:dyDescent="0.25">
      <c r="A2104" t="s">
        <v>1439</v>
      </c>
      <c r="B2104">
        <v>7</v>
      </c>
      <c r="C2104">
        <v>2</v>
      </c>
      <c r="D2104">
        <v>5</v>
      </c>
    </row>
    <row r="2105" spans="1:4" x14ac:dyDescent="0.25">
      <c r="A2105" t="s">
        <v>1476</v>
      </c>
      <c r="B2105">
        <v>5</v>
      </c>
      <c r="C2105">
        <v>3</v>
      </c>
      <c r="D2105">
        <v>2</v>
      </c>
    </row>
    <row r="2106" spans="1:4" x14ac:dyDescent="0.25">
      <c r="A2106" t="s">
        <v>5476</v>
      </c>
      <c r="B2106">
        <v>2</v>
      </c>
      <c r="C2106">
        <v>1</v>
      </c>
      <c r="D2106">
        <v>1</v>
      </c>
    </row>
    <row r="2107" spans="1:4" x14ac:dyDescent="0.25">
      <c r="A2107" t="s">
        <v>1399</v>
      </c>
      <c r="B2107">
        <v>23</v>
      </c>
      <c r="C2107">
        <v>8</v>
      </c>
      <c r="D2107">
        <v>15</v>
      </c>
    </row>
    <row r="2108" spans="1:4" x14ac:dyDescent="0.25">
      <c r="A2108" t="s">
        <v>1415</v>
      </c>
      <c r="B2108">
        <v>48</v>
      </c>
      <c r="C2108">
        <v>18</v>
      </c>
      <c r="D2108">
        <v>30</v>
      </c>
    </row>
    <row r="2109" spans="1:4" x14ac:dyDescent="0.25">
      <c r="A2109" t="s">
        <v>1296</v>
      </c>
      <c r="B2109">
        <v>138</v>
      </c>
      <c r="C2109">
        <v>52</v>
      </c>
      <c r="D2109">
        <v>86</v>
      </c>
    </row>
    <row r="2111" spans="1:4" x14ac:dyDescent="0.25">
      <c r="A2111" t="s">
        <v>6414</v>
      </c>
    </row>
    <row r="2112" spans="1:4" x14ac:dyDescent="0.25">
      <c r="A2112" t="s">
        <v>998</v>
      </c>
      <c r="B2112" t="s">
        <v>4394</v>
      </c>
      <c r="C2112" t="s">
        <v>109</v>
      </c>
      <c r="D2112" t="s">
        <v>192</v>
      </c>
    </row>
    <row r="2113" spans="1:4" x14ac:dyDescent="0.25">
      <c r="A2113" t="s">
        <v>109</v>
      </c>
      <c r="B2113">
        <v>125</v>
      </c>
      <c r="C2113" t="s">
        <v>4458</v>
      </c>
      <c r="D2113" t="s">
        <v>4457</v>
      </c>
    </row>
    <row r="2114" spans="1:4" x14ac:dyDescent="0.25">
      <c r="A2114" t="s">
        <v>192</v>
      </c>
      <c r="B2114">
        <v>13</v>
      </c>
      <c r="C2114" t="s">
        <v>4474</v>
      </c>
      <c r="D2114" t="s">
        <v>5021</v>
      </c>
    </row>
    <row r="2115" spans="1:4" x14ac:dyDescent="0.25">
      <c r="A2115" t="s">
        <v>1296</v>
      </c>
      <c r="B2115">
        <v>138</v>
      </c>
      <c r="C2115" t="s">
        <v>5287</v>
      </c>
      <c r="D2115" t="s">
        <v>5534</v>
      </c>
    </row>
    <row r="2117" spans="1:4" x14ac:dyDescent="0.25">
      <c r="A2117" t="s">
        <v>6415</v>
      </c>
    </row>
    <row r="2118" spans="1:4" x14ac:dyDescent="0.25">
      <c r="A2118" t="s">
        <v>1006</v>
      </c>
      <c r="B2118" t="s">
        <v>4394</v>
      </c>
      <c r="C2118" t="s">
        <v>109</v>
      </c>
      <c r="D2118" t="s">
        <v>192</v>
      </c>
    </row>
    <row r="2119" spans="1:4" x14ac:dyDescent="0.25">
      <c r="A2119" t="s">
        <v>1371</v>
      </c>
      <c r="B2119">
        <v>26</v>
      </c>
      <c r="C2119">
        <v>5</v>
      </c>
      <c r="D2119">
        <v>21</v>
      </c>
    </row>
    <row r="2120" spans="1:4" x14ac:dyDescent="0.25">
      <c r="A2120" t="s">
        <v>1452</v>
      </c>
      <c r="B2120">
        <v>17</v>
      </c>
      <c r="C2120">
        <v>7</v>
      </c>
      <c r="D2120">
        <v>10</v>
      </c>
    </row>
    <row r="2121" spans="1:4" x14ac:dyDescent="0.25">
      <c r="A2121" t="s">
        <v>5560</v>
      </c>
      <c r="B2121">
        <v>14</v>
      </c>
      <c r="C2121">
        <v>5</v>
      </c>
      <c r="D2121">
        <v>9</v>
      </c>
    </row>
    <row r="2122" spans="1:4" x14ac:dyDescent="0.25">
      <c r="A2122" t="s">
        <v>1424</v>
      </c>
      <c r="B2122">
        <v>30</v>
      </c>
      <c r="C2122">
        <v>14</v>
      </c>
      <c r="D2122">
        <v>16</v>
      </c>
    </row>
    <row r="2123" spans="1:4" x14ac:dyDescent="0.25">
      <c r="A2123" t="s">
        <v>1340</v>
      </c>
      <c r="B2123">
        <v>21</v>
      </c>
      <c r="C2123">
        <v>8</v>
      </c>
      <c r="D2123">
        <v>13</v>
      </c>
    </row>
    <row r="2124" spans="1:4" x14ac:dyDescent="0.25">
      <c r="A2124" t="s">
        <v>5561</v>
      </c>
      <c r="B2124">
        <v>6</v>
      </c>
      <c r="C2124">
        <v>1</v>
      </c>
      <c r="D2124">
        <v>5</v>
      </c>
    </row>
    <row r="2125" spans="1:4" x14ac:dyDescent="0.25">
      <c r="A2125" t="s">
        <v>1416</v>
      </c>
      <c r="B2125">
        <v>24</v>
      </c>
      <c r="C2125">
        <v>12</v>
      </c>
      <c r="D2125">
        <v>12</v>
      </c>
    </row>
    <row r="2126" spans="1:4" x14ac:dyDescent="0.25">
      <c r="A2126" t="s">
        <v>1296</v>
      </c>
      <c r="B2126">
        <v>138</v>
      </c>
      <c r="C2126">
        <v>52</v>
      </c>
      <c r="D2126">
        <v>86</v>
      </c>
    </row>
    <row r="2128" spans="1:4" x14ac:dyDescent="0.25">
      <c r="A2128" t="s">
        <v>6416</v>
      </c>
    </row>
    <row r="2129" spans="1:4" x14ac:dyDescent="0.25">
      <c r="A2129" t="s">
        <v>5521</v>
      </c>
      <c r="B2129" t="s">
        <v>4394</v>
      </c>
      <c r="C2129" t="s">
        <v>109</v>
      </c>
      <c r="D2129" t="s">
        <v>192</v>
      </c>
    </row>
    <row r="2130" spans="1:4" x14ac:dyDescent="0.25">
      <c r="A2130" t="s">
        <v>4438</v>
      </c>
      <c r="B2130">
        <v>53</v>
      </c>
      <c r="C2130" t="s">
        <v>5128</v>
      </c>
      <c r="D2130" t="s">
        <v>5258</v>
      </c>
    </row>
    <row r="2131" spans="1:4" x14ac:dyDescent="0.25">
      <c r="A2131" t="s">
        <v>4439</v>
      </c>
      <c r="B2131">
        <v>29</v>
      </c>
      <c r="C2131" t="s">
        <v>5113</v>
      </c>
      <c r="D2131" t="s">
        <v>5073</v>
      </c>
    </row>
    <row r="2132" spans="1:4" x14ac:dyDescent="0.25">
      <c r="A2132" t="s">
        <v>1400</v>
      </c>
      <c r="B2132">
        <v>4</v>
      </c>
      <c r="C2132" t="s">
        <v>4406</v>
      </c>
      <c r="D2132" t="s">
        <v>4454</v>
      </c>
    </row>
    <row r="2133" spans="1:4" x14ac:dyDescent="0.25">
      <c r="A2133" t="s">
        <v>1340</v>
      </c>
      <c r="B2133">
        <v>23</v>
      </c>
      <c r="C2133" t="s">
        <v>4712</v>
      </c>
      <c r="D2133" t="s">
        <v>5139</v>
      </c>
    </row>
    <row r="2134" spans="1:4" x14ac:dyDescent="0.25">
      <c r="A2134" t="s">
        <v>1426</v>
      </c>
      <c r="B2134">
        <v>1</v>
      </c>
      <c r="C2134" t="s">
        <v>4406</v>
      </c>
      <c r="D2134" t="s">
        <v>4454</v>
      </c>
    </row>
    <row r="2135" spans="1:4" x14ac:dyDescent="0.25">
      <c r="A2135" t="s">
        <v>1372</v>
      </c>
      <c r="B2135">
        <v>28</v>
      </c>
      <c r="C2135" t="s">
        <v>5251</v>
      </c>
      <c r="D2135" t="s">
        <v>5199</v>
      </c>
    </row>
    <row r="2136" spans="1:4" x14ac:dyDescent="0.25">
      <c r="A2136" t="s">
        <v>1296</v>
      </c>
      <c r="B2136">
        <v>138</v>
      </c>
      <c r="C2136" t="s">
        <v>5287</v>
      </c>
      <c r="D2136" t="s">
        <v>5534</v>
      </c>
    </row>
    <row r="2138" spans="1:4" x14ac:dyDescent="0.25">
      <c r="A2138" t="s">
        <v>6417</v>
      </c>
    </row>
    <row r="2139" spans="1:4" x14ac:dyDescent="0.25">
      <c r="A2139" t="s">
        <v>5518</v>
      </c>
      <c r="B2139" t="s">
        <v>4394</v>
      </c>
      <c r="C2139" t="s">
        <v>109</v>
      </c>
      <c r="D2139" t="s">
        <v>192</v>
      </c>
    </row>
    <row r="2140" spans="1:4" x14ac:dyDescent="0.25">
      <c r="A2140" t="s">
        <v>4438</v>
      </c>
      <c r="B2140">
        <v>60</v>
      </c>
      <c r="C2140" t="s">
        <v>4644</v>
      </c>
      <c r="D2140" t="s">
        <v>4821</v>
      </c>
    </row>
    <row r="2141" spans="1:4" x14ac:dyDescent="0.25">
      <c r="A2141" t="s">
        <v>4439</v>
      </c>
      <c r="B2141">
        <v>26</v>
      </c>
      <c r="C2141" t="s">
        <v>4711</v>
      </c>
      <c r="D2141" t="s">
        <v>4582</v>
      </c>
    </row>
    <row r="2142" spans="1:4" x14ac:dyDescent="0.25">
      <c r="A2142" t="s">
        <v>1400</v>
      </c>
      <c r="B2142">
        <v>6</v>
      </c>
      <c r="C2142" t="s">
        <v>4596</v>
      </c>
      <c r="D2142" t="s">
        <v>4783</v>
      </c>
    </row>
    <row r="2143" spans="1:4" x14ac:dyDescent="0.25">
      <c r="A2143" t="s">
        <v>1340</v>
      </c>
      <c r="B2143">
        <v>23</v>
      </c>
      <c r="C2143" t="s">
        <v>4712</v>
      </c>
      <c r="D2143" t="s">
        <v>5139</v>
      </c>
    </row>
    <row r="2144" spans="1:4" x14ac:dyDescent="0.25">
      <c r="A2144" t="s">
        <v>1372</v>
      </c>
      <c r="B2144">
        <v>23</v>
      </c>
      <c r="C2144" t="s">
        <v>4748</v>
      </c>
      <c r="D2144" t="s">
        <v>4913</v>
      </c>
    </row>
    <row r="2145" spans="1:4" x14ac:dyDescent="0.25">
      <c r="A2145" t="s">
        <v>1296</v>
      </c>
      <c r="B2145">
        <v>138</v>
      </c>
      <c r="C2145" t="s">
        <v>5287</v>
      </c>
      <c r="D2145" t="s">
        <v>5534</v>
      </c>
    </row>
    <row r="2147" spans="1:4" x14ac:dyDescent="0.25">
      <c r="A2147" t="s">
        <v>6418</v>
      </c>
    </row>
    <row r="2148" spans="1:4" x14ac:dyDescent="0.25">
      <c r="A2148" t="s">
        <v>1009</v>
      </c>
      <c r="B2148" t="s">
        <v>4394</v>
      </c>
      <c r="C2148" t="s">
        <v>109</v>
      </c>
      <c r="D2148" t="s">
        <v>192</v>
      </c>
    </row>
    <row r="2149" spans="1:4" x14ac:dyDescent="0.25">
      <c r="A2149" t="s">
        <v>4438</v>
      </c>
      <c r="B2149">
        <v>42</v>
      </c>
      <c r="C2149" t="s">
        <v>4449</v>
      </c>
      <c r="D2149" t="s">
        <v>4700</v>
      </c>
    </row>
    <row r="2150" spans="1:4" x14ac:dyDescent="0.25">
      <c r="A2150" t="s">
        <v>4439</v>
      </c>
      <c r="B2150">
        <v>19</v>
      </c>
      <c r="C2150" t="s">
        <v>4466</v>
      </c>
      <c r="D2150" t="s">
        <v>4528</v>
      </c>
    </row>
    <row r="2151" spans="1:4" x14ac:dyDescent="0.25">
      <c r="A2151" t="s">
        <v>1400</v>
      </c>
      <c r="B2151">
        <v>4</v>
      </c>
      <c r="C2151" t="s">
        <v>4462</v>
      </c>
      <c r="D2151" t="s">
        <v>4793</v>
      </c>
    </row>
    <row r="2152" spans="1:4" x14ac:dyDescent="0.25">
      <c r="A2152" t="s">
        <v>1340</v>
      </c>
      <c r="B2152">
        <v>21</v>
      </c>
      <c r="C2152" t="s">
        <v>4497</v>
      </c>
      <c r="D2152" t="s">
        <v>5285</v>
      </c>
    </row>
    <row r="2153" spans="1:4" x14ac:dyDescent="0.25">
      <c r="A2153" t="s">
        <v>1426</v>
      </c>
      <c r="B2153">
        <v>9</v>
      </c>
      <c r="C2153" t="s">
        <v>4406</v>
      </c>
      <c r="D2153" t="s">
        <v>4454</v>
      </c>
    </row>
    <row r="2154" spans="1:4" x14ac:dyDescent="0.25">
      <c r="A2154" t="s">
        <v>1372</v>
      </c>
      <c r="B2154">
        <v>43</v>
      </c>
      <c r="C2154" t="s">
        <v>4920</v>
      </c>
      <c r="D2154" t="s">
        <v>5395</v>
      </c>
    </row>
    <row r="2155" spans="1:4" x14ac:dyDescent="0.25">
      <c r="A2155" t="s">
        <v>1296</v>
      </c>
      <c r="B2155">
        <v>138</v>
      </c>
      <c r="C2155" t="s">
        <v>5287</v>
      </c>
      <c r="D2155" t="s">
        <v>5534</v>
      </c>
    </row>
    <row r="2157" spans="1:4" x14ac:dyDescent="0.25">
      <c r="A2157" t="s">
        <v>6419</v>
      </c>
    </row>
    <row r="2158" spans="1:4" x14ac:dyDescent="0.25">
      <c r="A2158" t="s">
        <v>1011</v>
      </c>
      <c r="B2158" t="s">
        <v>4394</v>
      </c>
      <c r="C2158" t="s">
        <v>109</v>
      </c>
      <c r="D2158" t="s">
        <v>192</v>
      </c>
    </row>
    <row r="2159" spans="1:4" x14ac:dyDescent="0.25">
      <c r="A2159" t="s">
        <v>4438</v>
      </c>
      <c r="B2159">
        <v>54</v>
      </c>
      <c r="C2159" t="s">
        <v>5181</v>
      </c>
      <c r="D2159" t="s">
        <v>5471</v>
      </c>
    </row>
    <row r="2160" spans="1:4" x14ac:dyDescent="0.25">
      <c r="A2160" t="s">
        <v>4439</v>
      </c>
      <c r="B2160">
        <v>23</v>
      </c>
      <c r="C2160" t="s">
        <v>4913</v>
      </c>
      <c r="D2160" t="s">
        <v>4748</v>
      </c>
    </row>
    <row r="2161" spans="1:13" x14ac:dyDescent="0.25">
      <c r="A2161" t="s">
        <v>1400</v>
      </c>
      <c r="B2161">
        <v>2</v>
      </c>
      <c r="C2161" t="s">
        <v>4468</v>
      </c>
      <c r="D2161" t="s">
        <v>4468</v>
      </c>
    </row>
    <row r="2162" spans="1:13" x14ac:dyDescent="0.25">
      <c r="A2162" t="s">
        <v>1340</v>
      </c>
      <c r="B2162">
        <v>21</v>
      </c>
      <c r="C2162" t="s">
        <v>4497</v>
      </c>
      <c r="D2162" t="s">
        <v>5285</v>
      </c>
    </row>
    <row r="2163" spans="1:13" x14ac:dyDescent="0.25">
      <c r="A2163" t="s">
        <v>1426</v>
      </c>
      <c r="B2163">
        <v>6</v>
      </c>
      <c r="C2163" t="s">
        <v>4406</v>
      </c>
      <c r="D2163" t="s">
        <v>4454</v>
      </c>
    </row>
    <row r="2164" spans="1:13" x14ac:dyDescent="0.25">
      <c r="A2164" t="s">
        <v>1372</v>
      </c>
      <c r="B2164">
        <v>32</v>
      </c>
      <c r="C2164" t="s">
        <v>4916</v>
      </c>
      <c r="D2164" t="s">
        <v>4521</v>
      </c>
    </row>
    <row r="2165" spans="1:13" x14ac:dyDescent="0.25">
      <c r="A2165" t="s">
        <v>1296</v>
      </c>
      <c r="B2165">
        <v>138</v>
      </c>
      <c r="C2165" t="s">
        <v>5287</v>
      </c>
      <c r="D2165" t="s">
        <v>5534</v>
      </c>
    </row>
    <row r="2167" spans="1:13" x14ac:dyDescent="0.25">
      <c r="A2167" t="s">
        <v>6420</v>
      </c>
    </row>
    <row r="2168" spans="1:13" x14ac:dyDescent="0.25">
      <c r="A2168" t="s">
        <v>903</v>
      </c>
      <c r="B2168" t="s">
        <v>4394</v>
      </c>
      <c r="C2168" t="s">
        <v>109</v>
      </c>
      <c r="D2168" t="s">
        <v>192</v>
      </c>
    </row>
    <row r="2169" spans="1:13" x14ac:dyDescent="0.25">
      <c r="A2169" t="s">
        <v>70</v>
      </c>
      <c r="B2169">
        <v>37</v>
      </c>
      <c r="C2169" t="s">
        <v>4941</v>
      </c>
      <c r="D2169" t="s">
        <v>5301</v>
      </c>
    </row>
    <row r="2170" spans="1:13" x14ac:dyDescent="0.25">
      <c r="A2170" t="s">
        <v>71</v>
      </c>
      <c r="B2170">
        <v>101</v>
      </c>
      <c r="C2170" t="s">
        <v>4669</v>
      </c>
      <c r="D2170" t="s">
        <v>5167</v>
      </c>
    </row>
    <row r="2171" spans="1:13" x14ac:dyDescent="0.25">
      <c r="A2171" t="s">
        <v>1296</v>
      </c>
      <c r="B2171">
        <v>138</v>
      </c>
      <c r="C2171" t="s">
        <v>5287</v>
      </c>
      <c r="D2171" t="s">
        <v>5534</v>
      </c>
    </row>
    <row r="2173" spans="1:13" x14ac:dyDescent="0.25">
      <c r="A2173" t="s">
        <v>6421</v>
      </c>
    </row>
    <row r="2174" spans="1:13" x14ac:dyDescent="0.25">
      <c r="A2174" t="s">
        <v>4394</v>
      </c>
      <c r="B2174" t="s">
        <v>5189</v>
      </c>
      <c r="C2174" t="s">
        <v>5190</v>
      </c>
      <c r="D2174" t="s">
        <v>5191</v>
      </c>
      <c r="E2174" t="s">
        <v>4732</v>
      </c>
      <c r="F2174" t="s">
        <v>5192</v>
      </c>
      <c r="G2174" t="s">
        <v>5193</v>
      </c>
      <c r="H2174" t="s">
        <v>5194</v>
      </c>
      <c r="I2174" t="s">
        <v>5195</v>
      </c>
      <c r="J2174" t="s">
        <v>4736</v>
      </c>
      <c r="K2174" t="s">
        <v>4737</v>
      </c>
      <c r="L2174" t="s">
        <v>5196</v>
      </c>
      <c r="M2174" t="s">
        <v>5197</v>
      </c>
    </row>
    <row r="2175" spans="1:13" x14ac:dyDescent="0.25">
      <c r="A2175">
        <v>53</v>
      </c>
      <c r="B2175" t="s">
        <v>4406</v>
      </c>
      <c r="C2175" t="s">
        <v>5128</v>
      </c>
      <c r="D2175" t="s">
        <v>4650</v>
      </c>
      <c r="E2175" t="s">
        <v>4406</v>
      </c>
      <c r="F2175" t="s">
        <v>4650</v>
      </c>
      <c r="G2175" t="s">
        <v>5087</v>
      </c>
      <c r="H2175" t="s">
        <v>5287</v>
      </c>
      <c r="I2175" t="s">
        <v>4654</v>
      </c>
      <c r="J2175" t="s">
        <v>4406</v>
      </c>
      <c r="K2175" t="s">
        <v>4406</v>
      </c>
      <c r="L2175" t="s">
        <v>4869</v>
      </c>
      <c r="M2175" t="s">
        <v>4654</v>
      </c>
    </row>
    <row r="2177" spans="1:14" x14ac:dyDescent="0.25">
      <c r="A2177" t="s">
        <v>6422</v>
      </c>
    </row>
    <row r="2178" spans="1:14" x14ac:dyDescent="0.25">
      <c r="A2178" t="s">
        <v>2842</v>
      </c>
      <c r="B2178" t="s">
        <v>4394</v>
      </c>
      <c r="C2178" t="s">
        <v>5189</v>
      </c>
      <c r="D2178" t="s">
        <v>5190</v>
      </c>
      <c r="E2178" t="s">
        <v>5191</v>
      </c>
      <c r="F2178" t="s">
        <v>4732</v>
      </c>
      <c r="G2178" t="s">
        <v>5192</v>
      </c>
      <c r="H2178" t="s">
        <v>5193</v>
      </c>
      <c r="I2178" t="s">
        <v>5194</v>
      </c>
      <c r="J2178" t="s">
        <v>5195</v>
      </c>
      <c r="K2178" t="s">
        <v>4736</v>
      </c>
      <c r="L2178" t="s">
        <v>4737</v>
      </c>
      <c r="M2178" t="s">
        <v>5196</v>
      </c>
      <c r="N2178" t="s">
        <v>5197</v>
      </c>
    </row>
    <row r="2179" spans="1:14" x14ac:dyDescent="0.25">
      <c r="A2179" t="s">
        <v>5549</v>
      </c>
      <c r="B2179">
        <v>25</v>
      </c>
      <c r="C2179">
        <v>0</v>
      </c>
      <c r="D2179">
        <v>8</v>
      </c>
      <c r="E2179">
        <v>3</v>
      </c>
      <c r="F2179">
        <v>0</v>
      </c>
      <c r="G2179">
        <v>4</v>
      </c>
      <c r="H2179">
        <v>16</v>
      </c>
      <c r="I2179">
        <v>9</v>
      </c>
      <c r="J2179">
        <v>2</v>
      </c>
      <c r="K2179">
        <v>0</v>
      </c>
      <c r="L2179">
        <v>0</v>
      </c>
      <c r="M2179">
        <v>6</v>
      </c>
      <c r="N2179">
        <v>3</v>
      </c>
    </row>
    <row r="2180" spans="1:14" x14ac:dyDescent="0.25">
      <c r="A2180" t="s">
        <v>1397</v>
      </c>
      <c r="B2180">
        <v>28</v>
      </c>
      <c r="C2180">
        <v>0</v>
      </c>
      <c r="D2180">
        <v>10</v>
      </c>
      <c r="E2180">
        <v>1</v>
      </c>
      <c r="F2180">
        <v>0</v>
      </c>
      <c r="G2180">
        <v>0</v>
      </c>
      <c r="H2180">
        <v>22</v>
      </c>
      <c r="I2180">
        <v>11</v>
      </c>
      <c r="J2180">
        <v>1</v>
      </c>
      <c r="K2180">
        <v>0</v>
      </c>
      <c r="L2180">
        <v>0</v>
      </c>
      <c r="M2180">
        <v>0</v>
      </c>
      <c r="N2180">
        <v>0</v>
      </c>
    </row>
    <row r="2181" spans="1:14" x14ac:dyDescent="0.25">
      <c r="A2181" t="s">
        <v>1296</v>
      </c>
      <c r="B2181">
        <v>53</v>
      </c>
      <c r="C2181">
        <v>0</v>
      </c>
      <c r="D2181">
        <v>18</v>
      </c>
      <c r="E2181">
        <v>4</v>
      </c>
      <c r="F2181">
        <v>0</v>
      </c>
      <c r="G2181">
        <v>4</v>
      </c>
      <c r="H2181">
        <v>38</v>
      </c>
      <c r="I2181">
        <v>20</v>
      </c>
      <c r="J2181">
        <v>3</v>
      </c>
      <c r="K2181">
        <v>0</v>
      </c>
      <c r="L2181">
        <v>0</v>
      </c>
      <c r="M2181">
        <v>6</v>
      </c>
      <c r="N2181">
        <v>3</v>
      </c>
    </row>
    <row r="2183" spans="1:14" x14ac:dyDescent="0.25">
      <c r="A2183" t="s">
        <v>6423</v>
      </c>
    </row>
    <row r="2184" spans="1:14" x14ac:dyDescent="0.25">
      <c r="A2184" t="s">
        <v>998</v>
      </c>
      <c r="B2184" t="s">
        <v>4394</v>
      </c>
      <c r="C2184" t="s">
        <v>5189</v>
      </c>
      <c r="D2184" t="s">
        <v>5190</v>
      </c>
      <c r="E2184" t="s">
        <v>5191</v>
      </c>
      <c r="F2184" t="s">
        <v>4732</v>
      </c>
      <c r="G2184" t="s">
        <v>5192</v>
      </c>
      <c r="H2184" t="s">
        <v>5193</v>
      </c>
      <c r="I2184" t="s">
        <v>5194</v>
      </c>
      <c r="J2184" t="s">
        <v>5195</v>
      </c>
      <c r="K2184" t="s">
        <v>4736</v>
      </c>
      <c r="L2184" t="s">
        <v>4737</v>
      </c>
      <c r="M2184" t="s">
        <v>5196</v>
      </c>
      <c r="N2184" t="s">
        <v>5197</v>
      </c>
    </row>
    <row r="2185" spans="1:14" x14ac:dyDescent="0.25">
      <c r="A2185" t="s">
        <v>109</v>
      </c>
      <c r="B2185">
        <v>45</v>
      </c>
      <c r="C2185" t="s">
        <v>4406</v>
      </c>
      <c r="D2185" t="s">
        <v>4465</v>
      </c>
      <c r="E2185" t="s">
        <v>4716</v>
      </c>
      <c r="F2185" t="s">
        <v>4406</v>
      </c>
      <c r="G2185" t="s">
        <v>4716</v>
      </c>
      <c r="H2185" t="s">
        <v>5433</v>
      </c>
      <c r="I2185" t="s">
        <v>4839</v>
      </c>
      <c r="J2185" t="s">
        <v>4416</v>
      </c>
      <c r="K2185" t="s">
        <v>4406</v>
      </c>
      <c r="L2185" t="s">
        <v>4406</v>
      </c>
      <c r="M2185" t="s">
        <v>4607</v>
      </c>
      <c r="N2185" t="s">
        <v>4416</v>
      </c>
    </row>
    <row r="2186" spans="1:14" x14ac:dyDescent="0.25">
      <c r="A2186" t="s">
        <v>192</v>
      </c>
      <c r="B2186">
        <v>8</v>
      </c>
      <c r="C2186" t="s">
        <v>4406</v>
      </c>
      <c r="D2186" t="s">
        <v>4481</v>
      </c>
      <c r="E2186" t="s">
        <v>4406</v>
      </c>
      <c r="F2186" t="s">
        <v>4406</v>
      </c>
      <c r="G2186" t="s">
        <v>4406</v>
      </c>
      <c r="H2186" t="s">
        <v>4793</v>
      </c>
      <c r="I2186" t="s">
        <v>4793</v>
      </c>
      <c r="J2186" t="s">
        <v>4406</v>
      </c>
      <c r="K2186" t="s">
        <v>4406</v>
      </c>
      <c r="L2186" t="s">
        <v>4406</v>
      </c>
      <c r="M2186" t="s">
        <v>4406</v>
      </c>
      <c r="N2186" t="s">
        <v>4406</v>
      </c>
    </row>
    <row r="2187" spans="1:14" x14ac:dyDescent="0.25">
      <c r="A2187" t="s">
        <v>1296</v>
      </c>
      <c r="B2187">
        <v>53</v>
      </c>
      <c r="C2187" t="s">
        <v>4406</v>
      </c>
      <c r="D2187" t="s">
        <v>5128</v>
      </c>
      <c r="E2187" t="s">
        <v>4650</v>
      </c>
      <c r="F2187" t="s">
        <v>4406</v>
      </c>
      <c r="G2187" t="s">
        <v>4650</v>
      </c>
      <c r="H2187" t="s">
        <v>5087</v>
      </c>
      <c r="I2187" t="s">
        <v>5287</v>
      </c>
      <c r="J2187" t="s">
        <v>4654</v>
      </c>
      <c r="K2187" t="s">
        <v>4406</v>
      </c>
      <c r="L2187" t="s">
        <v>4406</v>
      </c>
      <c r="M2187" t="s">
        <v>4869</v>
      </c>
      <c r="N2187" t="s">
        <v>4654</v>
      </c>
    </row>
    <row r="2189" spans="1:14" x14ac:dyDescent="0.25">
      <c r="A2189" t="s">
        <v>6424</v>
      </c>
    </row>
    <row r="2190" spans="1:14" x14ac:dyDescent="0.25">
      <c r="A2190" t="s">
        <v>903</v>
      </c>
      <c r="B2190" t="s">
        <v>4394</v>
      </c>
      <c r="C2190" t="s">
        <v>5189</v>
      </c>
      <c r="D2190" t="s">
        <v>5190</v>
      </c>
      <c r="E2190" t="s">
        <v>5191</v>
      </c>
      <c r="F2190" t="s">
        <v>4732</v>
      </c>
      <c r="G2190" t="s">
        <v>5192</v>
      </c>
      <c r="H2190" t="s">
        <v>5193</v>
      </c>
      <c r="I2190" t="s">
        <v>5194</v>
      </c>
      <c r="J2190" t="s">
        <v>5195</v>
      </c>
      <c r="K2190" t="s">
        <v>4736</v>
      </c>
      <c r="L2190" t="s">
        <v>4737</v>
      </c>
      <c r="M2190" t="s">
        <v>5196</v>
      </c>
      <c r="N2190" t="s">
        <v>5197</v>
      </c>
    </row>
    <row r="2191" spans="1:14" x14ac:dyDescent="0.25">
      <c r="A2191" t="s">
        <v>70</v>
      </c>
      <c r="B2191">
        <v>15</v>
      </c>
      <c r="C2191" t="s">
        <v>4406</v>
      </c>
      <c r="D2191" t="s">
        <v>5106</v>
      </c>
      <c r="E2191" t="s">
        <v>4607</v>
      </c>
      <c r="F2191" t="s">
        <v>4406</v>
      </c>
      <c r="G2191" t="s">
        <v>4416</v>
      </c>
      <c r="H2191" t="s">
        <v>4469</v>
      </c>
      <c r="I2191" t="s">
        <v>4458</v>
      </c>
      <c r="J2191" t="s">
        <v>4406</v>
      </c>
      <c r="K2191" t="s">
        <v>4406</v>
      </c>
      <c r="L2191" t="s">
        <v>4406</v>
      </c>
      <c r="M2191" t="s">
        <v>4607</v>
      </c>
      <c r="N2191" t="s">
        <v>4416</v>
      </c>
    </row>
    <row r="2192" spans="1:14" x14ac:dyDescent="0.25">
      <c r="A2192" t="s">
        <v>71</v>
      </c>
      <c r="B2192">
        <v>38</v>
      </c>
      <c r="C2192" t="s">
        <v>4406</v>
      </c>
      <c r="D2192" t="s">
        <v>4529</v>
      </c>
      <c r="E2192" t="s">
        <v>4640</v>
      </c>
      <c r="F2192" t="s">
        <v>4406</v>
      </c>
      <c r="G2192" t="s">
        <v>4714</v>
      </c>
      <c r="H2192" t="s">
        <v>4407</v>
      </c>
      <c r="I2192" t="s">
        <v>4491</v>
      </c>
      <c r="J2192" t="s">
        <v>4714</v>
      </c>
      <c r="K2192" t="s">
        <v>4406</v>
      </c>
      <c r="L2192" t="s">
        <v>4406</v>
      </c>
      <c r="M2192" t="s">
        <v>4600</v>
      </c>
      <c r="N2192" t="s">
        <v>4640</v>
      </c>
    </row>
    <row r="2193" spans="1:14" x14ac:dyDescent="0.25">
      <c r="A2193" t="s">
        <v>1296</v>
      </c>
      <c r="B2193">
        <v>53</v>
      </c>
      <c r="C2193" t="s">
        <v>4406</v>
      </c>
      <c r="D2193" t="s">
        <v>5128</v>
      </c>
      <c r="E2193" t="s">
        <v>4650</v>
      </c>
      <c r="F2193" t="s">
        <v>4406</v>
      </c>
      <c r="G2193" t="s">
        <v>4650</v>
      </c>
      <c r="H2193" t="s">
        <v>5087</v>
      </c>
      <c r="I2193" t="s">
        <v>5287</v>
      </c>
      <c r="J2193" t="s">
        <v>4654</v>
      </c>
      <c r="K2193" t="s">
        <v>4406</v>
      </c>
      <c r="L2193" t="s">
        <v>4406</v>
      </c>
      <c r="M2193" t="s">
        <v>4869</v>
      </c>
      <c r="N2193" t="s">
        <v>4654</v>
      </c>
    </row>
    <row r="2195" spans="1:14" x14ac:dyDescent="0.25">
      <c r="A2195" t="s">
        <v>6425</v>
      </c>
    </row>
    <row r="2196" spans="1:14" x14ac:dyDescent="0.25">
      <c r="A2196" t="s">
        <v>2842</v>
      </c>
      <c r="B2196" t="s">
        <v>4394</v>
      </c>
      <c r="C2196" t="s">
        <v>109</v>
      </c>
      <c r="D2196" t="s">
        <v>192</v>
      </c>
    </row>
    <row r="2197" spans="1:14" x14ac:dyDescent="0.25">
      <c r="A2197" t="s">
        <v>5549</v>
      </c>
      <c r="B2197">
        <v>83</v>
      </c>
      <c r="C2197" t="s">
        <v>5437</v>
      </c>
      <c r="D2197" t="s">
        <v>5438</v>
      </c>
    </row>
    <row r="2198" spans="1:14" x14ac:dyDescent="0.25">
      <c r="A2198" t="s">
        <v>1397</v>
      </c>
      <c r="B2198">
        <v>55</v>
      </c>
      <c r="C2198" t="s">
        <v>4935</v>
      </c>
      <c r="D2198" t="s">
        <v>5105</v>
      </c>
    </row>
    <row r="2199" spans="1:14" x14ac:dyDescent="0.25">
      <c r="A2199" t="s">
        <v>1296</v>
      </c>
      <c r="B2199">
        <v>138</v>
      </c>
      <c r="C2199" t="s">
        <v>5147</v>
      </c>
      <c r="D2199" t="s">
        <v>4743</v>
      </c>
    </row>
    <row r="2201" spans="1:14" x14ac:dyDescent="0.25">
      <c r="A2201" t="s">
        <v>6426</v>
      </c>
    </row>
    <row r="2202" spans="1:14" x14ac:dyDescent="0.25">
      <c r="A2202" t="s">
        <v>992</v>
      </c>
      <c r="B2202" t="s">
        <v>4394</v>
      </c>
      <c r="C2202" t="s">
        <v>109</v>
      </c>
      <c r="D2202" t="s">
        <v>192</v>
      </c>
    </row>
    <row r="2203" spans="1:14" x14ac:dyDescent="0.25">
      <c r="A2203" t="s">
        <v>4844</v>
      </c>
      <c r="B2203">
        <v>21</v>
      </c>
      <c r="C2203" t="s">
        <v>4778</v>
      </c>
      <c r="D2203" t="s">
        <v>4447</v>
      </c>
    </row>
    <row r="2204" spans="1:14" x14ac:dyDescent="0.25">
      <c r="A2204" t="s">
        <v>4845</v>
      </c>
      <c r="B2204">
        <v>108</v>
      </c>
      <c r="C2204" t="s">
        <v>5425</v>
      </c>
      <c r="D2204" t="s">
        <v>5176</v>
      </c>
    </row>
    <row r="2205" spans="1:14" x14ac:dyDescent="0.25">
      <c r="A2205" t="s">
        <v>4846</v>
      </c>
      <c r="B2205">
        <v>9</v>
      </c>
      <c r="C2205" t="s">
        <v>4570</v>
      </c>
      <c r="D2205" t="s">
        <v>4727</v>
      </c>
    </row>
    <row r="2206" spans="1:14" x14ac:dyDescent="0.25">
      <c r="A2206" t="s">
        <v>1296</v>
      </c>
      <c r="B2206">
        <v>138</v>
      </c>
      <c r="C2206" t="s">
        <v>5147</v>
      </c>
      <c r="D2206" t="s">
        <v>4743</v>
      </c>
    </row>
    <row r="2208" spans="1:14" x14ac:dyDescent="0.25">
      <c r="A2208" t="s">
        <v>6427</v>
      </c>
    </row>
    <row r="2209" spans="1:4" x14ac:dyDescent="0.25">
      <c r="A2209" t="s">
        <v>998</v>
      </c>
      <c r="B2209" t="s">
        <v>4394</v>
      </c>
      <c r="C2209" t="s">
        <v>109</v>
      </c>
      <c r="D2209" t="s">
        <v>192</v>
      </c>
    </row>
    <row r="2210" spans="1:4" x14ac:dyDescent="0.25">
      <c r="A2210" t="s">
        <v>109</v>
      </c>
      <c r="B2210">
        <v>125</v>
      </c>
      <c r="C2210" t="s">
        <v>5230</v>
      </c>
      <c r="D2210" t="s">
        <v>5124</v>
      </c>
    </row>
    <row r="2211" spans="1:4" x14ac:dyDescent="0.25">
      <c r="A2211" t="s">
        <v>192</v>
      </c>
      <c r="B2211">
        <v>13</v>
      </c>
      <c r="C2211" t="s">
        <v>4711</v>
      </c>
      <c r="D2211" t="s">
        <v>4582</v>
      </c>
    </row>
    <row r="2212" spans="1:4" x14ac:dyDescent="0.25">
      <c r="A2212" t="s">
        <v>1296</v>
      </c>
      <c r="B2212">
        <v>138</v>
      </c>
      <c r="C2212" t="s">
        <v>5147</v>
      </c>
      <c r="D2212" t="s">
        <v>4743</v>
      </c>
    </row>
    <row r="2214" spans="1:4" x14ac:dyDescent="0.25">
      <c r="A2214" t="s">
        <v>6428</v>
      </c>
    </row>
    <row r="2215" spans="1:4" x14ac:dyDescent="0.25">
      <c r="A2215" t="s">
        <v>1006</v>
      </c>
      <c r="B2215" t="s">
        <v>4394</v>
      </c>
      <c r="C2215" t="s">
        <v>109</v>
      </c>
      <c r="D2215" t="s">
        <v>192</v>
      </c>
    </row>
    <row r="2216" spans="1:4" x14ac:dyDescent="0.25">
      <c r="A2216" t="s">
        <v>1371</v>
      </c>
      <c r="B2216">
        <v>26</v>
      </c>
      <c r="C2216">
        <v>11</v>
      </c>
      <c r="D2216">
        <v>15</v>
      </c>
    </row>
    <row r="2217" spans="1:4" x14ac:dyDescent="0.25">
      <c r="A2217" t="s">
        <v>1452</v>
      </c>
      <c r="B2217">
        <v>17</v>
      </c>
      <c r="C2217">
        <v>14</v>
      </c>
      <c r="D2217">
        <v>3</v>
      </c>
    </row>
    <row r="2218" spans="1:4" x14ac:dyDescent="0.25">
      <c r="A2218" t="s">
        <v>5560</v>
      </c>
      <c r="B2218">
        <v>14</v>
      </c>
      <c r="C2218">
        <v>6</v>
      </c>
      <c r="D2218">
        <v>8</v>
      </c>
    </row>
    <row r="2219" spans="1:4" x14ac:dyDescent="0.25">
      <c r="A2219" t="s">
        <v>1424</v>
      </c>
      <c r="B2219">
        <v>30</v>
      </c>
      <c r="C2219">
        <v>22</v>
      </c>
      <c r="D2219">
        <v>8</v>
      </c>
    </row>
    <row r="2220" spans="1:4" x14ac:dyDescent="0.25">
      <c r="A2220" t="s">
        <v>1340</v>
      </c>
      <c r="B2220">
        <v>21</v>
      </c>
      <c r="C2220">
        <v>11</v>
      </c>
      <c r="D2220">
        <v>10</v>
      </c>
    </row>
    <row r="2221" spans="1:4" x14ac:dyDescent="0.25">
      <c r="A2221" t="s">
        <v>5561</v>
      </c>
      <c r="B2221">
        <v>6</v>
      </c>
      <c r="C2221">
        <v>1</v>
      </c>
      <c r="D2221">
        <v>5</v>
      </c>
    </row>
    <row r="2222" spans="1:4" x14ac:dyDescent="0.25">
      <c r="A2222" t="s">
        <v>1416</v>
      </c>
      <c r="B2222">
        <v>24</v>
      </c>
      <c r="C2222">
        <v>20</v>
      </c>
      <c r="D2222">
        <v>4</v>
      </c>
    </row>
    <row r="2223" spans="1:4" x14ac:dyDescent="0.25">
      <c r="A2223" t="s">
        <v>1296</v>
      </c>
      <c r="B2223">
        <v>138</v>
      </c>
      <c r="C2223">
        <v>85</v>
      </c>
      <c r="D2223">
        <v>53</v>
      </c>
    </row>
    <row r="2225" spans="1:4" x14ac:dyDescent="0.25">
      <c r="A2225" t="s">
        <v>6429</v>
      </c>
    </row>
    <row r="2226" spans="1:4" x14ac:dyDescent="0.25">
      <c r="A2226" t="s">
        <v>5521</v>
      </c>
      <c r="B2226" t="s">
        <v>4394</v>
      </c>
      <c r="C2226" t="s">
        <v>109</v>
      </c>
      <c r="D2226" t="s">
        <v>192</v>
      </c>
    </row>
    <row r="2227" spans="1:4" x14ac:dyDescent="0.25">
      <c r="A2227" t="s">
        <v>4438</v>
      </c>
      <c r="B2227">
        <v>53</v>
      </c>
      <c r="C2227" t="s">
        <v>5258</v>
      </c>
      <c r="D2227" t="s">
        <v>5128</v>
      </c>
    </row>
    <row r="2228" spans="1:4" x14ac:dyDescent="0.25">
      <c r="A2228" t="s">
        <v>4439</v>
      </c>
      <c r="B2228">
        <v>29</v>
      </c>
      <c r="C2228" t="s">
        <v>5254</v>
      </c>
      <c r="D2228" t="s">
        <v>5162</v>
      </c>
    </row>
    <row r="2229" spans="1:4" x14ac:dyDescent="0.25">
      <c r="A2229" t="s">
        <v>1400</v>
      </c>
      <c r="B2229">
        <v>4</v>
      </c>
      <c r="C2229" t="s">
        <v>4462</v>
      </c>
      <c r="D2229" t="s">
        <v>4793</v>
      </c>
    </row>
    <row r="2230" spans="1:4" x14ac:dyDescent="0.25">
      <c r="A2230" t="s">
        <v>1340</v>
      </c>
      <c r="B2230">
        <v>23</v>
      </c>
      <c r="C2230" t="s">
        <v>4913</v>
      </c>
      <c r="D2230" t="s">
        <v>4748</v>
      </c>
    </row>
    <row r="2231" spans="1:4" x14ac:dyDescent="0.25">
      <c r="A2231" t="s">
        <v>1426</v>
      </c>
      <c r="B2231">
        <v>1</v>
      </c>
      <c r="C2231" t="s">
        <v>4406</v>
      </c>
      <c r="D2231" t="s">
        <v>4454</v>
      </c>
    </row>
    <row r="2232" spans="1:4" x14ac:dyDescent="0.25">
      <c r="A2232" t="s">
        <v>1372</v>
      </c>
      <c r="B2232">
        <v>28</v>
      </c>
      <c r="C2232" t="s">
        <v>5100</v>
      </c>
      <c r="D2232" t="s">
        <v>4584</v>
      </c>
    </row>
    <row r="2233" spans="1:4" x14ac:dyDescent="0.25">
      <c r="A2233" t="s">
        <v>1296</v>
      </c>
      <c r="B2233">
        <v>138</v>
      </c>
      <c r="C2233" t="s">
        <v>5147</v>
      </c>
      <c r="D2233" t="s">
        <v>4743</v>
      </c>
    </row>
    <row r="2235" spans="1:4" x14ac:dyDescent="0.25">
      <c r="A2235" t="s">
        <v>6430</v>
      </c>
    </row>
    <row r="2236" spans="1:4" x14ac:dyDescent="0.25">
      <c r="A2236" t="s">
        <v>5518</v>
      </c>
      <c r="B2236" t="s">
        <v>4394</v>
      </c>
      <c r="C2236" t="s">
        <v>109</v>
      </c>
      <c r="D2236" t="s">
        <v>192</v>
      </c>
    </row>
    <row r="2237" spans="1:4" x14ac:dyDescent="0.25">
      <c r="A2237" t="s">
        <v>4438</v>
      </c>
      <c r="B2237">
        <v>60</v>
      </c>
      <c r="C2237" t="s">
        <v>5442</v>
      </c>
      <c r="D2237" t="s">
        <v>4545</v>
      </c>
    </row>
    <row r="2238" spans="1:4" x14ac:dyDescent="0.25">
      <c r="A2238" t="s">
        <v>4439</v>
      </c>
      <c r="B2238">
        <v>26</v>
      </c>
      <c r="C2238" t="s">
        <v>4582</v>
      </c>
      <c r="D2238" t="s">
        <v>4711</v>
      </c>
    </row>
    <row r="2239" spans="1:4" x14ac:dyDescent="0.25">
      <c r="A2239" t="s">
        <v>1400</v>
      </c>
      <c r="B2239">
        <v>6</v>
      </c>
      <c r="C2239" t="s">
        <v>4596</v>
      </c>
      <c r="D2239" t="s">
        <v>4783</v>
      </c>
    </row>
    <row r="2240" spans="1:4" x14ac:dyDescent="0.25">
      <c r="A2240" t="s">
        <v>1340</v>
      </c>
      <c r="B2240">
        <v>23</v>
      </c>
      <c r="C2240" t="s">
        <v>4913</v>
      </c>
      <c r="D2240" t="s">
        <v>4748</v>
      </c>
    </row>
    <row r="2241" spans="1:4" x14ac:dyDescent="0.25">
      <c r="A2241" t="s">
        <v>1372</v>
      </c>
      <c r="B2241">
        <v>23</v>
      </c>
      <c r="C2241" t="s">
        <v>4912</v>
      </c>
      <c r="D2241" t="s">
        <v>4664</v>
      </c>
    </row>
    <row r="2242" spans="1:4" x14ac:dyDescent="0.25">
      <c r="A2242" t="s">
        <v>1296</v>
      </c>
      <c r="B2242">
        <v>138</v>
      </c>
      <c r="C2242" t="s">
        <v>5147</v>
      </c>
      <c r="D2242" t="s">
        <v>4743</v>
      </c>
    </row>
    <row r="2244" spans="1:4" x14ac:dyDescent="0.25">
      <c r="A2244" t="s">
        <v>6431</v>
      </c>
    </row>
    <row r="2245" spans="1:4" x14ac:dyDescent="0.25">
      <c r="A2245" t="s">
        <v>1009</v>
      </c>
      <c r="B2245" t="s">
        <v>4394</v>
      </c>
      <c r="C2245" t="s">
        <v>109</v>
      </c>
      <c r="D2245" t="s">
        <v>192</v>
      </c>
    </row>
    <row r="2246" spans="1:4" x14ac:dyDescent="0.25">
      <c r="A2246" t="s">
        <v>4438</v>
      </c>
      <c r="B2246">
        <v>42</v>
      </c>
      <c r="C2246" t="s">
        <v>4814</v>
      </c>
      <c r="D2246" t="s">
        <v>4450</v>
      </c>
    </row>
    <row r="2247" spans="1:4" x14ac:dyDescent="0.25">
      <c r="A2247" t="s">
        <v>4439</v>
      </c>
      <c r="B2247">
        <v>19</v>
      </c>
      <c r="C2247" t="s">
        <v>4466</v>
      </c>
      <c r="D2247" t="s">
        <v>4528</v>
      </c>
    </row>
    <row r="2248" spans="1:4" x14ac:dyDescent="0.25">
      <c r="A2248" t="s">
        <v>1400</v>
      </c>
      <c r="B2248">
        <v>4</v>
      </c>
      <c r="C2248" t="s">
        <v>4454</v>
      </c>
      <c r="D2248" t="s">
        <v>4406</v>
      </c>
    </row>
    <row r="2249" spans="1:4" x14ac:dyDescent="0.25">
      <c r="A2249" t="s">
        <v>1340</v>
      </c>
      <c r="B2249">
        <v>21</v>
      </c>
      <c r="C2249" t="s">
        <v>4865</v>
      </c>
      <c r="D2249" t="s">
        <v>4585</v>
      </c>
    </row>
    <row r="2250" spans="1:4" x14ac:dyDescent="0.25">
      <c r="A2250" t="s">
        <v>1426</v>
      </c>
      <c r="B2250">
        <v>9</v>
      </c>
      <c r="C2250" t="s">
        <v>4676</v>
      </c>
      <c r="D2250" t="s">
        <v>5005</v>
      </c>
    </row>
    <row r="2251" spans="1:4" x14ac:dyDescent="0.25">
      <c r="A2251" t="s">
        <v>1372</v>
      </c>
      <c r="B2251">
        <v>43</v>
      </c>
      <c r="C2251" t="s">
        <v>5388</v>
      </c>
      <c r="D2251" t="s">
        <v>4485</v>
      </c>
    </row>
    <row r="2252" spans="1:4" x14ac:dyDescent="0.25">
      <c r="A2252" t="s">
        <v>1296</v>
      </c>
      <c r="B2252">
        <v>138</v>
      </c>
      <c r="C2252" t="s">
        <v>5147</v>
      </c>
      <c r="D2252" t="s">
        <v>4743</v>
      </c>
    </row>
    <row r="2254" spans="1:4" x14ac:dyDescent="0.25">
      <c r="A2254" t="s">
        <v>6432</v>
      </c>
    </row>
    <row r="2255" spans="1:4" x14ac:dyDescent="0.25">
      <c r="A2255" t="s">
        <v>1011</v>
      </c>
      <c r="B2255" t="s">
        <v>4394</v>
      </c>
      <c r="C2255" t="s">
        <v>109</v>
      </c>
      <c r="D2255" t="s">
        <v>192</v>
      </c>
    </row>
    <row r="2256" spans="1:4" x14ac:dyDescent="0.25">
      <c r="A2256" t="s">
        <v>4438</v>
      </c>
      <c r="B2256">
        <v>54</v>
      </c>
      <c r="C2256" t="s">
        <v>5471</v>
      </c>
      <c r="D2256" t="s">
        <v>5181</v>
      </c>
    </row>
    <row r="2257" spans="1:4" x14ac:dyDescent="0.25">
      <c r="A2257" t="s">
        <v>4439</v>
      </c>
      <c r="B2257">
        <v>23</v>
      </c>
      <c r="C2257" t="s">
        <v>5139</v>
      </c>
      <c r="D2257" t="s">
        <v>4712</v>
      </c>
    </row>
    <row r="2258" spans="1:4" x14ac:dyDescent="0.25">
      <c r="A2258" t="s">
        <v>1400</v>
      </c>
      <c r="B2258">
        <v>2</v>
      </c>
      <c r="C2258" t="s">
        <v>4454</v>
      </c>
      <c r="D2258" t="s">
        <v>4406</v>
      </c>
    </row>
    <row r="2259" spans="1:4" x14ac:dyDescent="0.25">
      <c r="A2259" t="s">
        <v>1340</v>
      </c>
      <c r="B2259">
        <v>21</v>
      </c>
      <c r="C2259" t="s">
        <v>4865</v>
      </c>
      <c r="D2259" t="s">
        <v>4585</v>
      </c>
    </row>
    <row r="2260" spans="1:4" x14ac:dyDescent="0.25">
      <c r="A2260" t="s">
        <v>1426</v>
      </c>
      <c r="B2260">
        <v>6</v>
      </c>
      <c r="C2260" t="s">
        <v>4406</v>
      </c>
      <c r="D2260" t="s">
        <v>4454</v>
      </c>
    </row>
    <row r="2261" spans="1:4" x14ac:dyDescent="0.25">
      <c r="A2261" t="s">
        <v>1372</v>
      </c>
      <c r="B2261">
        <v>32</v>
      </c>
      <c r="C2261" t="s">
        <v>5082</v>
      </c>
      <c r="D2261" t="s">
        <v>4477</v>
      </c>
    </row>
    <row r="2262" spans="1:4" x14ac:dyDescent="0.25">
      <c r="A2262" t="s">
        <v>1296</v>
      </c>
      <c r="B2262">
        <v>138</v>
      </c>
      <c r="C2262" t="s">
        <v>5147</v>
      </c>
      <c r="D2262" t="s">
        <v>4743</v>
      </c>
    </row>
    <row r="2264" spans="1:4" x14ac:dyDescent="0.25">
      <c r="A2264" t="s">
        <v>6433</v>
      </c>
    </row>
    <row r="2265" spans="1:4" x14ac:dyDescent="0.25">
      <c r="A2265" t="s">
        <v>903</v>
      </c>
      <c r="B2265" t="s">
        <v>4394</v>
      </c>
      <c r="C2265" t="s">
        <v>109</v>
      </c>
      <c r="D2265" t="s">
        <v>192</v>
      </c>
    </row>
    <row r="2266" spans="1:4" x14ac:dyDescent="0.25">
      <c r="A2266" t="s">
        <v>70</v>
      </c>
      <c r="B2266">
        <v>37</v>
      </c>
      <c r="C2266" t="s">
        <v>5301</v>
      </c>
      <c r="D2266" t="s">
        <v>4941</v>
      </c>
    </row>
    <row r="2267" spans="1:4" x14ac:dyDescent="0.25">
      <c r="A2267" t="s">
        <v>71</v>
      </c>
      <c r="B2267">
        <v>101</v>
      </c>
      <c r="C2267" t="s">
        <v>4811</v>
      </c>
      <c r="D2267" t="s">
        <v>4717</v>
      </c>
    </row>
    <row r="2268" spans="1:4" x14ac:dyDescent="0.25">
      <c r="A2268" t="s">
        <v>1296</v>
      </c>
      <c r="B2268">
        <v>138</v>
      </c>
      <c r="C2268" t="s">
        <v>5147</v>
      </c>
      <c r="D2268" t="s">
        <v>4743</v>
      </c>
    </row>
    <row r="2270" spans="1:4" x14ac:dyDescent="0.25">
      <c r="A2270" t="s">
        <v>6434</v>
      </c>
    </row>
    <row r="2271" spans="1:4" x14ac:dyDescent="0.25">
      <c r="A2271" t="s">
        <v>2842</v>
      </c>
      <c r="B2271" t="s">
        <v>4394</v>
      </c>
      <c r="C2271" t="s">
        <v>109</v>
      </c>
      <c r="D2271" t="s">
        <v>192</v>
      </c>
    </row>
    <row r="2272" spans="1:4" x14ac:dyDescent="0.25">
      <c r="A2272" t="s">
        <v>5549</v>
      </c>
      <c r="B2272">
        <v>72</v>
      </c>
      <c r="C2272" t="s">
        <v>4468</v>
      </c>
      <c r="D2272" t="s">
        <v>4468</v>
      </c>
    </row>
    <row r="2273" spans="1:4" x14ac:dyDescent="0.25">
      <c r="A2273" t="s">
        <v>1397</v>
      </c>
      <c r="B2273">
        <v>47</v>
      </c>
      <c r="C2273" t="s">
        <v>5468</v>
      </c>
      <c r="D2273" t="s">
        <v>5469</v>
      </c>
    </row>
    <row r="2274" spans="1:4" x14ac:dyDescent="0.25">
      <c r="A2274" t="s">
        <v>1296</v>
      </c>
      <c r="B2274">
        <v>119</v>
      </c>
      <c r="C2274" t="s">
        <v>5494</v>
      </c>
      <c r="D2274" t="s">
        <v>5535</v>
      </c>
    </row>
    <row r="2276" spans="1:4" x14ac:dyDescent="0.25">
      <c r="A2276" t="s">
        <v>6435</v>
      </c>
    </row>
    <row r="2277" spans="1:4" x14ac:dyDescent="0.25">
      <c r="A2277" t="s">
        <v>992</v>
      </c>
      <c r="B2277" t="s">
        <v>4394</v>
      </c>
      <c r="C2277" t="s">
        <v>109</v>
      </c>
      <c r="D2277" t="s">
        <v>192</v>
      </c>
    </row>
    <row r="2278" spans="1:4" x14ac:dyDescent="0.25">
      <c r="A2278" t="s">
        <v>4844</v>
      </c>
      <c r="B2278">
        <v>18</v>
      </c>
      <c r="C2278" t="s">
        <v>4469</v>
      </c>
      <c r="D2278" t="s">
        <v>4465</v>
      </c>
    </row>
    <row r="2279" spans="1:4" x14ac:dyDescent="0.25">
      <c r="A2279" t="s">
        <v>4845</v>
      </c>
      <c r="B2279">
        <v>93</v>
      </c>
      <c r="C2279" t="s">
        <v>5111</v>
      </c>
      <c r="D2279" t="s">
        <v>5000</v>
      </c>
    </row>
    <row r="2280" spans="1:4" x14ac:dyDescent="0.25">
      <c r="A2280" t="s">
        <v>4846</v>
      </c>
      <c r="B2280">
        <v>8</v>
      </c>
      <c r="C2280" t="s">
        <v>4481</v>
      </c>
      <c r="D2280" t="s">
        <v>4602</v>
      </c>
    </row>
    <row r="2281" spans="1:4" x14ac:dyDescent="0.25">
      <c r="A2281" t="s">
        <v>1296</v>
      </c>
      <c r="B2281">
        <v>119</v>
      </c>
      <c r="C2281" t="s">
        <v>5494</v>
      </c>
      <c r="D2281" t="s">
        <v>5535</v>
      </c>
    </row>
    <row r="2283" spans="1:4" x14ac:dyDescent="0.25">
      <c r="A2283" t="s">
        <v>6436</v>
      </c>
    </row>
    <row r="2284" spans="1:4" x14ac:dyDescent="0.25">
      <c r="A2284" t="s">
        <v>995</v>
      </c>
      <c r="B2284" t="s">
        <v>4394</v>
      </c>
      <c r="C2284" t="s">
        <v>109</v>
      </c>
      <c r="D2284" t="s">
        <v>192</v>
      </c>
    </row>
    <row r="2285" spans="1:4" x14ac:dyDescent="0.25">
      <c r="A2285" t="s">
        <v>1338</v>
      </c>
      <c r="B2285">
        <v>36</v>
      </c>
      <c r="C2285">
        <v>21</v>
      </c>
      <c r="D2285">
        <v>15</v>
      </c>
    </row>
    <row r="2286" spans="1:4" x14ac:dyDescent="0.25">
      <c r="A2286" t="s">
        <v>1370</v>
      </c>
      <c r="B2286">
        <v>9</v>
      </c>
      <c r="C2286">
        <v>2</v>
      </c>
      <c r="D2286">
        <v>7</v>
      </c>
    </row>
    <row r="2287" spans="1:4" x14ac:dyDescent="0.25">
      <c r="A2287" t="s">
        <v>1439</v>
      </c>
      <c r="B2287">
        <v>6</v>
      </c>
      <c r="C2287">
        <v>2</v>
      </c>
      <c r="D2287">
        <v>4</v>
      </c>
    </row>
    <row r="2288" spans="1:4" x14ac:dyDescent="0.25">
      <c r="A2288" t="s">
        <v>1476</v>
      </c>
      <c r="B2288">
        <v>3</v>
      </c>
      <c r="C2288">
        <v>2</v>
      </c>
      <c r="D2288">
        <v>1</v>
      </c>
    </row>
    <row r="2289" spans="1:4" x14ac:dyDescent="0.25">
      <c r="A2289" t="s">
        <v>5476</v>
      </c>
      <c r="B2289">
        <v>2</v>
      </c>
      <c r="C2289">
        <v>1</v>
      </c>
      <c r="D2289">
        <v>1</v>
      </c>
    </row>
    <row r="2290" spans="1:4" x14ac:dyDescent="0.25">
      <c r="A2290" t="s">
        <v>1399</v>
      </c>
      <c r="B2290">
        <v>19</v>
      </c>
      <c r="C2290">
        <v>6</v>
      </c>
      <c r="D2290">
        <v>13</v>
      </c>
    </row>
    <row r="2291" spans="1:4" x14ac:dyDescent="0.25">
      <c r="A2291" t="s">
        <v>1415</v>
      </c>
      <c r="B2291">
        <v>44</v>
      </c>
      <c r="C2291">
        <v>20</v>
      </c>
      <c r="D2291">
        <v>24</v>
      </c>
    </row>
    <row r="2292" spans="1:4" x14ac:dyDescent="0.25">
      <c r="A2292" t="s">
        <v>1296</v>
      </c>
      <c r="B2292">
        <v>119</v>
      </c>
      <c r="C2292">
        <v>54</v>
      </c>
      <c r="D2292">
        <v>65</v>
      </c>
    </row>
    <row r="2294" spans="1:4" x14ac:dyDescent="0.25">
      <c r="A2294" t="s">
        <v>6437</v>
      </c>
    </row>
    <row r="2295" spans="1:4" x14ac:dyDescent="0.25">
      <c r="A2295" t="s">
        <v>998</v>
      </c>
      <c r="B2295" t="s">
        <v>4394</v>
      </c>
      <c r="C2295" t="s">
        <v>109</v>
      </c>
      <c r="D2295" t="s">
        <v>192</v>
      </c>
    </row>
    <row r="2296" spans="1:4" x14ac:dyDescent="0.25">
      <c r="A2296" t="s">
        <v>109</v>
      </c>
      <c r="B2296">
        <v>107</v>
      </c>
      <c r="C2296" t="s">
        <v>4496</v>
      </c>
      <c r="D2296" t="s">
        <v>5225</v>
      </c>
    </row>
    <row r="2297" spans="1:4" x14ac:dyDescent="0.25">
      <c r="A2297" t="s">
        <v>192</v>
      </c>
      <c r="B2297">
        <v>12</v>
      </c>
      <c r="C2297" t="s">
        <v>4596</v>
      </c>
      <c r="D2297" t="s">
        <v>4783</v>
      </c>
    </row>
    <row r="2298" spans="1:4" x14ac:dyDescent="0.25">
      <c r="A2298" t="s">
        <v>1296</v>
      </c>
      <c r="B2298">
        <v>119</v>
      </c>
      <c r="C2298" t="s">
        <v>5494</v>
      </c>
      <c r="D2298" t="s">
        <v>5535</v>
      </c>
    </row>
    <row r="2300" spans="1:4" x14ac:dyDescent="0.25">
      <c r="A2300" t="s">
        <v>6438</v>
      </c>
    </row>
    <row r="2301" spans="1:4" x14ac:dyDescent="0.25">
      <c r="A2301" t="s">
        <v>1006</v>
      </c>
      <c r="B2301" t="s">
        <v>4394</v>
      </c>
      <c r="C2301" t="s">
        <v>109</v>
      </c>
      <c r="D2301" t="s">
        <v>192</v>
      </c>
    </row>
    <row r="2302" spans="1:4" x14ac:dyDescent="0.25">
      <c r="A2302" t="s">
        <v>1371</v>
      </c>
      <c r="B2302">
        <v>24</v>
      </c>
      <c r="C2302">
        <v>9</v>
      </c>
      <c r="D2302">
        <v>15</v>
      </c>
    </row>
    <row r="2303" spans="1:4" x14ac:dyDescent="0.25">
      <c r="A2303" t="s">
        <v>1452</v>
      </c>
      <c r="B2303">
        <v>13</v>
      </c>
      <c r="C2303">
        <v>8</v>
      </c>
      <c r="D2303">
        <v>5</v>
      </c>
    </row>
    <row r="2304" spans="1:4" x14ac:dyDescent="0.25">
      <c r="A2304" t="s">
        <v>5560</v>
      </c>
      <c r="B2304">
        <v>11</v>
      </c>
      <c r="C2304">
        <v>3</v>
      </c>
      <c r="D2304">
        <v>8</v>
      </c>
    </row>
    <row r="2305" spans="1:4" x14ac:dyDescent="0.25">
      <c r="A2305" t="s">
        <v>1424</v>
      </c>
      <c r="B2305">
        <v>25</v>
      </c>
      <c r="C2305">
        <v>14</v>
      </c>
      <c r="D2305">
        <v>11</v>
      </c>
    </row>
    <row r="2306" spans="1:4" x14ac:dyDescent="0.25">
      <c r="A2306" t="s">
        <v>1340</v>
      </c>
      <c r="B2306">
        <v>19</v>
      </c>
      <c r="C2306">
        <v>6</v>
      </c>
      <c r="D2306">
        <v>13</v>
      </c>
    </row>
    <row r="2307" spans="1:4" x14ac:dyDescent="0.25">
      <c r="A2307" t="s">
        <v>5561</v>
      </c>
      <c r="B2307">
        <v>6</v>
      </c>
      <c r="C2307">
        <v>2</v>
      </c>
      <c r="D2307">
        <v>4</v>
      </c>
    </row>
    <row r="2308" spans="1:4" x14ac:dyDescent="0.25">
      <c r="A2308" t="s">
        <v>1416</v>
      </c>
      <c r="B2308">
        <v>21</v>
      </c>
      <c r="C2308">
        <v>12</v>
      </c>
      <c r="D2308">
        <v>9</v>
      </c>
    </row>
    <row r="2309" spans="1:4" x14ac:dyDescent="0.25">
      <c r="A2309" t="s">
        <v>1296</v>
      </c>
      <c r="B2309">
        <v>119</v>
      </c>
      <c r="C2309">
        <v>54</v>
      </c>
      <c r="D2309">
        <v>65</v>
      </c>
    </row>
    <row r="2311" spans="1:4" x14ac:dyDescent="0.25">
      <c r="A2311" t="s">
        <v>6439</v>
      </c>
    </row>
    <row r="2312" spans="1:4" x14ac:dyDescent="0.25">
      <c r="A2312" t="s">
        <v>5521</v>
      </c>
      <c r="B2312" t="s">
        <v>4394</v>
      </c>
      <c r="C2312" t="s">
        <v>109</v>
      </c>
      <c r="D2312" t="s">
        <v>192</v>
      </c>
    </row>
    <row r="2313" spans="1:4" x14ac:dyDescent="0.25">
      <c r="A2313" t="s">
        <v>4438</v>
      </c>
      <c r="B2313">
        <v>41</v>
      </c>
      <c r="C2313" t="s">
        <v>5210</v>
      </c>
      <c r="D2313" t="s">
        <v>4502</v>
      </c>
    </row>
    <row r="2314" spans="1:4" x14ac:dyDescent="0.25">
      <c r="A2314" t="s">
        <v>4439</v>
      </c>
      <c r="B2314">
        <v>26</v>
      </c>
      <c r="C2314" t="s">
        <v>4567</v>
      </c>
      <c r="D2314" t="s">
        <v>5419</v>
      </c>
    </row>
    <row r="2315" spans="1:4" x14ac:dyDescent="0.25">
      <c r="A2315" t="s">
        <v>1400</v>
      </c>
      <c r="B2315">
        <v>4</v>
      </c>
      <c r="C2315" t="s">
        <v>4406</v>
      </c>
      <c r="D2315" t="s">
        <v>4454</v>
      </c>
    </row>
    <row r="2316" spans="1:4" x14ac:dyDescent="0.25">
      <c r="A2316" t="s">
        <v>1340</v>
      </c>
      <c r="B2316">
        <v>21</v>
      </c>
      <c r="C2316" t="s">
        <v>4465</v>
      </c>
      <c r="D2316" t="s">
        <v>4469</v>
      </c>
    </row>
    <row r="2317" spans="1:4" x14ac:dyDescent="0.25">
      <c r="A2317" t="s">
        <v>1426</v>
      </c>
      <c r="B2317">
        <v>1</v>
      </c>
      <c r="C2317" t="s">
        <v>4406</v>
      </c>
      <c r="D2317" t="s">
        <v>4454</v>
      </c>
    </row>
    <row r="2318" spans="1:4" x14ac:dyDescent="0.25">
      <c r="A2318" t="s">
        <v>1372</v>
      </c>
      <c r="B2318">
        <v>26</v>
      </c>
      <c r="C2318" t="s">
        <v>5419</v>
      </c>
      <c r="D2318" t="s">
        <v>4567</v>
      </c>
    </row>
    <row r="2319" spans="1:4" x14ac:dyDescent="0.25">
      <c r="A2319" t="s">
        <v>1296</v>
      </c>
      <c r="B2319">
        <v>119</v>
      </c>
      <c r="C2319" t="s">
        <v>5494</v>
      </c>
      <c r="D2319" t="s">
        <v>5535</v>
      </c>
    </row>
    <row r="2321" spans="1:4" x14ac:dyDescent="0.25">
      <c r="A2321" t="s">
        <v>6440</v>
      </c>
    </row>
    <row r="2322" spans="1:4" x14ac:dyDescent="0.25">
      <c r="A2322" t="s">
        <v>5518</v>
      </c>
      <c r="B2322" t="s">
        <v>4394</v>
      </c>
      <c r="C2322" t="s">
        <v>109</v>
      </c>
      <c r="D2322" t="s">
        <v>192</v>
      </c>
    </row>
    <row r="2323" spans="1:4" x14ac:dyDescent="0.25">
      <c r="A2323" t="s">
        <v>4438</v>
      </c>
      <c r="B2323">
        <v>48</v>
      </c>
      <c r="C2323" t="s">
        <v>5205</v>
      </c>
      <c r="D2323" t="s">
        <v>4517</v>
      </c>
    </row>
    <row r="2324" spans="1:4" x14ac:dyDescent="0.25">
      <c r="A2324" t="s">
        <v>4439</v>
      </c>
      <c r="B2324">
        <v>25</v>
      </c>
      <c r="C2324" t="s">
        <v>4458</v>
      </c>
      <c r="D2324" t="s">
        <v>4457</v>
      </c>
    </row>
    <row r="2325" spans="1:4" x14ac:dyDescent="0.25">
      <c r="A2325" t="s">
        <v>1400</v>
      </c>
      <c r="B2325">
        <v>4</v>
      </c>
      <c r="C2325" t="s">
        <v>4406</v>
      </c>
      <c r="D2325" t="s">
        <v>4454</v>
      </c>
    </row>
    <row r="2326" spans="1:4" x14ac:dyDescent="0.25">
      <c r="A2326" t="s">
        <v>1340</v>
      </c>
      <c r="B2326">
        <v>21</v>
      </c>
      <c r="C2326" t="s">
        <v>4465</v>
      </c>
      <c r="D2326" t="s">
        <v>4469</v>
      </c>
    </row>
    <row r="2327" spans="1:4" x14ac:dyDescent="0.25">
      <c r="A2327" t="s">
        <v>1372</v>
      </c>
      <c r="B2327">
        <v>21</v>
      </c>
      <c r="C2327" t="s">
        <v>4865</v>
      </c>
      <c r="D2327" t="s">
        <v>4585</v>
      </c>
    </row>
    <row r="2328" spans="1:4" x14ac:dyDescent="0.25">
      <c r="A2328" t="s">
        <v>1296</v>
      </c>
      <c r="B2328">
        <v>119</v>
      </c>
      <c r="C2328" t="s">
        <v>5494</v>
      </c>
      <c r="D2328" t="s">
        <v>5535</v>
      </c>
    </row>
    <row r="2330" spans="1:4" x14ac:dyDescent="0.25">
      <c r="A2330" t="s">
        <v>6441</v>
      </c>
    </row>
    <row r="2331" spans="1:4" x14ac:dyDescent="0.25">
      <c r="A2331" t="s">
        <v>1009</v>
      </c>
      <c r="B2331" t="s">
        <v>4394</v>
      </c>
      <c r="C2331" t="s">
        <v>109</v>
      </c>
      <c r="D2331" t="s">
        <v>192</v>
      </c>
    </row>
    <row r="2332" spans="1:4" x14ac:dyDescent="0.25">
      <c r="A2332" t="s">
        <v>4438</v>
      </c>
      <c r="B2332">
        <v>35</v>
      </c>
      <c r="C2332" t="s">
        <v>4496</v>
      </c>
      <c r="D2332" t="s">
        <v>5225</v>
      </c>
    </row>
    <row r="2333" spans="1:4" x14ac:dyDescent="0.25">
      <c r="A2333" t="s">
        <v>4439</v>
      </c>
      <c r="B2333">
        <v>17</v>
      </c>
      <c r="C2333" t="s">
        <v>4655</v>
      </c>
      <c r="D2333" t="s">
        <v>5164</v>
      </c>
    </row>
    <row r="2334" spans="1:4" x14ac:dyDescent="0.25">
      <c r="A2334" t="s">
        <v>1400</v>
      </c>
      <c r="B2334">
        <v>4</v>
      </c>
      <c r="C2334" t="s">
        <v>4406</v>
      </c>
      <c r="D2334" t="s">
        <v>4454</v>
      </c>
    </row>
    <row r="2335" spans="1:4" x14ac:dyDescent="0.25">
      <c r="A2335" t="s">
        <v>1340</v>
      </c>
      <c r="B2335">
        <v>19</v>
      </c>
      <c r="C2335" t="s">
        <v>4490</v>
      </c>
      <c r="D2335" t="s">
        <v>5122</v>
      </c>
    </row>
    <row r="2336" spans="1:4" x14ac:dyDescent="0.25">
      <c r="A2336" t="s">
        <v>1426</v>
      </c>
      <c r="B2336">
        <v>8</v>
      </c>
      <c r="C2336" t="s">
        <v>4406</v>
      </c>
      <c r="D2336" t="s">
        <v>4454</v>
      </c>
    </row>
    <row r="2337" spans="1:4" x14ac:dyDescent="0.25">
      <c r="A2337" t="s">
        <v>1372</v>
      </c>
      <c r="B2337">
        <v>36</v>
      </c>
      <c r="C2337" t="s">
        <v>5425</v>
      </c>
      <c r="D2337" t="s">
        <v>5176</v>
      </c>
    </row>
    <row r="2338" spans="1:4" x14ac:dyDescent="0.25">
      <c r="A2338" t="s">
        <v>1296</v>
      </c>
      <c r="B2338">
        <v>119</v>
      </c>
      <c r="C2338" t="s">
        <v>5494</v>
      </c>
      <c r="D2338" t="s">
        <v>5535</v>
      </c>
    </row>
    <row r="2340" spans="1:4" x14ac:dyDescent="0.25">
      <c r="A2340" t="s">
        <v>6442</v>
      </c>
    </row>
    <row r="2341" spans="1:4" x14ac:dyDescent="0.25">
      <c r="A2341" t="s">
        <v>1011</v>
      </c>
      <c r="B2341" t="s">
        <v>4394</v>
      </c>
      <c r="C2341" t="s">
        <v>109</v>
      </c>
      <c r="D2341" t="s">
        <v>192</v>
      </c>
    </row>
    <row r="2342" spans="1:4" x14ac:dyDescent="0.25">
      <c r="A2342" t="s">
        <v>4438</v>
      </c>
      <c r="B2342">
        <v>47</v>
      </c>
      <c r="C2342" t="s">
        <v>5366</v>
      </c>
      <c r="D2342" t="s">
        <v>5512</v>
      </c>
    </row>
    <row r="2343" spans="1:4" x14ac:dyDescent="0.25">
      <c r="A2343" t="s">
        <v>4439</v>
      </c>
      <c r="B2343">
        <v>19</v>
      </c>
      <c r="C2343" t="s">
        <v>4528</v>
      </c>
      <c r="D2343" t="s">
        <v>4466</v>
      </c>
    </row>
    <row r="2344" spans="1:4" x14ac:dyDescent="0.25">
      <c r="A2344" t="s">
        <v>1400</v>
      </c>
      <c r="B2344">
        <v>2</v>
      </c>
      <c r="C2344" t="s">
        <v>4406</v>
      </c>
      <c r="D2344" t="s">
        <v>4454</v>
      </c>
    </row>
    <row r="2345" spans="1:4" x14ac:dyDescent="0.25">
      <c r="A2345" t="s">
        <v>1340</v>
      </c>
      <c r="B2345">
        <v>19</v>
      </c>
      <c r="C2345" t="s">
        <v>4490</v>
      </c>
      <c r="D2345" t="s">
        <v>5122</v>
      </c>
    </row>
    <row r="2346" spans="1:4" x14ac:dyDescent="0.25">
      <c r="A2346" t="s">
        <v>1426</v>
      </c>
      <c r="B2346">
        <v>5</v>
      </c>
      <c r="C2346" t="s">
        <v>4406</v>
      </c>
      <c r="D2346" t="s">
        <v>4454</v>
      </c>
    </row>
    <row r="2347" spans="1:4" x14ac:dyDescent="0.25">
      <c r="A2347" t="s">
        <v>1372</v>
      </c>
      <c r="B2347">
        <v>27</v>
      </c>
      <c r="C2347" t="s">
        <v>5394</v>
      </c>
      <c r="D2347" t="s">
        <v>5102</v>
      </c>
    </row>
    <row r="2348" spans="1:4" x14ac:dyDescent="0.25">
      <c r="A2348" t="s">
        <v>1296</v>
      </c>
      <c r="B2348">
        <v>119</v>
      </c>
      <c r="C2348" t="s">
        <v>5494</v>
      </c>
      <c r="D2348" t="s">
        <v>5535</v>
      </c>
    </row>
    <row r="2350" spans="1:4" x14ac:dyDescent="0.25">
      <c r="A2350" t="s">
        <v>6443</v>
      </c>
    </row>
    <row r="2351" spans="1:4" x14ac:dyDescent="0.25">
      <c r="A2351" t="s">
        <v>903</v>
      </c>
      <c r="B2351" t="s">
        <v>4394</v>
      </c>
      <c r="C2351" t="s">
        <v>109</v>
      </c>
      <c r="D2351" t="s">
        <v>192</v>
      </c>
    </row>
    <row r="2352" spans="1:4" x14ac:dyDescent="0.25">
      <c r="A2352" t="s">
        <v>70</v>
      </c>
      <c r="B2352">
        <v>35</v>
      </c>
      <c r="C2352" t="s">
        <v>4496</v>
      </c>
      <c r="D2352" t="s">
        <v>5225</v>
      </c>
    </row>
    <row r="2353" spans="1:4" x14ac:dyDescent="0.25">
      <c r="A2353" t="s">
        <v>71</v>
      </c>
      <c r="B2353">
        <v>84</v>
      </c>
      <c r="C2353" t="s">
        <v>5282</v>
      </c>
      <c r="D2353" t="s">
        <v>4919</v>
      </c>
    </row>
    <row r="2354" spans="1:4" x14ac:dyDescent="0.25">
      <c r="A2354" t="s">
        <v>1296</v>
      </c>
      <c r="B2354">
        <v>119</v>
      </c>
      <c r="C2354" t="s">
        <v>5494</v>
      </c>
      <c r="D2354" t="s">
        <v>5535</v>
      </c>
    </row>
    <row r="2356" spans="1:4" x14ac:dyDescent="0.25">
      <c r="A2356" t="s">
        <v>6444</v>
      </c>
    </row>
    <row r="2357" spans="1:4" x14ac:dyDescent="0.25">
      <c r="A2357" t="s">
        <v>2842</v>
      </c>
      <c r="B2357" t="s">
        <v>4394</v>
      </c>
      <c r="C2357" t="s">
        <v>109</v>
      </c>
      <c r="D2357" t="s">
        <v>192</v>
      </c>
    </row>
    <row r="2358" spans="1:4" x14ac:dyDescent="0.25">
      <c r="A2358" t="s">
        <v>5549</v>
      </c>
      <c r="B2358">
        <v>12</v>
      </c>
      <c r="C2358">
        <v>7</v>
      </c>
      <c r="D2358">
        <v>5</v>
      </c>
    </row>
    <row r="2359" spans="1:4" x14ac:dyDescent="0.25">
      <c r="A2359" t="s">
        <v>1397</v>
      </c>
      <c r="B2359">
        <v>10</v>
      </c>
      <c r="C2359">
        <v>4</v>
      </c>
      <c r="D2359">
        <v>6</v>
      </c>
    </row>
    <row r="2360" spans="1:4" x14ac:dyDescent="0.25">
      <c r="A2360" t="s">
        <v>1296</v>
      </c>
      <c r="B2360">
        <v>22</v>
      </c>
      <c r="C2360">
        <v>11</v>
      </c>
      <c r="D2360">
        <v>11</v>
      </c>
    </row>
    <row r="2362" spans="1:4" x14ac:dyDescent="0.25">
      <c r="A2362" t="s">
        <v>6445</v>
      </c>
    </row>
    <row r="2363" spans="1:4" x14ac:dyDescent="0.25">
      <c r="A2363" t="s">
        <v>998</v>
      </c>
      <c r="B2363" t="s">
        <v>4394</v>
      </c>
      <c r="C2363" t="s">
        <v>109</v>
      </c>
      <c r="D2363" t="s">
        <v>192</v>
      </c>
    </row>
    <row r="2364" spans="1:4" x14ac:dyDescent="0.25">
      <c r="A2364" t="s">
        <v>109</v>
      </c>
      <c r="B2364">
        <v>19</v>
      </c>
      <c r="C2364">
        <v>10</v>
      </c>
      <c r="D2364">
        <v>9</v>
      </c>
    </row>
    <row r="2365" spans="1:4" x14ac:dyDescent="0.25">
      <c r="A2365" t="s">
        <v>192</v>
      </c>
      <c r="B2365">
        <v>3</v>
      </c>
      <c r="C2365">
        <v>1</v>
      </c>
      <c r="D2365">
        <v>2</v>
      </c>
    </row>
    <row r="2366" spans="1:4" x14ac:dyDescent="0.25">
      <c r="A2366" t="s">
        <v>1296</v>
      </c>
      <c r="B2366">
        <v>22</v>
      </c>
      <c r="C2366">
        <v>11</v>
      </c>
      <c r="D2366">
        <v>11</v>
      </c>
    </row>
    <row r="2368" spans="1:4" x14ac:dyDescent="0.25">
      <c r="A2368" t="s">
        <v>6446</v>
      </c>
    </row>
    <row r="2369" spans="1:19" x14ac:dyDescent="0.25">
      <c r="A2369" t="s">
        <v>903</v>
      </c>
      <c r="B2369" t="s">
        <v>4394</v>
      </c>
      <c r="C2369" t="s">
        <v>109</v>
      </c>
      <c r="D2369" t="s">
        <v>192</v>
      </c>
    </row>
    <row r="2370" spans="1:19" x14ac:dyDescent="0.25">
      <c r="A2370" t="s">
        <v>70</v>
      </c>
      <c r="B2370">
        <v>15</v>
      </c>
      <c r="C2370">
        <v>9</v>
      </c>
      <c r="D2370">
        <v>6</v>
      </c>
    </row>
    <row r="2371" spans="1:19" x14ac:dyDescent="0.25">
      <c r="A2371" t="s">
        <v>71</v>
      </c>
      <c r="B2371">
        <v>7</v>
      </c>
      <c r="C2371">
        <v>2</v>
      </c>
      <c r="D2371">
        <v>5</v>
      </c>
    </row>
    <row r="2372" spans="1:19" x14ac:dyDescent="0.25">
      <c r="A2372" t="s">
        <v>1296</v>
      </c>
      <c r="B2372">
        <v>22</v>
      </c>
      <c r="C2372">
        <v>11</v>
      </c>
      <c r="D2372">
        <v>11</v>
      </c>
    </row>
    <row r="2374" spans="1:19" x14ac:dyDescent="0.25">
      <c r="A2374" t="s">
        <v>6447</v>
      </c>
    </row>
    <row r="2375" spans="1:19" x14ac:dyDescent="0.25">
      <c r="A2375" t="s">
        <v>2842</v>
      </c>
      <c r="B2375" t="s">
        <v>4394</v>
      </c>
      <c r="C2375" t="s">
        <v>4732</v>
      </c>
      <c r="D2375" t="s">
        <v>5234</v>
      </c>
      <c r="E2375" t="s">
        <v>5235</v>
      </c>
      <c r="F2375" t="s">
        <v>5236</v>
      </c>
      <c r="G2375" t="s">
        <v>5237</v>
      </c>
      <c r="H2375" t="s">
        <v>4736</v>
      </c>
      <c r="I2375" t="s">
        <v>4737</v>
      </c>
      <c r="J2375" t="s">
        <v>5238</v>
      </c>
      <c r="K2375" t="s">
        <v>5239</v>
      </c>
      <c r="L2375" t="s">
        <v>5240</v>
      </c>
      <c r="M2375" t="s">
        <v>5241</v>
      </c>
      <c r="N2375" t="s">
        <v>5242</v>
      </c>
      <c r="O2375" t="s">
        <v>5243</v>
      </c>
      <c r="P2375" t="s">
        <v>5244</v>
      </c>
      <c r="Q2375" t="s">
        <v>5245</v>
      </c>
      <c r="R2375" t="s">
        <v>5246</v>
      </c>
      <c r="S2375" t="s">
        <v>5247</v>
      </c>
    </row>
    <row r="2376" spans="1:19" x14ac:dyDescent="0.25">
      <c r="A2376" t="s">
        <v>5549</v>
      </c>
      <c r="B2376">
        <v>54</v>
      </c>
      <c r="C2376" t="s">
        <v>4406</v>
      </c>
      <c r="D2376" t="s">
        <v>4698</v>
      </c>
      <c r="E2376" t="s">
        <v>5181</v>
      </c>
      <c r="F2376" t="s">
        <v>5215</v>
      </c>
      <c r="G2376" t="s">
        <v>4444</v>
      </c>
      <c r="H2376" t="s">
        <v>4406</v>
      </c>
      <c r="I2376" t="s">
        <v>4406</v>
      </c>
      <c r="J2376" t="s">
        <v>4958</v>
      </c>
      <c r="K2376" t="s">
        <v>4954</v>
      </c>
      <c r="L2376" t="s">
        <v>5214</v>
      </c>
      <c r="M2376" t="s">
        <v>4954</v>
      </c>
      <c r="N2376" t="s">
        <v>4663</v>
      </c>
      <c r="O2376" t="s">
        <v>4954</v>
      </c>
      <c r="P2376" t="s">
        <v>5471</v>
      </c>
      <c r="Q2376" t="s">
        <v>4465</v>
      </c>
      <c r="R2376" t="s">
        <v>4708</v>
      </c>
      <c r="S2376" t="s">
        <v>4698</v>
      </c>
    </row>
    <row r="2377" spans="1:19" x14ac:dyDescent="0.25">
      <c r="A2377" t="s">
        <v>1397</v>
      </c>
      <c r="B2377">
        <v>36</v>
      </c>
      <c r="C2377" t="s">
        <v>4406</v>
      </c>
      <c r="D2377" t="s">
        <v>4482</v>
      </c>
      <c r="E2377" t="s">
        <v>4609</v>
      </c>
      <c r="F2377" t="s">
        <v>4609</v>
      </c>
      <c r="G2377" t="s">
        <v>5176</v>
      </c>
      <c r="H2377" t="s">
        <v>4406</v>
      </c>
      <c r="I2377" t="s">
        <v>4406</v>
      </c>
      <c r="J2377" t="s">
        <v>4731</v>
      </c>
      <c r="K2377" t="s">
        <v>4482</v>
      </c>
      <c r="L2377" t="s">
        <v>4444</v>
      </c>
      <c r="M2377" t="s">
        <v>4406</v>
      </c>
      <c r="N2377" t="s">
        <v>4649</v>
      </c>
      <c r="O2377" t="s">
        <v>4406</v>
      </c>
      <c r="P2377" t="s">
        <v>5253</v>
      </c>
      <c r="Q2377" t="s">
        <v>4444</v>
      </c>
      <c r="R2377" t="s">
        <v>4676</v>
      </c>
      <c r="S2377" t="s">
        <v>4465</v>
      </c>
    </row>
    <row r="2378" spans="1:19" x14ac:dyDescent="0.25">
      <c r="A2378" t="s">
        <v>1296</v>
      </c>
      <c r="B2378">
        <v>90</v>
      </c>
      <c r="C2378" t="s">
        <v>4406</v>
      </c>
      <c r="D2378" t="s">
        <v>4596</v>
      </c>
      <c r="E2378" t="s">
        <v>4839</v>
      </c>
      <c r="F2378" t="s">
        <v>4465</v>
      </c>
      <c r="G2378" t="s">
        <v>4495</v>
      </c>
      <c r="H2378" t="s">
        <v>4406</v>
      </c>
      <c r="I2378" t="s">
        <v>4406</v>
      </c>
      <c r="J2378" t="s">
        <v>4607</v>
      </c>
      <c r="K2378" t="s">
        <v>4607</v>
      </c>
      <c r="L2378" t="s">
        <v>4913</v>
      </c>
      <c r="M2378" t="s">
        <v>4581</v>
      </c>
      <c r="N2378" t="s">
        <v>4716</v>
      </c>
      <c r="O2378" t="s">
        <v>4581</v>
      </c>
      <c r="P2378" t="s">
        <v>5391</v>
      </c>
      <c r="Q2378" t="s">
        <v>4518</v>
      </c>
      <c r="R2378" t="s">
        <v>4731</v>
      </c>
      <c r="S2378" t="s">
        <v>5182</v>
      </c>
    </row>
    <row r="2380" spans="1:19" x14ac:dyDescent="0.25">
      <c r="A2380" t="s">
        <v>6448</v>
      </c>
    </row>
    <row r="2381" spans="1:19" x14ac:dyDescent="0.25">
      <c r="A2381" t="s">
        <v>998</v>
      </c>
      <c r="B2381" t="s">
        <v>4394</v>
      </c>
      <c r="C2381" t="s">
        <v>4732</v>
      </c>
      <c r="D2381" t="s">
        <v>5234</v>
      </c>
      <c r="E2381" t="s">
        <v>5235</v>
      </c>
      <c r="F2381" t="s">
        <v>5236</v>
      </c>
      <c r="G2381" t="s">
        <v>5237</v>
      </c>
      <c r="H2381" t="s">
        <v>4736</v>
      </c>
      <c r="I2381" t="s">
        <v>4737</v>
      </c>
      <c r="J2381" t="s">
        <v>5238</v>
      </c>
      <c r="K2381" t="s">
        <v>5239</v>
      </c>
      <c r="L2381" t="s">
        <v>5240</v>
      </c>
      <c r="M2381" t="s">
        <v>5241</v>
      </c>
      <c r="N2381" t="s">
        <v>5242</v>
      </c>
      <c r="O2381" t="s">
        <v>5243</v>
      </c>
      <c r="P2381" t="s">
        <v>5244</v>
      </c>
      <c r="Q2381" t="s">
        <v>5245</v>
      </c>
      <c r="R2381" t="s">
        <v>5246</v>
      </c>
      <c r="S2381" t="s">
        <v>5247</v>
      </c>
    </row>
    <row r="2382" spans="1:19" x14ac:dyDescent="0.25">
      <c r="A2382" t="s">
        <v>109</v>
      </c>
      <c r="B2382">
        <v>79</v>
      </c>
      <c r="C2382" t="s">
        <v>4406</v>
      </c>
      <c r="D2382" t="s">
        <v>4863</v>
      </c>
      <c r="E2382" t="s">
        <v>4598</v>
      </c>
      <c r="F2382" t="s">
        <v>5179</v>
      </c>
      <c r="G2382" t="s">
        <v>5155</v>
      </c>
      <c r="H2382" t="s">
        <v>4406</v>
      </c>
      <c r="I2382" t="s">
        <v>4406</v>
      </c>
      <c r="J2382" t="s">
        <v>4863</v>
      </c>
      <c r="K2382" t="s">
        <v>4599</v>
      </c>
      <c r="L2382" t="s">
        <v>4939</v>
      </c>
      <c r="M2382" t="s">
        <v>4659</v>
      </c>
      <c r="N2382" t="s">
        <v>4552</v>
      </c>
      <c r="O2382" t="s">
        <v>4659</v>
      </c>
      <c r="P2382" t="s">
        <v>5228</v>
      </c>
      <c r="Q2382" t="s">
        <v>5155</v>
      </c>
      <c r="R2382" t="s">
        <v>4785</v>
      </c>
      <c r="S2382" t="s">
        <v>4764</v>
      </c>
    </row>
    <row r="2383" spans="1:19" x14ac:dyDescent="0.25">
      <c r="A2383" t="s">
        <v>192</v>
      </c>
      <c r="B2383">
        <v>11</v>
      </c>
      <c r="C2383" t="s">
        <v>4406</v>
      </c>
      <c r="D2383" t="s">
        <v>4726</v>
      </c>
      <c r="E2383" t="s">
        <v>4781</v>
      </c>
      <c r="F2383" t="s">
        <v>4401</v>
      </c>
      <c r="G2383" t="s">
        <v>4492</v>
      </c>
      <c r="H2383" t="s">
        <v>4406</v>
      </c>
      <c r="I2383" t="s">
        <v>4406</v>
      </c>
      <c r="J2383" t="s">
        <v>4406</v>
      </c>
      <c r="K2383" t="s">
        <v>4405</v>
      </c>
      <c r="L2383" t="s">
        <v>4852</v>
      </c>
      <c r="M2383" t="s">
        <v>4852</v>
      </c>
      <c r="N2383" t="s">
        <v>4405</v>
      </c>
      <c r="O2383" t="s">
        <v>4852</v>
      </c>
      <c r="P2383" t="s">
        <v>4452</v>
      </c>
      <c r="Q2383" t="s">
        <v>4405</v>
      </c>
      <c r="R2383" t="s">
        <v>4452</v>
      </c>
      <c r="S2383" t="s">
        <v>4406</v>
      </c>
    </row>
    <row r="2384" spans="1:19" x14ac:dyDescent="0.25">
      <c r="A2384" t="s">
        <v>1296</v>
      </c>
      <c r="B2384">
        <v>90</v>
      </c>
      <c r="C2384" t="s">
        <v>4406</v>
      </c>
      <c r="D2384" t="s">
        <v>4596</v>
      </c>
      <c r="E2384" t="s">
        <v>4839</v>
      </c>
      <c r="F2384" t="s">
        <v>4465</v>
      </c>
      <c r="G2384" t="s">
        <v>4495</v>
      </c>
      <c r="H2384" t="s">
        <v>4406</v>
      </c>
      <c r="I2384" t="s">
        <v>4406</v>
      </c>
      <c r="J2384" t="s">
        <v>4607</v>
      </c>
      <c r="K2384" t="s">
        <v>4607</v>
      </c>
      <c r="L2384" t="s">
        <v>4913</v>
      </c>
      <c r="M2384" t="s">
        <v>4581</v>
      </c>
      <c r="N2384" t="s">
        <v>4716</v>
      </c>
      <c r="O2384" t="s">
        <v>4581</v>
      </c>
      <c r="P2384" t="s">
        <v>5391</v>
      </c>
      <c r="Q2384" t="s">
        <v>4518</v>
      </c>
      <c r="R2384" t="s">
        <v>4731</v>
      </c>
      <c r="S2384" t="s">
        <v>5182</v>
      </c>
    </row>
    <row r="2386" spans="1:19" x14ac:dyDescent="0.25">
      <c r="A2386" t="s">
        <v>6449</v>
      </c>
    </row>
    <row r="2387" spans="1:19" x14ac:dyDescent="0.25">
      <c r="A2387" t="s">
        <v>903</v>
      </c>
      <c r="B2387" t="s">
        <v>4394</v>
      </c>
      <c r="C2387" t="s">
        <v>4732</v>
      </c>
      <c r="D2387" t="s">
        <v>5234</v>
      </c>
      <c r="E2387" t="s">
        <v>5235</v>
      </c>
      <c r="F2387" t="s">
        <v>5236</v>
      </c>
      <c r="G2387" t="s">
        <v>5237</v>
      </c>
      <c r="H2387" t="s">
        <v>4736</v>
      </c>
      <c r="I2387" t="s">
        <v>4737</v>
      </c>
      <c r="J2387" t="s">
        <v>5238</v>
      </c>
      <c r="K2387" t="s">
        <v>5239</v>
      </c>
      <c r="L2387" t="s">
        <v>5240</v>
      </c>
      <c r="M2387" t="s">
        <v>5241</v>
      </c>
      <c r="N2387" t="s">
        <v>5242</v>
      </c>
      <c r="O2387" t="s">
        <v>5243</v>
      </c>
      <c r="P2387" t="s">
        <v>5244</v>
      </c>
      <c r="Q2387" t="s">
        <v>5245</v>
      </c>
      <c r="R2387" t="s">
        <v>5246</v>
      </c>
      <c r="S2387" t="s">
        <v>5247</v>
      </c>
    </row>
    <row r="2388" spans="1:19" x14ac:dyDescent="0.25">
      <c r="A2388" t="s">
        <v>70</v>
      </c>
      <c r="B2388">
        <v>24</v>
      </c>
      <c r="C2388" t="s">
        <v>4406</v>
      </c>
      <c r="D2388" t="s">
        <v>4517</v>
      </c>
      <c r="E2388" t="s">
        <v>4471</v>
      </c>
      <c r="F2388" t="s">
        <v>4702</v>
      </c>
      <c r="G2388" t="s">
        <v>4596</v>
      </c>
      <c r="H2388" t="s">
        <v>4406</v>
      </c>
      <c r="I2388" t="s">
        <v>4406</v>
      </c>
      <c r="J2388" t="s">
        <v>4479</v>
      </c>
      <c r="K2388" t="s">
        <v>4596</v>
      </c>
      <c r="L2388" t="s">
        <v>4517</v>
      </c>
      <c r="M2388" t="s">
        <v>4751</v>
      </c>
      <c r="N2388" t="s">
        <v>4943</v>
      </c>
      <c r="O2388" t="s">
        <v>4943</v>
      </c>
      <c r="P2388" t="s">
        <v>4793</v>
      </c>
      <c r="Q2388" t="s">
        <v>4471</v>
      </c>
      <c r="R2388" t="s">
        <v>4596</v>
      </c>
      <c r="S2388" t="s">
        <v>4462</v>
      </c>
    </row>
    <row r="2389" spans="1:19" x14ac:dyDescent="0.25">
      <c r="A2389" t="s">
        <v>71</v>
      </c>
      <c r="B2389">
        <v>66</v>
      </c>
      <c r="C2389" t="s">
        <v>4406</v>
      </c>
      <c r="D2389" t="s">
        <v>4741</v>
      </c>
      <c r="E2389" t="s">
        <v>4493</v>
      </c>
      <c r="F2389" t="s">
        <v>4453</v>
      </c>
      <c r="G2389" t="s">
        <v>4452</v>
      </c>
      <c r="H2389" t="s">
        <v>4406</v>
      </c>
      <c r="I2389" t="s">
        <v>4406</v>
      </c>
      <c r="J2389" t="s">
        <v>4589</v>
      </c>
      <c r="K2389" t="s">
        <v>4539</v>
      </c>
      <c r="L2389" t="s">
        <v>4792</v>
      </c>
      <c r="M2389" t="s">
        <v>4680</v>
      </c>
      <c r="N2389" t="s">
        <v>4852</v>
      </c>
      <c r="O2389" t="s">
        <v>4406</v>
      </c>
      <c r="P2389" t="s">
        <v>4469</v>
      </c>
      <c r="Q2389" t="s">
        <v>4445</v>
      </c>
      <c r="R2389" t="s">
        <v>4451</v>
      </c>
      <c r="S2389" t="s">
        <v>4596</v>
      </c>
    </row>
    <row r="2390" spans="1:19" x14ac:dyDescent="0.25">
      <c r="A2390" t="s">
        <v>1296</v>
      </c>
      <c r="B2390">
        <v>90</v>
      </c>
      <c r="C2390" t="s">
        <v>4406</v>
      </c>
      <c r="D2390" t="s">
        <v>4596</v>
      </c>
      <c r="E2390" t="s">
        <v>4839</v>
      </c>
      <c r="F2390" t="s">
        <v>4465</v>
      </c>
      <c r="G2390" t="s">
        <v>4495</v>
      </c>
      <c r="H2390" t="s">
        <v>4406</v>
      </c>
      <c r="I2390" t="s">
        <v>4406</v>
      </c>
      <c r="J2390" t="s">
        <v>4607</v>
      </c>
      <c r="K2390" t="s">
        <v>4607</v>
      </c>
      <c r="L2390" t="s">
        <v>4913</v>
      </c>
      <c r="M2390" t="s">
        <v>4581</v>
      </c>
      <c r="N2390" t="s">
        <v>4716</v>
      </c>
      <c r="O2390" t="s">
        <v>4581</v>
      </c>
      <c r="P2390" t="s">
        <v>5391</v>
      </c>
      <c r="Q2390" t="s">
        <v>4518</v>
      </c>
      <c r="R2390" t="s">
        <v>4731</v>
      </c>
      <c r="S2390" t="s">
        <v>5182</v>
      </c>
    </row>
    <row r="2392" spans="1:19" x14ac:dyDescent="0.25">
      <c r="A2392" t="s">
        <v>5472</v>
      </c>
    </row>
    <row r="2393" spans="1:19" x14ac:dyDescent="0.25">
      <c r="A2393" t="s">
        <v>4394</v>
      </c>
      <c r="B2393" t="s">
        <v>109</v>
      </c>
      <c r="C2393" t="s">
        <v>192</v>
      </c>
    </row>
    <row r="2394" spans="1:19" x14ac:dyDescent="0.25">
      <c r="A2394">
        <v>138</v>
      </c>
      <c r="B2394" t="s">
        <v>4787</v>
      </c>
      <c r="C2394" t="s">
        <v>4786</v>
      </c>
    </row>
    <row r="2396" spans="1:19" x14ac:dyDescent="0.25">
      <c r="A2396" t="s">
        <v>6450</v>
      </c>
    </row>
    <row r="2397" spans="1:19" x14ac:dyDescent="0.25">
      <c r="A2397" t="s">
        <v>2842</v>
      </c>
      <c r="B2397" t="s">
        <v>4394</v>
      </c>
      <c r="C2397" t="s">
        <v>1336</v>
      </c>
      <c r="D2397" t="s">
        <v>1526</v>
      </c>
      <c r="E2397" t="s">
        <v>1368</v>
      </c>
    </row>
    <row r="2398" spans="1:19" x14ac:dyDescent="0.25">
      <c r="A2398" t="s">
        <v>5549</v>
      </c>
      <c r="B2398">
        <v>83</v>
      </c>
      <c r="C2398" t="s">
        <v>4725</v>
      </c>
      <c r="D2398" t="s">
        <v>4541</v>
      </c>
      <c r="E2398" t="s">
        <v>4591</v>
      </c>
    </row>
    <row r="2399" spans="1:19" x14ac:dyDescent="0.25">
      <c r="A2399" t="s">
        <v>1397</v>
      </c>
      <c r="B2399">
        <v>55</v>
      </c>
      <c r="C2399" t="s">
        <v>5473</v>
      </c>
      <c r="D2399" t="s">
        <v>4599</v>
      </c>
      <c r="E2399" t="s">
        <v>4405</v>
      </c>
    </row>
    <row r="2400" spans="1:19" x14ac:dyDescent="0.25">
      <c r="A2400" t="s">
        <v>1296</v>
      </c>
      <c r="B2400">
        <v>138</v>
      </c>
      <c r="C2400" t="s">
        <v>4949</v>
      </c>
      <c r="D2400" t="s">
        <v>4863</v>
      </c>
      <c r="E2400" t="s">
        <v>4587</v>
      </c>
    </row>
    <row r="2402" spans="1:10" x14ac:dyDescent="0.25">
      <c r="A2402" t="s">
        <v>6451</v>
      </c>
    </row>
    <row r="2403" spans="1:10" x14ac:dyDescent="0.25">
      <c r="A2403" t="s">
        <v>2842</v>
      </c>
      <c r="B2403" t="s">
        <v>4394</v>
      </c>
      <c r="C2403" t="s">
        <v>4732</v>
      </c>
      <c r="D2403" t="s">
        <v>5267</v>
      </c>
      <c r="E2403" t="s">
        <v>4736</v>
      </c>
      <c r="F2403" t="s">
        <v>4737</v>
      </c>
      <c r="G2403" t="s">
        <v>5268</v>
      </c>
      <c r="H2403" t="s">
        <v>5269</v>
      </c>
      <c r="I2403" t="s">
        <v>5270</v>
      </c>
      <c r="J2403" t="s">
        <v>5271</v>
      </c>
    </row>
    <row r="2404" spans="1:10" x14ac:dyDescent="0.25">
      <c r="A2404" t="s">
        <v>5549</v>
      </c>
      <c r="B2404">
        <v>83</v>
      </c>
      <c r="C2404" t="s">
        <v>4406</v>
      </c>
      <c r="D2404" t="s">
        <v>4424</v>
      </c>
      <c r="E2404" t="s">
        <v>4406</v>
      </c>
      <c r="F2404" t="s">
        <v>4406</v>
      </c>
      <c r="G2404" t="s">
        <v>5346</v>
      </c>
      <c r="H2404" t="s">
        <v>4666</v>
      </c>
      <c r="I2404" t="s">
        <v>5142</v>
      </c>
      <c r="J2404" t="s">
        <v>5076</v>
      </c>
    </row>
    <row r="2405" spans="1:10" x14ac:dyDescent="0.25">
      <c r="A2405" t="s">
        <v>1397</v>
      </c>
      <c r="B2405">
        <v>53</v>
      </c>
      <c r="C2405" t="s">
        <v>4406</v>
      </c>
      <c r="D2405" t="s">
        <v>4720</v>
      </c>
      <c r="E2405" t="s">
        <v>4952</v>
      </c>
      <c r="F2405" t="s">
        <v>4406</v>
      </c>
      <c r="G2405" t="s">
        <v>5105</v>
      </c>
      <c r="H2405" t="s">
        <v>4440</v>
      </c>
      <c r="I2405" t="s">
        <v>4580</v>
      </c>
      <c r="J2405" t="s">
        <v>5219</v>
      </c>
    </row>
    <row r="2406" spans="1:10" x14ac:dyDescent="0.25">
      <c r="A2406" t="s">
        <v>1296</v>
      </c>
      <c r="B2406">
        <v>136</v>
      </c>
      <c r="C2406" t="s">
        <v>4406</v>
      </c>
      <c r="D2406" t="s">
        <v>4697</v>
      </c>
      <c r="E2406" t="s">
        <v>4410</v>
      </c>
      <c r="F2406" t="s">
        <v>4406</v>
      </c>
      <c r="G2406" t="s">
        <v>5536</v>
      </c>
      <c r="H2406" t="s">
        <v>4921</v>
      </c>
      <c r="I2406" t="s">
        <v>4625</v>
      </c>
      <c r="J2406" t="s">
        <v>4483</v>
      </c>
    </row>
    <row r="2408" spans="1:10" x14ac:dyDescent="0.25">
      <c r="A2408" t="s">
        <v>6452</v>
      </c>
    </row>
    <row r="2409" spans="1:10" x14ac:dyDescent="0.25">
      <c r="A2409" t="s">
        <v>995</v>
      </c>
      <c r="B2409" t="s">
        <v>4394</v>
      </c>
      <c r="C2409" t="s">
        <v>4732</v>
      </c>
      <c r="D2409" t="s">
        <v>5267</v>
      </c>
      <c r="E2409" t="s">
        <v>4736</v>
      </c>
      <c r="F2409" t="s">
        <v>4737</v>
      </c>
      <c r="G2409" t="s">
        <v>5268</v>
      </c>
      <c r="H2409" t="s">
        <v>5269</v>
      </c>
      <c r="I2409" t="s">
        <v>5270</v>
      </c>
      <c r="J2409" t="s">
        <v>5271</v>
      </c>
    </row>
    <row r="2410" spans="1:10" x14ac:dyDescent="0.25">
      <c r="A2410" t="s">
        <v>1338</v>
      </c>
      <c r="B2410">
        <v>43</v>
      </c>
      <c r="C2410">
        <v>0</v>
      </c>
      <c r="D2410">
        <v>0</v>
      </c>
      <c r="E2410">
        <v>0</v>
      </c>
      <c r="F2410">
        <v>0</v>
      </c>
      <c r="G2410">
        <v>35</v>
      </c>
      <c r="H2410">
        <v>5</v>
      </c>
      <c r="I2410">
        <v>4</v>
      </c>
      <c r="J2410">
        <v>5</v>
      </c>
    </row>
    <row r="2411" spans="1:10" x14ac:dyDescent="0.25">
      <c r="A2411" t="s">
        <v>1370</v>
      </c>
      <c r="B2411">
        <v>9</v>
      </c>
      <c r="C2411">
        <v>0</v>
      </c>
      <c r="D2411">
        <v>0</v>
      </c>
      <c r="E2411">
        <v>0</v>
      </c>
      <c r="F2411">
        <v>0</v>
      </c>
      <c r="G2411">
        <v>5</v>
      </c>
      <c r="H2411">
        <v>0</v>
      </c>
      <c r="I2411">
        <v>2</v>
      </c>
      <c r="J2411">
        <v>4</v>
      </c>
    </row>
    <row r="2412" spans="1:10" x14ac:dyDescent="0.25">
      <c r="A2412" t="s">
        <v>1439</v>
      </c>
      <c r="B2412">
        <v>7</v>
      </c>
      <c r="C2412">
        <v>0</v>
      </c>
      <c r="D2412">
        <v>0</v>
      </c>
      <c r="E2412">
        <v>0</v>
      </c>
      <c r="F2412">
        <v>0</v>
      </c>
      <c r="G2412">
        <v>6</v>
      </c>
      <c r="H2412">
        <v>0</v>
      </c>
      <c r="I2412">
        <v>0</v>
      </c>
      <c r="J2412">
        <v>3</v>
      </c>
    </row>
    <row r="2413" spans="1:10" x14ac:dyDescent="0.25">
      <c r="A2413" t="s">
        <v>1476</v>
      </c>
      <c r="B2413">
        <v>5</v>
      </c>
      <c r="C2413">
        <v>0</v>
      </c>
      <c r="D2413">
        <v>0</v>
      </c>
      <c r="E2413">
        <v>0</v>
      </c>
      <c r="F2413">
        <v>0</v>
      </c>
      <c r="G2413">
        <v>4</v>
      </c>
      <c r="H2413">
        <v>0</v>
      </c>
      <c r="I2413">
        <v>1</v>
      </c>
      <c r="J2413">
        <v>2</v>
      </c>
    </row>
    <row r="2414" spans="1:10" x14ac:dyDescent="0.25">
      <c r="A2414" t="s">
        <v>5476</v>
      </c>
      <c r="B2414">
        <v>2</v>
      </c>
      <c r="C2414">
        <v>0</v>
      </c>
      <c r="D2414">
        <v>0</v>
      </c>
      <c r="E2414">
        <v>0</v>
      </c>
      <c r="F2414">
        <v>0</v>
      </c>
      <c r="G2414">
        <v>2</v>
      </c>
      <c r="H2414">
        <v>0</v>
      </c>
      <c r="I2414">
        <v>0</v>
      </c>
      <c r="J2414">
        <v>1</v>
      </c>
    </row>
    <row r="2415" spans="1:10" x14ac:dyDescent="0.25">
      <c r="A2415" t="s">
        <v>1399</v>
      </c>
      <c r="B2415">
        <v>23</v>
      </c>
      <c r="C2415">
        <v>0</v>
      </c>
      <c r="D2415">
        <v>1</v>
      </c>
      <c r="E2415">
        <v>0</v>
      </c>
      <c r="F2415">
        <v>0</v>
      </c>
      <c r="G2415">
        <v>14</v>
      </c>
      <c r="H2415">
        <v>5</v>
      </c>
      <c r="I2415">
        <v>7</v>
      </c>
      <c r="J2415">
        <v>10</v>
      </c>
    </row>
    <row r="2416" spans="1:10" x14ac:dyDescent="0.25">
      <c r="A2416" t="s">
        <v>1415</v>
      </c>
      <c r="B2416">
        <v>47</v>
      </c>
      <c r="C2416">
        <v>0</v>
      </c>
      <c r="D2416">
        <v>3</v>
      </c>
      <c r="E2416">
        <v>1</v>
      </c>
      <c r="F2416">
        <v>0</v>
      </c>
      <c r="G2416">
        <v>43</v>
      </c>
      <c r="H2416">
        <v>9</v>
      </c>
      <c r="I2416">
        <v>8</v>
      </c>
      <c r="J2416">
        <v>3</v>
      </c>
    </row>
    <row r="2417" spans="1:10" x14ac:dyDescent="0.25">
      <c r="A2417" t="s">
        <v>1296</v>
      </c>
      <c r="B2417">
        <v>136</v>
      </c>
      <c r="C2417">
        <v>0</v>
      </c>
      <c r="D2417">
        <v>4</v>
      </c>
      <c r="E2417">
        <v>1</v>
      </c>
      <c r="F2417">
        <v>0</v>
      </c>
      <c r="G2417">
        <v>109</v>
      </c>
      <c r="H2417">
        <v>19</v>
      </c>
      <c r="I2417">
        <v>22</v>
      </c>
      <c r="J2417">
        <v>28</v>
      </c>
    </row>
    <row r="2419" spans="1:10" x14ac:dyDescent="0.25">
      <c r="A2419" t="s">
        <v>6453</v>
      </c>
    </row>
    <row r="2420" spans="1:10" x14ac:dyDescent="0.25">
      <c r="A2420" t="s">
        <v>998</v>
      </c>
      <c r="B2420" t="s">
        <v>4394</v>
      </c>
      <c r="C2420" t="s">
        <v>4732</v>
      </c>
      <c r="D2420" t="s">
        <v>5267</v>
      </c>
      <c r="E2420" t="s">
        <v>4736</v>
      </c>
      <c r="F2420" t="s">
        <v>4737</v>
      </c>
      <c r="G2420" t="s">
        <v>5268</v>
      </c>
      <c r="H2420" t="s">
        <v>5269</v>
      </c>
      <c r="I2420" t="s">
        <v>5270</v>
      </c>
      <c r="J2420" t="s">
        <v>5271</v>
      </c>
    </row>
    <row r="2421" spans="1:10" x14ac:dyDescent="0.25">
      <c r="A2421" t="s">
        <v>109</v>
      </c>
      <c r="B2421">
        <v>123</v>
      </c>
      <c r="C2421" t="s">
        <v>4406</v>
      </c>
      <c r="D2421" t="s">
        <v>4651</v>
      </c>
      <c r="E2421" t="s">
        <v>4417</v>
      </c>
      <c r="F2421" t="s">
        <v>4406</v>
      </c>
      <c r="G2421" t="s">
        <v>4974</v>
      </c>
      <c r="H2421" t="s">
        <v>5116</v>
      </c>
      <c r="I2421" t="s">
        <v>5065</v>
      </c>
      <c r="J2421" t="s">
        <v>4992</v>
      </c>
    </row>
    <row r="2422" spans="1:10" x14ac:dyDescent="0.25">
      <c r="A2422" t="s">
        <v>192</v>
      </c>
      <c r="B2422">
        <v>13</v>
      </c>
      <c r="C2422" t="s">
        <v>4406</v>
      </c>
      <c r="D2422" t="s">
        <v>4406</v>
      </c>
      <c r="E2422" t="s">
        <v>4406</v>
      </c>
      <c r="F2422" t="s">
        <v>4406</v>
      </c>
      <c r="G2422" t="s">
        <v>5419</v>
      </c>
      <c r="H2422" t="s">
        <v>4705</v>
      </c>
      <c r="I2422" t="s">
        <v>4474</v>
      </c>
      <c r="J2422" t="s">
        <v>4711</v>
      </c>
    </row>
    <row r="2423" spans="1:10" x14ac:dyDescent="0.25">
      <c r="A2423" t="s">
        <v>1296</v>
      </c>
      <c r="B2423">
        <v>136</v>
      </c>
      <c r="C2423" t="s">
        <v>4406</v>
      </c>
      <c r="D2423" t="s">
        <v>4697</v>
      </c>
      <c r="E2423" t="s">
        <v>4410</v>
      </c>
      <c r="F2423" t="s">
        <v>4406</v>
      </c>
      <c r="G2423" t="s">
        <v>5536</v>
      </c>
      <c r="H2423" t="s">
        <v>4921</v>
      </c>
      <c r="I2423" t="s">
        <v>4625</v>
      </c>
      <c r="J2423" t="s">
        <v>4483</v>
      </c>
    </row>
    <row r="2425" spans="1:10" x14ac:dyDescent="0.25">
      <c r="A2425" t="s">
        <v>6454</v>
      </c>
    </row>
    <row r="2426" spans="1:10" x14ac:dyDescent="0.25">
      <c r="A2426" t="s">
        <v>1295</v>
      </c>
      <c r="B2426" t="s">
        <v>4394</v>
      </c>
      <c r="C2426" t="s">
        <v>4732</v>
      </c>
      <c r="D2426" t="s">
        <v>5267</v>
      </c>
      <c r="E2426" t="s">
        <v>4736</v>
      </c>
      <c r="F2426" t="s">
        <v>4737</v>
      </c>
      <c r="G2426" t="s">
        <v>5268</v>
      </c>
      <c r="H2426" t="s">
        <v>5269</v>
      </c>
      <c r="I2426" t="s">
        <v>5270</v>
      </c>
      <c r="J2426" t="s">
        <v>5271</v>
      </c>
    </row>
    <row r="2427" spans="1:10" x14ac:dyDescent="0.25">
      <c r="A2427" t="s">
        <v>4395</v>
      </c>
      <c r="B2427">
        <v>15</v>
      </c>
      <c r="C2427" t="s">
        <v>4406</v>
      </c>
      <c r="D2427" t="s">
        <v>4416</v>
      </c>
      <c r="E2427" t="s">
        <v>4416</v>
      </c>
      <c r="F2427" t="s">
        <v>4406</v>
      </c>
      <c r="G2427" t="s">
        <v>5106</v>
      </c>
      <c r="H2427" t="s">
        <v>4607</v>
      </c>
      <c r="I2427" t="s">
        <v>4472</v>
      </c>
      <c r="J2427" t="s">
        <v>4457</v>
      </c>
    </row>
    <row r="2428" spans="1:10" x14ac:dyDescent="0.25">
      <c r="A2428" t="s">
        <v>4396</v>
      </c>
      <c r="B2428">
        <v>53</v>
      </c>
      <c r="C2428" t="s">
        <v>4406</v>
      </c>
      <c r="D2428" t="s">
        <v>4720</v>
      </c>
      <c r="E2428" t="s">
        <v>4406</v>
      </c>
      <c r="F2428" t="s">
        <v>4406</v>
      </c>
      <c r="G2428" t="s">
        <v>4454</v>
      </c>
      <c r="H2428" t="s">
        <v>4869</v>
      </c>
      <c r="I2428" t="s">
        <v>4715</v>
      </c>
      <c r="J2428" t="s">
        <v>4406</v>
      </c>
    </row>
    <row r="2429" spans="1:10" x14ac:dyDescent="0.25">
      <c r="A2429" t="s">
        <v>4397</v>
      </c>
      <c r="B2429">
        <v>1</v>
      </c>
      <c r="C2429" t="s">
        <v>4406</v>
      </c>
      <c r="D2429" t="s">
        <v>4406</v>
      </c>
      <c r="E2429" t="s">
        <v>4406</v>
      </c>
      <c r="F2429" t="s">
        <v>4406</v>
      </c>
      <c r="G2429" t="s">
        <v>4454</v>
      </c>
      <c r="H2429" t="s">
        <v>4406</v>
      </c>
      <c r="I2429" t="s">
        <v>4406</v>
      </c>
      <c r="J2429" t="s">
        <v>4406</v>
      </c>
    </row>
    <row r="2430" spans="1:10" x14ac:dyDescent="0.25">
      <c r="A2430" t="s">
        <v>4398</v>
      </c>
      <c r="B2430">
        <v>62</v>
      </c>
      <c r="C2430" t="s">
        <v>4406</v>
      </c>
      <c r="D2430" t="s">
        <v>4635</v>
      </c>
      <c r="E2430" t="s">
        <v>4406</v>
      </c>
      <c r="F2430" t="s">
        <v>4406</v>
      </c>
      <c r="G2430" t="s">
        <v>5098</v>
      </c>
      <c r="H2430" t="s">
        <v>4610</v>
      </c>
      <c r="I2430" t="s">
        <v>4858</v>
      </c>
      <c r="J2430" t="s">
        <v>4563</v>
      </c>
    </row>
    <row r="2431" spans="1:10" x14ac:dyDescent="0.25">
      <c r="A2431" t="s">
        <v>4399</v>
      </c>
      <c r="B2431">
        <v>5</v>
      </c>
      <c r="C2431" t="s">
        <v>4406</v>
      </c>
      <c r="D2431" t="s">
        <v>4406</v>
      </c>
      <c r="E2431" t="s">
        <v>4406</v>
      </c>
      <c r="F2431" t="s">
        <v>4406</v>
      </c>
      <c r="G2431" t="s">
        <v>4834</v>
      </c>
      <c r="H2431" t="s">
        <v>4406</v>
      </c>
      <c r="I2431" t="s">
        <v>4406</v>
      </c>
      <c r="J2431" t="s">
        <v>4472</v>
      </c>
    </row>
    <row r="2432" spans="1:10" x14ac:dyDescent="0.25">
      <c r="A2432" t="s">
        <v>1296</v>
      </c>
      <c r="B2432">
        <v>136</v>
      </c>
      <c r="C2432" t="s">
        <v>4406</v>
      </c>
      <c r="D2432" t="s">
        <v>4697</v>
      </c>
      <c r="E2432" t="s">
        <v>4410</v>
      </c>
      <c r="F2432" t="s">
        <v>4406</v>
      </c>
      <c r="G2432" t="s">
        <v>5536</v>
      </c>
      <c r="H2432" t="s">
        <v>4921</v>
      </c>
      <c r="I2432" t="s">
        <v>4625</v>
      </c>
      <c r="J2432" t="s">
        <v>4483</v>
      </c>
    </row>
    <row r="2434" spans="1:10" x14ac:dyDescent="0.25">
      <c r="A2434" t="s">
        <v>6455</v>
      </c>
    </row>
    <row r="2435" spans="1:10" x14ac:dyDescent="0.25">
      <c r="A2435" t="s">
        <v>903</v>
      </c>
      <c r="B2435" t="s">
        <v>4394</v>
      </c>
      <c r="C2435" t="s">
        <v>4732</v>
      </c>
      <c r="D2435" t="s">
        <v>5267</v>
      </c>
      <c r="E2435" t="s">
        <v>4736</v>
      </c>
      <c r="F2435" t="s">
        <v>4737</v>
      </c>
      <c r="G2435" t="s">
        <v>5268</v>
      </c>
      <c r="H2435" t="s">
        <v>5269</v>
      </c>
      <c r="I2435" t="s">
        <v>5270</v>
      </c>
      <c r="J2435" t="s">
        <v>5271</v>
      </c>
    </row>
    <row r="2436" spans="1:10" x14ac:dyDescent="0.25">
      <c r="A2436" t="s">
        <v>70</v>
      </c>
      <c r="B2436">
        <v>36</v>
      </c>
      <c r="C2436" t="s">
        <v>4406</v>
      </c>
      <c r="D2436" t="s">
        <v>4406</v>
      </c>
      <c r="E2436" t="s">
        <v>4406</v>
      </c>
      <c r="F2436" t="s">
        <v>4406</v>
      </c>
      <c r="G2436" t="s">
        <v>5228</v>
      </c>
      <c r="H2436" t="s">
        <v>4859</v>
      </c>
      <c r="I2436" t="s">
        <v>4858</v>
      </c>
      <c r="J2436" t="s">
        <v>4609</v>
      </c>
    </row>
    <row r="2437" spans="1:10" x14ac:dyDescent="0.25">
      <c r="A2437" t="s">
        <v>71</v>
      </c>
      <c r="B2437">
        <v>100</v>
      </c>
      <c r="C2437" t="s">
        <v>4406</v>
      </c>
      <c r="D2437" t="s">
        <v>4660</v>
      </c>
      <c r="E2437" t="s">
        <v>4402</v>
      </c>
      <c r="F2437" t="s">
        <v>4406</v>
      </c>
      <c r="G2437" t="s">
        <v>5091</v>
      </c>
      <c r="H2437" t="s">
        <v>4921</v>
      </c>
      <c r="I2437" t="s">
        <v>4643</v>
      </c>
      <c r="J2437" t="s">
        <v>5003</v>
      </c>
    </row>
    <row r="2438" spans="1:10" x14ac:dyDescent="0.25">
      <c r="A2438" t="s">
        <v>1296</v>
      </c>
      <c r="B2438">
        <v>136</v>
      </c>
      <c r="C2438" t="s">
        <v>4406</v>
      </c>
      <c r="D2438" t="s">
        <v>4697</v>
      </c>
      <c r="E2438" t="s">
        <v>4410</v>
      </c>
      <c r="F2438" t="s">
        <v>4406</v>
      </c>
      <c r="G2438" t="s">
        <v>5536</v>
      </c>
      <c r="H2438" t="s">
        <v>4921</v>
      </c>
      <c r="I2438" t="s">
        <v>4625</v>
      </c>
      <c r="J2438" t="s">
        <v>4483</v>
      </c>
    </row>
    <row r="2440" spans="1:10" x14ac:dyDescent="0.25">
      <c r="A2440" t="s">
        <v>5537</v>
      </c>
    </row>
    <row r="2441" spans="1:10" x14ac:dyDescent="0.25">
      <c r="A2441" t="s">
        <v>2842</v>
      </c>
      <c r="B2441" t="s">
        <v>4394</v>
      </c>
      <c r="C2441" t="s">
        <v>1398</v>
      </c>
      <c r="D2441" t="s">
        <v>1337</v>
      </c>
      <c r="E2441" t="s">
        <v>1369</v>
      </c>
    </row>
    <row r="2442" spans="1:10" x14ac:dyDescent="0.25">
      <c r="A2442" t="s">
        <v>5549</v>
      </c>
      <c r="B2442">
        <v>83</v>
      </c>
      <c r="C2442" t="s">
        <v>4719</v>
      </c>
      <c r="D2442" t="s">
        <v>4618</v>
      </c>
      <c r="E2442" t="s">
        <v>4559</v>
      </c>
    </row>
    <row r="2443" spans="1:10" x14ac:dyDescent="0.25">
      <c r="A2443" t="s">
        <v>1397</v>
      </c>
      <c r="B2443">
        <v>55</v>
      </c>
      <c r="C2443" t="s">
        <v>4747</v>
      </c>
      <c r="D2443" t="s">
        <v>5073</v>
      </c>
      <c r="E2443" t="s">
        <v>4681</v>
      </c>
    </row>
    <row r="2444" spans="1:10" x14ac:dyDescent="0.25">
      <c r="A2444" t="s">
        <v>1296</v>
      </c>
      <c r="B2444">
        <v>138</v>
      </c>
      <c r="C2444" t="s">
        <v>4642</v>
      </c>
      <c r="D2444" t="s">
        <v>4787</v>
      </c>
      <c r="E2444" t="s">
        <v>4709</v>
      </c>
    </row>
    <row r="2446" spans="1:10" x14ac:dyDescent="0.25">
      <c r="A2446" t="s">
        <v>5538</v>
      </c>
    </row>
    <row r="2447" spans="1:10" x14ac:dyDescent="0.25">
      <c r="A2447" t="s">
        <v>4394</v>
      </c>
      <c r="B2447" t="s">
        <v>5478</v>
      </c>
      <c r="C2447" t="s">
        <v>5479</v>
      </c>
    </row>
    <row r="2448" spans="1:10" x14ac:dyDescent="0.25">
      <c r="A2448">
        <v>138</v>
      </c>
      <c r="B2448" t="s">
        <v>4986</v>
      </c>
      <c r="C2448" t="s">
        <v>4606</v>
      </c>
    </row>
    <row r="2450" spans="1:6" x14ac:dyDescent="0.25">
      <c r="A2450" t="s">
        <v>6456</v>
      </c>
    </row>
    <row r="2451" spans="1:6" x14ac:dyDescent="0.25">
      <c r="A2451" t="s">
        <v>2842</v>
      </c>
      <c r="B2451" t="s">
        <v>4394</v>
      </c>
      <c r="C2451" t="s">
        <v>70</v>
      </c>
      <c r="D2451" t="s">
        <v>71</v>
      </c>
    </row>
    <row r="2452" spans="1:6" x14ac:dyDescent="0.25">
      <c r="A2452" t="s">
        <v>5549</v>
      </c>
      <c r="B2452">
        <v>83</v>
      </c>
      <c r="C2452" t="s">
        <v>4598</v>
      </c>
      <c r="D2452" t="s">
        <v>5132</v>
      </c>
    </row>
    <row r="2453" spans="1:6" x14ac:dyDescent="0.25">
      <c r="A2453" t="s">
        <v>1397</v>
      </c>
      <c r="B2453">
        <v>55</v>
      </c>
      <c r="C2453" t="s">
        <v>4638</v>
      </c>
      <c r="D2453" t="s">
        <v>5508</v>
      </c>
    </row>
    <row r="2454" spans="1:6" x14ac:dyDescent="0.25">
      <c r="A2454" t="s">
        <v>1296</v>
      </c>
      <c r="B2454">
        <v>138</v>
      </c>
      <c r="C2454" t="s">
        <v>5154</v>
      </c>
      <c r="D2454" t="s">
        <v>5331</v>
      </c>
    </row>
    <row r="2456" spans="1:6" x14ac:dyDescent="0.25">
      <c r="A2456" t="s">
        <v>6457</v>
      </c>
    </row>
    <row r="2457" spans="1:6" x14ac:dyDescent="0.25">
      <c r="A2457" t="s">
        <v>2842</v>
      </c>
      <c r="B2457" t="s">
        <v>4394</v>
      </c>
      <c r="C2457" t="s">
        <v>4732</v>
      </c>
      <c r="D2457" t="s">
        <v>109</v>
      </c>
      <c r="E2457" t="s">
        <v>4737</v>
      </c>
      <c r="F2457" t="s">
        <v>192</v>
      </c>
    </row>
    <row r="2458" spans="1:6" x14ac:dyDescent="0.25">
      <c r="A2458" t="s">
        <v>5549</v>
      </c>
      <c r="B2458">
        <v>83</v>
      </c>
      <c r="C2458" t="s">
        <v>4424</v>
      </c>
      <c r="D2458" t="s">
        <v>5226</v>
      </c>
      <c r="E2458" t="s">
        <v>4406</v>
      </c>
      <c r="F2458" t="s">
        <v>4956</v>
      </c>
    </row>
    <row r="2459" spans="1:6" x14ac:dyDescent="0.25">
      <c r="A2459" t="s">
        <v>1397</v>
      </c>
      <c r="B2459">
        <v>55</v>
      </c>
      <c r="C2459" t="s">
        <v>4681</v>
      </c>
      <c r="D2459" t="s">
        <v>4939</v>
      </c>
      <c r="E2459" t="s">
        <v>4905</v>
      </c>
      <c r="F2459" t="s">
        <v>4638</v>
      </c>
    </row>
    <row r="2460" spans="1:6" x14ac:dyDescent="0.25">
      <c r="A2460" t="s">
        <v>1296</v>
      </c>
      <c r="B2460">
        <v>138</v>
      </c>
      <c r="C2460" t="s">
        <v>4756</v>
      </c>
      <c r="D2460" t="s">
        <v>4496</v>
      </c>
      <c r="E2460" t="s">
        <v>4410</v>
      </c>
      <c r="F2460" t="s">
        <v>4476</v>
      </c>
    </row>
    <row r="2462" spans="1:6" x14ac:dyDescent="0.25">
      <c r="A2462" t="s">
        <v>6458</v>
      </c>
    </row>
    <row r="2463" spans="1:6" x14ac:dyDescent="0.25">
      <c r="A2463" t="s">
        <v>992</v>
      </c>
      <c r="B2463" t="s">
        <v>4394</v>
      </c>
      <c r="C2463" t="s">
        <v>4732</v>
      </c>
      <c r="D2463" t="s">
        <v>109</v>
      </c>
      <c r="E2463" t="s">
        <v>4737</v>
      </c>
      <c r="F2463" t="s">
        <v>192</v>
      </c>
    </row>
    <row r="2464" spans="1:6" x14ac:dyDescent="0.25">
      <c r="A2464" t="s">
        <v>4844</v>
      </c>
      <c r="B2464">
        <v>21</v>
      </c>
      <c r="C2464" t="s">
        <v>4675</v>
      </c>
      <c r="D2464" t="s">
        <v>4585</v>
      </c>
      <c r="E2464" t="s">
        <v>4406</v>
      </c>
      <c r="F2464" t="s">
        <v>4447</v>
      </c>
    </row>
    <row r="2465" spans="1:6" x14ac:dyDescent="0.25">
      <c r="A2465" t="s">
        <v>4845</v>
      </c>
      <c r="B2465">
        <v>108</v>
      </c>
      <c r="C2465" t="s">
        <v>4954</v>
      </c>
      <c r="D2465" t="s">
        <v>5102</v>
      </c>
      <c r="E2465" t="s">
        <v>4902</v>
      </c>
      <c r="F2465" t="s">
        <v>5219</v>
      </c>
    </row>
    <row r="2466" spans="1:6" x14ac:dyDescent="0.25">
      <c r="A2466" t="s">
        <v>4846</v>
      </c>
      <c r="B2466">
        <v>9</v>
      </c>
      <c r="C2466" t="s">
        <v>4731</v>
      </c>
      <c r="D2466" t="s">
        <v>4727</v>
      </c>
      <c r="E2466" t="s">
        <v>4406</v>
      </c>
      <c r="F2466" t="s">
        <v>4731</v>
      </c>
    </row>
    <row r="2467" spans="1:6" x14ac:dyDescent="0.25">
      <c r="A2467" t="s">
        <v>1296</v>
      </c>
      <c r="B2467">
        <v>138</v>
      </c>
      <c r="C2467" t="s">
        <v>4756</v>
      </c>
      <c r="D2467" t="s">
        <v>4496</v>
      </c>
      <c r="E2467" t="s">
        <v>4410</v>
      </c>
      <c r="F2467" t="s">
        <v>4476</v>
      </c>
    </row>
    <row r="2469" spans="1:6" x14ac:dyDescent="0.25">
      <c r="A2469" t="s">
        <v>6459</v>
      </c>
    </row>
    <row r="2470" spans="1:6" x14ac:dyDescent="0.25">
      <c r="A2470" t="s">
        <v>995</v>
      </c>
      <c r="B2470" t="s">
        <v>4394</v>
      </c>
      <c r="C2470" t="s">
        <v>4732</v>
      </c>
      <c r="D2470" t="s">
        <v>109</v>
      </c>
      <c r="E2470" t="s">
        <v>4737</v>
      </c>
      <c r="F2470" t="s">
        <v>192</v>
      </c>
    </row>
    <row r="2471" spans="1:6" x14ac:dyDescent="0.25">
      <c r="A2471" t="s">
        <v>1338</v>
      </c>
      <c r="B2471">
        <v>43</v>
      </c>
      <c r="C2471">
        <v>1</v>
      </c>
      <c r="D2471">
        <v>21</v>
      </c>
      <c r="E2471">
        <v>0</v>
      </c>
      <c r="F2471">
        <v>21</v>
      </c>
    </row>
    <row r="2472" spans="1:6" x14ac:dyDescent="0.25">
      <c r="A2472" t="s">
        <v>1370</v>
      </c>
      <c r="B2472">
        <v>10</v>
      </c>
      <c r="C2472">
        <v>0</v>
      </c>
      <c r="D2472">
        <v>7</v>
      </c>
      <c r="E2472">
        <v>0</v>
      </c>
      <c r="F2472">
        <v>3</v>
      </c>
    </row>
    <row r="2473" spans="1:6" x14ac:dyDescent="0.25">
      <c r="A2473" t="s">
        <v>1439</v>
      </c>
      <c r="B2473">
        <v>7</v>
      </c>
      <c r="C2473">
        <v>0</v>
      </c>
      <c r="D2473">
        <v>6</v>
      </c>
      <c r="E2473">
        <v>0</v>
      </c>
      <c r="F2473">
        <v>1</v>
      </c>
    </row>
    <row r="2474" spans="1:6" x14ac:dyDescent="0.25">
      <c r="A2474" t="s">
        <v>1476</v>
      </c>
      <c r="B2474">
        <v>5</v>
      </c>
      <c r="C2474">
        <v>2</v>
      </c>
      <c r="D2474">
        <v>2</v>
      </c>
      <c r="E2474">
        <v>1</v>
      </c>
      <c r="F2474">
        <v>0</v>
      </c>
    </row>
    <row r="2475" spans="1:6" x14ac:dyDescent="0.25">
      <c r="A2475" t="s">
        <v>5476</v>
      </c>
      <c r="B2475">
        <v>2</v>
      </c>
      <c r="C2475">
        <v>0</v>
      </c>
      <c r="D2475">
        <v>2</v>
      </c>
      <c r="E2475">
        <v>0</v>
      </c>
      <c r="F2475">
        <v>0</v>
      </c>
    </row>
    <row r="2476" spans="1:6" x14ac:dyDescent="0.25">
      <c r="A2476" t="s">
        <v>1399</v>
      </c>
      <c r="B2476">
        <v>23</v>
      </c>
      <c r="C2476">
        <v>1</v>
      </c>
      <c r="D2476">
        <v>11</v>
      </c>
      <c r="E2476">
        <v>0</v>
      </c>
      <c r="F2476">
        <v>11</v>
      </c>
    </row>
    <row r="2477" spans="1:6" x14ac:dyDescent="0.25">
      <c r="A2477" t="s">
        <v>1415</v>
      </c>
      <c r="B2477">
        <v>48</v>
      </c>
      <c r="C2477">
        <v>4</v>
      </c>
      <c r="D2477">
        <v>18</v>
      </c>
      <c r="E2477">
        <v>0</v>
      </c>
      <c r="F2477">
        <v>26</v>
      </c>
    </row>
    <row r="2478" spans="1:6" x14ac:dyDescent="0.25">
      <c r="A2478" t="s">
        <v>1296</v>
      </c>
      <c r="B2478">
        <v>138</v>
      </c>
      <c r="C2478">
        <v>8</v>
      </c>
      <c r="D2478">
        <v>67</v>
      </c>
      <c r="E2478">
        <v>1</v>
      </c>
      <c r="F2478">
        <v>62</v>
      </c>
    </row>
    <row r="2480" spans="1:6" x14ac:dyDescent="0.25">
      <c r="A2480" t="s">
        <v>6460</v>
      </c>
    </row>
    <row r="2481" spans="1:6" x14ac:dyDescent="0.25">
      <c r="A2481" t="s">
        <v>998</v>
      </c>
      <c r="B2481" t="s">
        <v>4394</v>
      </c>
      <c r="C2481" t="s">
        <v>4732</v>
      </c>
      <c r="D2481" t="s">
        <v>109</v>
      </c>
      <c r="E2481" t="s">
        <v>4737</v>
      </c>
      <c r="F2481" t="s">
        <v>192</v>
      </c>
    </row>
    <row r="2482" spans="1:6" x14ac:dyDescent="0.25">
      <c r="A2482" t="s">
        <v>109</v>
      </c>
      <c r="B2482">
        <v>125</v>
      </c>
      <c r="C2482" t="s">
        <v>4571</v>
      </c>
      <c r="D2482" t="s">
        <v>5199</v>
      </c>
      <c r="E2482" t="s">
        <v>4417</v>
      </c>
      <c r="F2482" t="s">
        <v>5219</v>
      </c>
    </row>
    <row r="2483" spans="1:6" x14ac:dyDescent="0.25">
      <c r="A2483" t="s">
        <v>192</v>
      </c>
      <c r="B2483">
        <v>13</v>
      </c>
      <c r="C2483" t="s">
        <v>4705</v>
      </c>
      <c r="D2483" t="s">
        <v>5419</v>
      </c>
      <c r="E2483" t="s">
        <v>4406</v>
      </c>
      <c r="F2483" t="s">
        <v>4566</v>
      </c>
    </row>
    <row r="2484" spans="1:6" x14ac:dyDescent="0.25">
      <c r="A2484" t="s">
        <v>1296</v>
      </c>
      <c r="B2484">
        <v>138</v>
      </c>
      <c r="C2484" t="s">
        <v>4756</v>
      </c>
      <c r="D2484" t="s">
        <v>4496</v>
      </c>
      <c r="E2484" t="s">
        <v>4410</v>
      </c>
      <c r="F2484" t="s">
        <v>4476</v>
      </c>
    </row>
    <row r="2486" spans="1:6" x14ac:dyDescent="0.25">
      <c r="A2486" t="s">
        <v>6461</v>
      </c>
    </row>
    <row r="2487" spans="1:6" x14ac:dyDescent="0.25">
      <c r="A2487" t="s">
        <v>1006</v>
      </c>
      <c r="B2487" t="s">
        <v>4394</v>
      </c>
      <c r="C2487" t="s">
        <v>4732</v>
      </c>
      <c r="D2487" t="s">
        <v>109</v>
      </c>
      <c r="E2487" t="s">
        <v>4737</v>
      </c>
      <c r="F2487" t="s">
        <v>192</v>
      </c>
    </row>
    <row r="2488" spans="1:6" x14ac:dyDescent="0.25">
      <c r="A2488" t="s">
        <v>1371</v>
      </c>
      <c r="B2488">
        <v>26</v>
      </c>
      <c r="C2488">
        <v>3</v>
      </c>
      <c r="D2488">
        <v>10</v>
      </c>
      <c r="E2488">
        <v>0</v>
      </c>
      <c r="F2488">
        <v>13</v>
      </c>
    </row>
    <row r="2489" spans="1:6" x14ac:dyDescent="0.25">
      <c r="A2489" t="s">
        <v>1452</v>
      </c>
      <c r="B2489">
        <v>17</v>
      </c>
      <c r="C2489">
        <v>0</v>
      </c>
      <c r="D2489">
        <v>7</v>
      </c>
      <c r="E2489">
        <v>0</v>
      </c>
      <c r="F2489">
        <v>10</v>
      </c>
    </row>
    <row r="2490" spans="1:6" x14ac:dyDescent="0.25">
      <c r="A2490" t="s">
        <v>5560</v>
      </c>
      <c r="B2490">
        <v>14</v>
      </c>
      <c r="C2490">
        <v>2</v>
      </c>
      <c r="D2490">
        <v>9</v>
      </c>
      <c r="E2490">
        <v>0</v>
      </c>
      <c r="F2490">
        <v>3</v>
      </c>
    </row>
    <row r="2491" spans="1:6" x14ac:dyDescent="0.25">
      <c r="A2491" t="s">
        <v>1424</v>
      </c>
      <c r="B2491">
        <v>30</v>
      </c>
      <c r="C2491">
        <v>1</v>
      </c>
      <c r="D2491">
        <v>15</v>
      </c>
      <c r="E2491">
        <v>1</v>
      </c>
      <c r="F2491">
        <v>13</v>
      </c>
    </row>
    <row r="2492" spans="1:6" x14ac:dyDescent="0.25">
      <c r="A2492" t="s">
        <v>1340</v>
      </c>
      <c r="B2492">
        <v>21</v>
      </c>
      <c r="C2492">
        <v>1</v>
      </c>
      <c r="D2492">
        <v>10</v>
      </c>
      <c r="E2492">
        <v>0</v>
      </c>
      <c r="F2492">
        <v>10</v>
      </c>
    </row>
    <row r="2493" spans="1:6" x14ac:dyDescent="0.25">
      <c r="A2493" t="s">
        <v>5561</v>
      </c>
      <c r="B2493">
        <v>6</v>
      </c>
      <c r="C2493">
        <v>1</v>
      </c>
      <c r="D2493">
        <v>4</v>
      </c>
      <c r="E2493">
        <v>0</v>
      </c>
      <c r="F2493">
        <v>1</v>
      </c>
    </row>
    <row r="2494" spans="1:6" x14ac:dyDescent="0.25">
      <c r="A2494" t="s">
        <v>1416</v>
      </c>
      <c r="B2494">
        <v>24</v>
      </c>
      <c r="C2494">
        <v>0</v>
      </c>
      <c r="D2494">
        <v>12</v>
      </c>
      <c r="E2494">
        <v>0</v>
      </c>
      <c r="F2494">
        <v>12</v>
      </c>
    </row>
    <row r="2495" spans="1:6" x14ac:dyDescent="0.25">
      <c r="A2495" t="s">
        <v>1296</v>
      </c>
      <c r="B2495">
        <v>138</v>
      </c>
      <c r="C2495">
        <v>8</v>
      </c>
      <c r="D2495">
        <v>67</v>
      </c>
      <c r="E2495">
        <v>1</v>
      </c>
      <c r="F2495">
        <v>62</v>
      </c>
    </row>
    <row r="2497" spans="1:6" x14ac:dyDescent="0.25">
      <c r="A2497" t="s">
        <v>6462</v>
      </c>
    </row>
    <row r="2498" spans="1:6" x14ac:dyDescent="0.25">
      <c r="A2498" t="s">
        <v>2723</v>
      </c>
      <c r="B2498" t="s">
        <v>4394</v>
      </c>
      <c r="C2498" t="s">
        <v>4732</v>
      </c>
      <c r="D2498" t="s">
        <v>109</v>
      </c>
      <c r="E2498" t="s">
        <v>4737</v>
      </c>
      <c r="F2498" t="s">
        <v>192</v>
      </c>
    </row>
    <row r="2499" spans="1:6" x14ac:dyDescent="0.25">
      <c r="A2499" t="s">
        <v>4433</v>
      </c>
      <c r="B2499">
        <v>6</v>
      </c>
      <c r="C2499" t="s">
        <v>4406</v>
      </c>
      <c r="D2499" t="s">
        <v>4468</v>
      </c>
      <c r="E2499" t="s">
        <v>4406</v>
      </c>
      <c r="F2499" t="s">
        <v>4468</v>
      </c>
    </row>
    <row r="2500" spans="1:6" x14ac:dyDescent="0.25">
      <c r="A2500" t="s">
        <v>4434</v>
      </c>
      <c r="B2500">
        <v>57</v>
      </c>
      <c r="C2500" t="s">
        <v>4757</v>
      </c>
      <c r="D2500" t="s">
        <v>5329</v>
      </c>
      <c r="E2500" t="s">
        <v>4406</v>
      </c>
      <c r="F2500" t="s">
        <v>4855</v>
      </c>
    </row>
    <row r="2501" spans="1:6" x14ac:dyDescent="0.25">
      <c r="A2501" t="s">
        <v>4435</v>
      </c>
      <c r="B2501">
        <v>47</v>
      </c>
      <c r="C2501" t="s">
        <v>4423</v>
      </c>
      <c r="D2501" t="s">
        <v>4639</v>
      </c>
      <c r="E2501" t="s">
        <v>4673</v>
      </c>
      <c r="F2501" t="s">
        <v>4855</v>
      </c>
    </row>
    <row r="2502" spans="1:6" x14ac:dyDescent="0.25">
      <c r="A2502" t="s">
        <v>4436</v>
      </c>
      <c r="B2502">
        <v>28</v>
      </c>
      <c r="C2502" t="s">
        <v>5076</v>
      </c>
      <c r="D2502" t="s">
        <v>4449</v>
      </c>
      <c r="E2502" t="s">
        <v>4406</v>
      </c>
      <c r="F2502" t="s">
        <v>4779</v>
      </c>
    </row>
    <row r="2503" spans="1:6" x14ac:dyDescent="0.25">
      <c r="A2503" t="s">
        <v>1296</v>
      </c>
      <c r="B2503">
        <v>138</v>
      </c>
      <c r="C2503" t="s">
        <v>4756</v>
      </c>
      <c r="D2503" t="s">
        <v>4496</v>
      </c>
      <c r="E2503" t="s">
        <v>4410</v>
      </c>
      <c r="F2503" t="s">
        <v>4476</v>
      </c>
    </row>
    <row r="2505" spans="1:6" x14ac:dyDescent="0.25">
      <c r="A2505" t="s">
        <v>6463</v>
      </c>
    </row>
    <row r="2506" spans="1:6" x14ac:dyDescent="0.25">
      <c r="A2506" t="s">
        <v>5521</v>
      </c>
      <c r="B2506" t="s">
        <v>4394</v>
      </c>
      <c r="C2506" t="s">
        <v>4732</v>
      </c>
      <c r="D2506" t="s">
        <v>109</v>
      </c>
      <c r="E2506" t="s">
        <v>4737</v>
      </c>
      <c r="F2506" t="s">
        <v>192</v>
      </c>
    </row>
    <row r="2507" spans="1:6" x14ac:dyDescent="0.25">
      <c r="A2507" t="s">
        <v>4438</v>
      </c>
      <c r="B2507">
        <v>53</v>
      </c>
      <c r="C2507" t="s">
        <v>4654</v>
      </c>
      <c r="D2507" t="s">
        <v>5330</v>
      </c>
      <c r="E2507" t="s">
        <v>4952</v>
      </c>
      <c r="F2507" t="s">
        <v>5105</v>
      </c>
    </row>
    <row r="2508" spans="1:6" x14ac:dyDescent="0.25">
      <c r="A2508" t="s">
        <v>4439</v>
      </c>
      <c r="B2508">
        <v>29</v>
      </c>
      <c r="C2508" t="s">
        <v>4470</v>
      </c>
      <c r="D2508" t="s">
        <v>4441</v>
      </c>
      <c r="E2508" t="s">
        <v>4406</v>
      </c>
      <c r="F2508" t="s">
        <v>5152</v>
      </c>
    </row>
    <row r="2509" spans="1:6" x14ac:dyDescent="0.25">
      <c r="A2509" t="s">
        <v>1400</v>
      </c>
      <c r="B2509">
        <v>4</v>
      </c>
      <c r="C2509" t="s">
        <v>4406</v>
      </c>
      <c r="D2509" t="s">
        <v>4454</v>
      </c>
      <c r="E2509" t="s">
        <v>4406</v>
      </c>
      <c r="F2509" t="s">
        <v>4406</v>
      </c>
    </row>
    <row r="2510" spans="1:6" x14ac:dyDescent="0.25">
      <c r="A2510" t="s">
        <v>1340</v>
      </c>
      <c r="B2510">
        <v>23</v>
      </c>
      <c r="C2510" t="s">
        <v>4667</v>
      </c>
      <c r="D2510" t="s">
        <v>4748</v>
      </c>
      <c r="E2510" t="s">
        <v>4406</v>
      </c>
      <c r="F2510" t="s">
        <v>4748</v>
      </c>
    </row>
    <row r="2511" spans="1:6" x14ac:dyDescent="0.25">
      <c r="A2511" t="s">
        <v>1426</v>
      </c>
      <c r="B2511">
        <v>1</v>
      </c>
      <c r="C2511" t="s">
        <v>4406</v>
      </c>
      <c r="D2511" t="s">
        <v>4454</v>
      </c>
      <c r="E2511" t="s">
        <v>4406</v>
      </c>
      <c r="F2511" t="s">
        <v>4406</v>
      </c>
    </row>
    <row r="2512" spans="1:6" x14ac:dyDescent="0.25">
      <c r="A2512" t="s">
        <v>1372</v>
      </c>
      <c r="B2512">
        <v>28</v>
      </c>
      <c r="C2512" t="s">
        <v>4406</v>
      </c>
      <c r="D2512" t="s">
        <v>4778</v>
      </c>
      <c r="E2512" t="s">
        <v>4406</v>
      </c>
      <c r="F2512" t="s">
        <v>4447</v>
      </c>
    </row>
    <row r="2513" spans="1:6" x14ac:dyDescent="0.25">
      <c r="A2513" t="s">
        <v>1296</v>
      </c>
      <c r="B2513">
        <v>138</v>
      </c>
      <c r="C2513" t="s">
        <v>4756</v>
      </c>
      <c r="D2513" t="s">
        <v>4496</v>
      </c>
      <c r="E2513" t="s">
        <v>4410</v>
      </c>
      <c r="F2513" t="s">
        <v>4476</v>
      </c>
    </row>
    <row r="2515" spans="1:6" x14ac:dyDescent="0.25">
      <c r="A2515" t="s">
        <v>6464</v>
      </c>
    </row>
    <row r="2516" spans="1:6" x14ac:dyDescent="0.25">
      <c r="A2516" t="s">
        <v>5518</v>
      </c>
      <c r="B2516" t="s">
        <v>4394</v>
      </c>
      <c r="C2516" t="s">
        <v>4732</v>
      </c>
      <c r="D2516" t="s">
        <v>109</v>
      </c>
      <c r="E2516" t="s">
        <v>4737</v>
      </c>
      <c r="F2516" t="s">
        <v>192</v>
      </c>
    </row>
    <row r="2517" spans="1:6" x14ac:dyDescent="0.25">
      <c r="A2517" t="s">
        <v>4438</v>
      </c>
      <c r="B2517">
        <v>60</v>
      </c>
      <c r="C2517" t="s">
        <v>4651</v>
      </c>
      <c r="D2517" t="s">
        <v>4594</v>
      </c>
      <c r="E2517" t="s">
        <v>4419</v>
      </c>
      <c r="F2517" t="s">
        <v>4468</v>
      </c>
    </row>
    <row r="2518" spans="1:6" x14ac:dyDescent="0.25">
      <c r="A2518" t="s">
        <v>4439</v>
      </c>
      <c r="B2518">
        <v>26</v>
      </c>
      <c r="C2518" t="s">
        <v>4632</v>
      </c>
      <c r="D2518" t="s">
        <v>5354</v>
      </c>
      <c r="E2518" t="s">
        <v>4406</v>
      </c>
      <c r="F2518" t="s">
        <v>4565</v>
      </c>
    </row>
    <row r="2519" spans="1:6" x14ac:dyDescent="0.25">
      <c r="A2519" t="s">
        <v>1400</v>
      </c>
      <c r="B2519">
        <v>6</v>
      </c>
      <c r="C2519" t="s">
        <v>4406</v>
      </c>
      <c r="D2519" t="s">
        <v>4469</v>
      </c>
      <c r="E2519" t="s">
        <v>4406</v>
      </c>
      <c r="F2519" t="s">
        <v>4465</v>
      </c>
    </row>
    <row r="2520" spans="1:6" x14ac:dyDescent="0.25">
      <c r="A2520" t="s">
        <v>1340</v>
      </c>
      <c r="B2520">
        <v>23</v>
      </c>
      <c r="C2520" t="s">
        <v>4667</v>
      </c>
      <c r="D2520" t="s">
        <v>4748</v>
      </c>
      <c r="E2520" t="s">
        <v>4406</v>
      </c>
      <c r="F2520" t="s">
        <v>4748</v>
      </c>
    </row>
    <row r="2521" spans="1:6" x14ac:dyDescent="0.25">
      <c r="A2521" t="s">
        <v>1372</v>
      </c>
      <c r="B2521">
        <v>23</v>
      </c>
      <c r="C2521" t="s">
        <v>4684</v>
      </c>
      <c r="D2521" t="s">
        <v>5139</v>
      </c>
      <c r="E2521" t="s">
        <v>4406</v>
      </c>
      <c r="F2521" t="s">
        <v>4682</v>
      </c>
    </row>
    <row r="2522" spans="1:6" x14ac:dyDescent="0.25">
      <c r="A2522" t="s">
        <v>1296</v>
      </c>
      <c r="B2522">
        <v>138</v>
      </c>
      <c r="C2522" t="s">
        <v>4756</v>
      </c>
      <c r="D2522" t="s">
        <v>4496</v>
      </c>
      <c r="E2522" t="s">
        <v>4410</v>
      </c>
      <c r="F2522" t="s">
        <v>4476</v>
      </c>
    </row>
    <row r="2524" spans="1:6" x14ac:dyDescent="0.25">
      <c r="A2524" t="s">
        <v>6465</v>
      </c>
    </row>
    <row r="2525" spans="1:6" x14ac:dyDescent="0.25">
      <c r="A2525" t="s">
        <v>1009</v>
      </c>
      <c r="B2525" t="s">
        <v>4394</v>
      </c>
      <c r="C2525" t="s">
        <v>4732</v>
      </c>
      <c r="D2525" t="s">
        <v>109</v>
      </c>
      <c r="E2525" t="s">
        <v>4737</v>
      </c>
      <c r="F2525" t="s">
        <v>192</v>
      </c>
    </row>
    <row r="2526" spans="1:6" x14ac:dyDescent="0.25">
      <c r="A2526" t="s">
        <v>4438</v>
      </c>
      <c r="B2526">
        <v>42</v>
      </c>
      <c r="C2526" t="s">
        <v>4675</v>
      </c>
      <c r="D2526" t="s">
        <v>4447</v>
      </c>
      <c r="E2526" t="s">
        <v>4424</v>
      </c>
      <c r="F2526" t="s">
        <v>5103</v>
      </c>
    </row>
    <row r="2527" spans="1:6" x14ac:dyDescent="0.25">
      <c r="A2527" t="s">
        <v>4439</v>
      </c>
      <c r="B2527">
        <v>19</v>
      </c>
      <c r="C2527" t="s">
        <v>4640</v>
      </c>
      <c r="D2527" t="s">
        <v>4796</v>
      </c>
      <c r="E2527" t="s">
        <v>4406</v>
      </c>
      <c r="F2527" t="s">
        <v>4490</v>
      </c>
    </row>
    <row r="2528" spans="1:6" x14ac:dyDescent="0.25">
      <c r="A2528" t="s">
        <v>1400</v>
      </c>
      <c r="B2528">
        <v>4</v>
      </c>
      <c r="C2528" t="s">
        <v>4462</v>
      </c>
      <c r="D2528" t="s">
        <v>4462</v>
      </c>
      <c r="E2528" t="s">
        <v>4406</v>
      </c>
      <c r="F2528" t="s">
        <v>4468</v>
      </c>
    </row>
    <row r="2529" spans="1:6" x14ac:dyDescent="0.25">
      <c r="A2529" t="s">
        <v>1340</v>
      </c>
      <c r="B2529">
        <v>21</v>
      </c>
      <c r="C2529" t="s">
        <v>4749</v>
      </c>
      <c r="D2529" t="s">
        <v>4585</v>
      </c>
      <c r="E2529" t="s">
        <v>4406</v>
      </c>
      <c r="F2529" t="s">
        <v>4585</v>
      </c>
    </row>
    <row r="2530" spans="1:6" x14ac:dyDescent="0.25">
      <c r="A2530" t="s">
        <v>1426</v>
      </c>
      <c r="B2530">
        <v>9</v>
      </c>
      <c r="C2530" t="s">
        <v>4676</v>
      </c>
      <c r="D2530" t="s">
        <v>4727</v>
      </c>
      <c r="E2530" t="s">
        <v>4406</v>
      </c>
      <c r="F2530" t="s">
        <v>4465</v>
      </c>
    </row>
    <row r="2531" spans="1:6" x14ac:dyDescent="0.25">
      <c r="A2531" t="s">
        <v>1372</v>
      </c>
      <c r="B2531">
        <v>43</v>
      </c>
      <c r="C2531" t="s">
        <v>4406</v>
      </c>
      <c r="D2531" t="s">
        <v>4502</v>
      </c>
      <c r="E2531" t="s">
        <v>4406</v>
      </c>
      <c r="F2531" t="s">
        <v>5210</v>
      </c>
    </row>
    <row r="2532" spans="1:6" x14ac:dyDescent="0.25">
      <c r="A2532" t="s">
        <v>1296</v>
      </c>
      <c r="B2532">
        <v>138</v>
      </c>
      <c r="C2532" t="s">
        <v>4756</v>
      </c>
      <c r="D2532" t="s">
        <v>4496</v>
      </c>
      <c r="E2532" t="s">
        <v>4410</v>
      </c>
      <c r="F2532" t="s">
        <v>4476</v>
      </c>
    </row>
    <row r="2534" spans="1:6" x14ac:dyDescent="0.25">
      <c r="A2534" t="s">
        <v>6466</v>
      </c>
    </row>
    <row r="2535" spans="1:6" x14ac:dyDescent="0.25">
      <c r="A2535" t="s">
        <v>1011</v>
      </c>
      <c r="B2535" t="s">
        <v>4394</v>
      </c>
      <c r="C2535" t="s">
        <v>4732</v>
      </c>
      <c r="D2535" t="s">
        <v>109</v>
      </c>
      <c r="E2535" t="s">
        <v>4737</v>
      </c>
      <c r="F2535" t="s">
        <v>192</v>
      </c>
    </row>
    <row r="2536" spans="1:6" x14ac:dyDescent="0.25">
      <c r="A2536" t="s">
        <v>4438</v>
      </c>
      <c r="B2536">
        <v>54</v>
      </c>
      <c r="C2536" t="s">
        <v>4954</v>
      </c>
      <c r="D2536" t="s">
        <v>5101</v>
      </c>
      <c r="E2536" t="s">
        <v>4406</v>
      </c>
      <c r="F2536" t="s">
        <v>4572</v>
      </c>
    </row>
    <row r="2537" spans="1:6" x14ac:dyDescent="0.25">
      <c r="A2537" t="s">
        <v>4439</v>
      </c>
      <c r="B2537">
        <v>23</v>
      </c>
      <c r="C2537" t="s">
        <v>4684</v>
      </c>
      <c r="D2537" t="s">
        <v>4748</v>
      </c>
      <c r="E2537" t="s">
        <v>4667</v>
      </c>
      <c r="F2537" t="s">
        <v>4712</v>
      </c>
    </row>
    <row r="2538" spans="1:6" x14ac:dyDescent="0.25">
      <c r="A2538" t="s">
        <v>1400</v>
      </c>
      <c r="B2538">
        <v>2</v>
      </c>
      <c r="C2538" t="s">
        <v>4468</v>
      </c>
      <c r="D2538" t="s">
        <v>4406</v>
      </c>
      <c r="E2538" t="s">
        <v>4406</v>
      </c>
      <c r="F2538" t="s">
        <v>4468</v>
      </c>
    </row>
    <row r="2539" spans="1:6" x14ac:dyDescent="0.25">
      <c r="A2539" t="s">
        <v>1340</v>
      </c>
      <c r="B2539">
        <v>21</v>
      </c>
      <c r="C2539" t="s">
        <v>4749</v>
      </c>
      <c r="D2539" t="s">
        <v>4585</v>
      </c>
      <c r="E2539" t="s">
        <v>4406</v>
      </c>
      <c r="F2539" t="s">
        <v>4585</v>
      </c>
    </row>
    <row r="2540" spans="1:6" x14ac:dyDescent="0.25">
      <c r="A2540" t="s">
        <v>1426</v>
      </c>
      <c r="B2540">
        <v>6</v>
      </c>
      <c r="C2540" t="s">
        <v>4406</v>
      </c>
      <c r="D2540" t="s">
        <v>4469</v>
      </c>
      <c r="E2540" t="s">
        <v>4406</v>
      </c>
      <c r="F2540" t="s">
        <v>4465</v>
      </c>
    </row>
    <row r="2541" spans="1:6" x14ac:dyDescent="0.25">
      <c r="A2541" t="s">
        <v>1372</v>
      </c>
      <c r="B2541">
        <v>32</v>
      </c>
      <c r="C2541" t="s">
        <v>4873</v>
      </c>
      <c r="D2541" t="s">
        <v>4542</v>
      </c>
      <c r="E2541" t="s">
        <v>4406</v>
      </c>
      <c r="F2541" t="s">
        <v>4477</v>
      </c>
    </row>
    <row r="2542" spans="1:6" x14ac:dyDescent="0.25">
      <c r="A2542" t="s">
        <v>1296</v>
      </c>
      <c r="B2542">
        <v>138</v>
      </c>
      <c r="C2542" t="s">
        <v>4756</v>
      </c>
      <c r="D2542" t="s">
        <v>4496</v>
      </c>
      <c r="E2542" t="s">
        <v>4410</v>
      </c>
      <c r="F2542" t="s">
        <v>4476</v>
      </c>
    </row>
    <row r="2544" spans="1:6" x14ac:dyDescent="0.25">
      <c r="A2544" t="s">
        <v>6467</v>
      </c>
    </row>
    <row r="2545" spans="1:15" x14ac:dyDescent="0.25">
      <c r="A2545" t="s">
        <v>903</v>
      </c>
      <c r="B2545" t="s">
        <v>4394</v>
      </c>
      <c r="C2545" t="s">
        <v>4732</v>
      </c>
      <c r="D2545" t="s">
        <v>109</v>
      </c>
      <c r="E2545" t="s">
        <v>4737</v>
      </c>
      <c r="F2545" t="s">
        <v>192</v>
      </c>
    </row>
    <row r="2546" spans="1:15" x14ac:dyDescent="0.25">
      <c r="A2546" t="s">
        <v>70</v>
      </c>
      <c r="B2546">
        <v>37</v>
      </c>
      <c r="C2546" t="s">
        <v>4406</v>
      </c>
      <c r="D2546" t="s">
        <v>4496</v>
      </c>
      <c r="E2546" t="s">
        <v>4406</v>
      </c>
      <c r="F2546" t="s">
        <v>5225</v>
      </c>
    </row>
    <row r="2547" spans="1:15" x14ac:dyDescent="0.25">
      <c r="A2547" t="s">
        <v>71</v>
      </c>
      <c r="B2547">
        <v>101</v>
      </c>
      <c r="C2547" t="s">
        <v>4714</v>
      </c>
      <c r="D2547" t="s">
        <v>4560</v>
      </c>
      <c r="E2547" t="s">
        <v>4402</v>
      </c>
      <c r="F2547" t="s">
        <v>5101</v>
      </c>
    </row>
    <row r="2548" spans="1:15" x14ac:dyDescent="0.25">
      <c r="A2548" t="s">
        <v>1296</v>
      </c>
      <c r="B2548">
        <v>138</v>
      </c>
      <c r="C2548" t="s">
        <v>4756</v>
      </c>
      <c r="D2548" t="s">
        <v>4496</v>
      </c>
      <c r="E2548" t="s">
        <v>4410</v>
      </c>
      <c r="F2548" t="s">
        <v>4476</v>
      </c>
    </row>
    <row r="2550" spans="1:15" x14ac:dyDescent="0.25">
      <c r="A2550" t="s">
        <v>6468</v>
      </c>
    </row>
    <row r="2551" spans="1:15" x14ac:dyDescent="0.25">
      <c r="A2551" t="s">
        <v>2842</v>
      </c>
      <c r="B2551" t="s">
        <v>4394</v>
      </c>
      <c r="C2551" t="s">
        <v>5288</v>
      </c>
      <c r="D2551" t="s">
        <v>4732</v>
      </c>
      <c r="E2551" t="s">
        <v>5289</v>
      </c>
      <c r="F2551" t="s">
        <v>5290</v>
      </c>
      <c r="G2551" t="s">
        <v>5291</v>
      </c>
      <c r="H2551" t="s">
        <v>5292</v>
      </c>
      <c r="I2551" t="s">
        <v>4736</v>
      </c>
      <c r="J2551" t="s">
        <v>4737</v>
      </c>
      <c r="K2551" t="s">
        <v>5293</v>
      </c>
      <c r="L2551" t="s">
        <v>5294</v>
      </c>
      <c r="M2551" t="s">
        <v>5295</v>
      </c>
      <c r="N2551" t="s">
        <v>5296</v>
      </c>
      <c r="O2551" t="s">
        <v>5297</v>
      </c>
    </row>
    <row r="2552" spans="1:15" x14ac:dyDescent="0.25">
      <c r="A2552" t="s">
        <v>5549</v>
      </c>
      <c r="B2552">
        <v>46</v>
      </c>
      <c r="C2552" t="s">
        <v>4581</v>
      </c>
      <c r="D2552" t="s">
        <v>4406</v>
      </c>
      <c r="E2552" t="s">
        <v>4926</v>
      </c>
      <c r="F2552" t="s">
        <v>4682</v>
      </c>
      <c r="G2552" t="s">
        <v>4863</v>
      </c>
      <c r="H2552" t="s">
        <v>4684</v>
      </c>
      <c r="I2552" t="s">
        <v>4581</v>
      </c>
      <c r="J2552" t="s">
        <v>4406</v>
      </c>
      <c r="K2552" t="s">
        <v>4681</v>
      </c>
      <c r="L2552" t="s">
        <v>4913</v>
      </c>
      <c r="M2552" t="s">
        <v>4606</v>
      </c>
      <c r="N2552" t="s">
        <v>4670</v>
      </c>
      <c r="O2552" t="s">
        <v>4684</v>
      </c>
    </row>
    <row r="2553" spans="1:15" x14ac:dyDescent="0.25">
      <c r="A2553" t="s">
        <v>1397</v>
      </c>
      <c r="B2553">
        <v>16</v>
      </c>
      <c r="C2553" t="s">
        <v>4406</v>
      </c>
      <c r="D2553" t="s">
        <v>4406</v>
      </c>
      <c r="E2553" t="s">
        <v>4406</v>
      </c>
      <c r="F2553" t="s">
        <v>4406</v>
      </c>
      <c r="G2553" t="s">
        <v>4479</v>
      </c>
      <c r="H2553" t="s">
        <v>4406</v>
      </c>
      <c r="I2553" t="s">
        <v>4406</v>
      </c>
      <c r="J2553" t="s">
        <v>4406</v>
      </c>
      <c r="K2553" t="s">
        <v>4917</v>
      </c>
      <c r="L2553" t="s">
        <v>4793</v>
      </c>
      <c r="M2553" t="s">
        <v>4479</v>
      </c>
      <c r="N2553" t="s">
        <v>4479</v>
      </c>
      <c r="O2553" t="s">
        <v>4479</v>
      </c>
    </row>
    <row r="2554" spans="1:15" x14ac:dyDescent="0.25">
      <c r="A2554" t="s">
        <v>1296</v>
      </c>
      <c r="B2554">
        <v>62</v>
      </c>
      <c r="C2554" t="s">
        <v>4635</v>
      </c>
      <c r="D2554" t="s">
        <v>4406</v>
      </c>
      <c r="E2554" t="s">
        <v>4858</v>
      </c>
      <c r="F2554" t="s">
        <v>4578</v>
      </c>
      <c r="G2554" t="s">
        <v>4591</v>
      </c>
      <c r="H2554" t="s">
        <v>4670</v>
      </c>
      <c r="I2554" t="s">
        <v>4635</v>
      </c>
      <c r="J2554" t="s">
        <v>4406</v>
      </c>
      <c r="K2554" t="s">
        <v>4564</v>
      </c>
      <c r="L2554" t="s">
        <v>5000</v>
      </c>
      <c r="M2554" t="s">
        <v>4858</v>
      </c>
      <c r="N2554" t="s">
        <v>4883</v>
      </c>
      <c r="O2554" t="s">
        <v>4564</v>
      </c>
    </row>
    <row r="2556" spans="1:15" x14ac:dyDescent="0.25">
      <c r="A2556" t="s">
        <v>6469</v>
      </c>
    </row>
    <row r="2557" spans="1:15" x14ac:dyDescent="0.25">
      <c r="A2557" t="s">
        <v>998</v>
      </c>
      <c r="B2557" t="s">
        <v>4394</v>
      </c>
      <c r="C2557" t="s">
        <v>5288</v>
      </c>
      <c r="D2557" t="s">
        <v>4732</v>
      </c>
      <c r="E2557" t="s">
        <v>5289</v>
      </c>
      <c r="F2557" t="s">
        <v>5290</v>
      </c>
      <c r="G2557" t="s">
        <v>5291</v>
      </c>
      <c r="H2557" t="s">
        <v>5292</v>
      </c>
      <c r="I2557" t="s">
        <v>4736</v>
      </c>
      <c r="J2557" t="s">
        <v>4737</v>
      </c>
      <c r="K2557" t="s">
        <v>5293</v>
      </c>
      <c r="L2557" t="s">
        <v>5294</v>
      </c>
      <c r="M2557" t="s">
        <v>5295</v>
      </c>
      <c r="N2557" t="s">
        <v>5296</v>
      </c>
      <c r="O2557" t="s">
        <v>5297</v>
      </c>
    </row>
    <row r="2558" spans="1:15" x14ac:dyDescent="0.25">
      <c r="A2558" t="s">
        <v>109</v>
      </c>
      <c r="B2558">
        <v>59</v>
      </c>
      <c r="C2558" t="s">
        <v>4419</v>
      </c>
      <c r="D2558" t="s">
        <v>4406</v>
      </c>
      <c r="E2558" t="s">
        <v>4933</v>
      </c>
      <c r="F2558" t="s">
        <v>4503</v>
      </c>
      <c r="G2558" t="s">
        <v>4589</v>
      </c>
      <c r="H2558" t="s">
        <v>4689</v>
      </c>
      <c r="I2558" t="s">
        <v>4419</v>
      </c>
      <c r="J2558" t="s">
        <v>4406</v>
      </c>
      <c r="K2558" t="s">
        <v>4925</v>
      </c>
      <c r="L2558" t="s">
        <v>4540</v>
      </c>
      <c r="M2558" t="s">
        <v>4933</v>
      </c>
      <c r="N2558" t="s">
        <v>4689</v>
      </c>
      <c r="O2558" t="s">
        <v>4414</v>
      </c>
    </row>
    <row r="2559" spans="1:15" x14ac:dyDescent="0.25">
      <c r="A2559" t="s">
        <v>192</v>
      </c>
      <c r="B2559">
        <v>3</v>
      </c>
      <c r="C2559" t="s">
        <v>4406</v>
      </c>
      <c r="D2559" t="s">
        <v>4406</v>
      </c>
      <c r="E2559" t="s">
        <v>4406</v>
      </c>
      <c r="F2559" t="s">
        <v>4465</v>
      </c>
      <c r="G2559" t="s">
        <v>4465</v>
      </c>
      <c r="H2559" t="s">
        <v>4406</v>
      </c>
      <c r="I2559" t="s">
        <v>4406</v>
      </c>
      <c r="J2559" t="s">
        <v>4406</v>
      </c>
      <c r="K2559" t="s">
        <v>4406</v>
      </c>
      <c r="L2559" t="s">
        <v>4469</v>
      </c>
      <c r="M2559" t="s">
        <v>4406</v>
      </c>
      <c r="N2559" t="s">
        <v>4465</v>
      </c>
      <c r="O2559" t="s">
        <v>4465</v>
      </c>
    </row>
    <row r="2560" spans="1:15" x14ac:dyDescent="0.25">
      <c r="A2560" t="s">
        <v>1296</v>
      </c>
      <c r="B2560">
        <v>62</v>
      </c>
      <c r="C2560" t="s">
        <v>4635</v>
      </c>
      <c r="D2560" t="s">
        <v>4406</v>
      </c>
      <c r="E2560" t="s">
        <v>4858</v>
      </c>
      <c r="F2560" t="s">
        <v>4578</v>
      </c>
      <c r="G2560" t="s">
        <v>4591</v>
      </c>
      <c r="H2560" t="s">
        <v>4670</v>
      </c>
      <c r="I2560" t="s">
        <v>4635</v>
      </c>
      <c r="J2560" t="s">
        <v>4406</v>
      </c>
      <c r="K2560" t="s">
        <v>4564</v>
      </c>
      <c r="L2560" t="s">
        <v>5000</v>
      </c>
      <c r="M2560" t="s">
        <v>4858</v>
      </c>
      <c r="N2560" t="s">
        <v>4883</v>
      </c>
      <c r="O2560" t="s">
        <v>4564</v>
      </c>
    </row>
    <row r="2562" spans="1:15" x14ac:dyDescent="0.25">
      <c r="A2562" t="s">
        <v>6470</v>
      </c>
    </row>
    <row r="2563" spans="1:15" x14ac:dyDescent="0.25">
      <c r="A2563" t="s">
        <v>2723</v>
      </c>
      <c r="B2563" t="s">
        <v>4394</v>
      </c>
      <c r="C2563" t="s">
        <v>5288</v>
      </c>
      <c r="D2563" t="s">
        <v>4732</v>
      </c>
      <c r="E2563" t="s">
        <v>5289</v>
      </c>
      <c r="F2563" t="s">
        <v>5290</v>
      </c>
      <c r="G2563" t="s">
        <v>5291</v>
      </c>
      <c r="H2563" t="s">
        <v>5292</v>
      </c>
      <c r="I2563" t="s">
        <v>4736</v>
      </c>
      <c r="J2563" t="s">
        <v>4737</v>
      </c>
      <c r="K2563" t="s">
        <v>5293</v>
      </c>
      <c r="L2563" t="s">
        <v>5294</v>
      </c>
      <c r="M2563" t="s">
        <v>5295</v>
      </c>
      <c r="N2563" t="s">
        <v>5296</v>
      </c>
      <c r="O2563" t="s">
        <v>5297</v>
      </c>
    </row>
    <row r="2564" spans="1:15" x14ac:dyDescent="0.25">
      <c r="A2564" t="s">
        <v>4433</v>
      </c>
      <c r="B2564">
        <v>3</v>
      </c>
      <c r="C2564" t="s">
        <v>4406</v>
      </c>
      <c r="D2564" t="s">
        <v>4406</v>
      </c>
      <c r="E2564" t="s">
        <v>4406</v>
      </c>
      <c r="F2564" t="s">
        <v>4406</v>
      </c>
      <c r="G2564" t="s">
        <v>4406</v>
      </c>
      <c r="H2564" t="s">
        <v>4465</v>
      </c>
      <c r="I2564" t="s">
        <v>4465</v>
      </c>
      <c r="J2564" t="s">
        <v>4406</v>
      </c>
      <c r="K2564" t="s">
        <v>4406</v>
      </c>
      <c r="L2564" t="s">
        <v>4469</v>
      </c>
      <c r="M2564" t="s">
        <v>4465</v>
      </c>
      <c r="N2564" t="s">
        <v>4406</v>
      </c>
      <c r="O2564" t="s">
        <v>4406</v>
      </c>
    </row>
    <row r="2565" spans="1:15" x14ac:dyDescent="0.25">
      <c r="A2565" t="s">
        <v>4434</v>
      </c>
      <c r="B2565">
        <v>23</v>
      </c>
      <c r="C2565" t="s">
        <v>4406</v>
      </c>
      <c r="D2565" t="s">
        <v>4406</v>
      </c>
      <c r="E2565" t="s">
        <v>4684</v>
      </c>
      <c r="F2565" t="s">
        <v>4926</v>
      </c>
      <c r="G2565" t="s">
        <v>4549</v>
      </c>
      <c r="H2565" t="s">
        <v>4684</v>
      </c>
      <c r="I2565" t="s">
        <v>4406</v>
      </c>
      <c r="J2565" t="s">
        <v>4406</v>
      </c>
      <c r="K2565" t="s">
        <v>4684</v>
      </c>
      <c r="L2565" t="s">
        <v>4787</v>
      </c>
      <c r="M2565" t="s">
        <v>4667</v>
      </c>
      <c r="N2565" t="s">
        <v>4667</v>
      </c>
      <c r="O2565" t="s">
        <v>4406</v>
      </c>
    </row>
    <row r="2566" spans="1:15" x14ac:dyDescent="0.25">
      <c r="A2566" t="s">
        <v>4435</v>
      </c>
      <c r="B2566">
        <v>19</v>
      </c>
      <c r="C2566" t="s">
        <v>4640</v>
      </c>
      <c r="D2566" t="s">
        <v>4406</v>
      </c>
      <c r="E2566" t="s">
        <v>4640</v>
      </c>
      <c r="F2566" t="s">
        <v>4867</v>
      </c>
      <c r="G2566" t="s">
        <v>4524</v>
      </c>
      <c r="H2566" t="s">
        <v>4640</v>
      </c>
      <c r="I2566" t="s">
        <v>4406</v>
      </c>
      <c r="J2566" t="s">
        <v>4406</v>
      </c>
      <c r="K2566" t="s">
        <v>4524</v>
      </c>
      <c r="L2566" t="s">
        <v>4407</v>
      </c>
      <c r="M2566" t="s">
        <v>4504</v>
      </c>
      <c r="N2566" t="s">
        <v>4406</v>
      </c>
      <c r="O2566" t="s">
        <v>4406</v>
      </c>
    </row>
    <row r="2567" spans="1:15" x14ac:dyDescent="0.25">
      <c r="A2567" t="s">
        <v>4436</v>
      </c>
      <c r="B2567">
        <v>17</v>
      </c>
      <c r="C2567" t="s">
        <v>4406</v>
      </c>
      <c r="D2567" t="s">
        <v>4406</v>
      </c>
      <c r="E2567" t="s">
        <v>5164</v>
      </c>
      <c r="F2567" t="s">
        <v>4514</v>
      </c>
      <c r="G2567" t="s">
        <v>4699</v>
      </c>
      <c r="H2567" t="s">
        <v>4406</v>
      </c>
      <c r="I2567" t="s">
        <v>4406</v>
      </c>
      <c r="J2567" t="s">
        <v>4406</v>
      </c>
      <c r="K2567" t="s">
        <v>4406</v>
      </c>
      <c r="L2567" t="s">
        <v>4871</v>
      </c>
      <c r="M2567" t="s">
        <v>4514</v>
      </c>
      <c r="N2567" t="s">
        <v>4619</v>
      </c>
      <c r="O2567" t="s">
        <v>4515</v>
      </c>
    </row>
    <row r="2568" spans="1:15" x14ac:dyDescent="0.25">
      <c r="A2568" t="s">
        <v>1296</v>
      </c>
      <c r="B2568">
        <v>62</v>
      </c>
      <c r="C2568" t="s">
        <v>4635</v>
      </c>
      <c r="D2568" t="s">
        <v>4406</v>
      </c>
      <c r="E2568" t="s">
        <v>4858</v>
      </c>
      <c r="F2568" t="s">
        <v>4578</v>
      </c>
      <c r="G2568" t="s">
        <v>4591</v>
      </c>
      <c r="H2568" t="s">
        <v>4670</v>
      </c>
      <c r="I2568" t="s">
        <v>4635</v>
      </c>
      <c r="J2568" t="s">
        <v>4406</v>
      </c>
      <c r="K2568" t="s">
        <v>4564</v>
      </c>
      <c r="L2568" t="s">
        <v>5000</v>
      </c>
      <c r="M2568" t="s">
        <v>4858</v>
      </c>
      <c r="N2568" t="s">
        <v>4883</v>
      </c>
      <c r="O2568" t="s">
        <v>4564</v>
      </c>
    </row>
    <row r="2570" spans="1:15" x14ac:dyDescent="0.25">
      <c r="A2570" t="s">
        <v>6471</v>
      </c>
    </row>
    <row r="2571" spans="1:15" x14ac:dyDescent="0.25">
      <c r="A2571" t="s">
        <v>903</v>
      </c>
      <c r="B2571" t="s">
        <v>4394</v>
      </c>
      <c r="C2571" t="s">
        <v>5288</v>
      </c>
      <c r="D2571" t="s">
        <v>4732</v>
      </c>
      <c r="E2571" t="s">
        <v>5289</v>
      </c>
      <c r="F2571" t="s">
        <v>5290</v>
      </c>
      <c r="G2571" t="s">
        <v>5291</v>
      </c>
      <c r="H2571" t="s">
        <v>5292</v>
      </c>
      <c r="I2571" t="s">
        <v>4736</v>
      </c>
      <c r="J2571" t="s">
        <v>4737</v>
      </c>
      <c r="K2571" t="s">
        <v>5293</v>
      </c>
      <c r="L2571" t="s">
        <v>5294</v>
      </c>
      <c r="M2571" t="s">
        <v>5295</v>
      </c>
      <c r="N2571" t="s">
        <v>5296</v>
      </c>
      <c r="O2571" t="s">
        <v>5297</v>
      </c>
    </row>
    <row r="2572" spans="1:15" x14ac:dyDescent="0.25">
      <c r="A2572" t="s">
        <v>70</v>
      </c>
      <c r="B2572">
        <v>19</v>
      </c>
      <c r="C2572" t="s">
        <v>4406</v>
      </c>
      <c r="D2572" t="s">
        <v>4406</v>
      </c>
      <c r="E2572" t="s">
        <v>4491</v>
      </c>
      <c r="F2572" t="s">
        <v>4490</v>
      </c>
      <c r="G2572" t="s">
        <v>4600</v>
      </c>
      <c r="H2572" t="s">
        <v>4406</v>
      </c>
      <c r="I2572" t="s">
        <v>4406</v>
      </c>
      <c r="J2572" t="s">
        <v>4406</v>
      </c>
      <c r="K2572" t="s">
        <v>4406</v>
      </c>
      <c r="L2572" t="s">
        <v>4601</v>
      </c>
      <c r="M2572" t="s">
        <v>4524</v>
      </c>
      <c r="N2572" t="s">
        <v>4867</v>
      </c>
      <c r="O2572" t="s">
        <v>4504</v>
      </c>
    </row>
    <row r="2573" spans="1:15" x14ac:dyDescent="0.25">
      <c r="A2573" t="s">
        <v>71</v>
      </c>
      <c r="B2573">
        <v>43</v>
      </c>
      <c r="C2573" t="s">
        <v>4753</v>
      </c>
      <c r="D2573" t="s">
        <v>4406</v>
      </c>
      <c r="E2573" t="s">
        <v>4849</v>
      </c>
      <c r="F2573" t="s">
        <v>4516</v>
      </c>
      <c r="G2573" t="s">
        <v>5065</v>
      </c>
      <c r="H2573" t="s">
        <v>4698</v>
      </c>
      <c r="I2573" t="s">
        <v>4753</v>
      </c>
      <c r="J2573" t="s">
        <v>4406</v>
      </c>
      <c r="K2573" t="s">
        <v>4921</v>
      </c>
      <c r="L2573" t="s">
        <v>4605</v>
      </c>
      <c r="M2573" t="s">
        <v>4516</v>
      </c>
      <c r="N2573" t="s">
        <v>4656</v>
      </c>
      <c r="O2573" t="s">
        <v>4753</v>
      </c>
    </row>
    <row r="2574" spans="1:15" x14ac:dyDescent="0.25">
      <c r="A2574" t="s">
        <v>1296</v>
      </c>
      <c r="B2574">
        <v>62</v>
      </c>
      <c r="C2574" t="s">
        <v>4635</v>
      </c>
      <c r="D2574" t="s">
        <v>4406</v>
      </c>
      <c r="E2574" t="s">
        <v>4858</v>
      </c>
      <c r="F2574" t="s">
        <v>4578</v>
      </c>
      <c r="G2574" t="s">
        <v>4591</v>
      </c>
      <c r="H2574" t="s">
        <v>4670</v>
      </c>
      <c r="I2574" t="s">
        <v>4635</v>
      </c>
      <c r="J2574" t="s">
        <v>4406</v>
      </c>
      <c r="K2574" t="s">
        <v>4564</v>
      </c>
      <c r="L2574" t="s">
        <v>5000</v>
      </c>
      <c r="M2574" t="s">
        <v>4858</v>
      </c>
      <c r="N2574" t="s">
        <v>4883</v>
      </c>
      <c r="O2574" t="s">
        <v>4564</v>
      </c>
    </row>
    <row r="2576" spans="1:15" x14ac:dyDescent="0.25">
      <c r="A2576" t="s">
        <v>6472</v>
      </c>
    </row>
    <row r="2577" spans="1:6" x14ac:dyDescent="0.25">
      <c r="A2577" t="s">
        <v>2842</v>
      </c>
      <c r="B2577" t="s">
        <v>4394</v>
      </c>
      <c r="C2577" t="s">
        <v>4621</v>
      </c>
      <c r="D2577" t="s">
        <v>4622</v>
      </c>
      <c r="E2577" t="s">
        <v>4624</v>
      </c>
    </row>
    <row r="2578" spans="1:6" x14ac:dyDescent="0.25">
      <c r="A2578" t="s">
        <v>5549</v>
      </c>
      <c r="B2578">
        <v>3</v>
      </c>
      <c r="C2578">
        <v>1</v>
      </c>
      <c r="D2578">
        <v>1</v>
      </c>
      <c r="E2578">
        <v>1</v>
      </c>
    </row>
    <row r="2579" spans="1:6" x14ac:dyDescent="0.25">
      <c r="A2579" t="s">
        <v>1397</v>
      </c>
      <c r="B2579">
        <v>2</v>
      </c>
      <c r="C2579">
        <v>0</v>
      </c>
      <c r="D2579">
        <v>1</v>
      </c>
      <c r="E2579">
        <v>1</v>
      </c>
    </row>
    <row r="2580" spans="1:6" x14ac:dyDescent="0.25">
      <c r="A2580" t="s">
        <v>1296</v>
      </c>
      <c r="B2580">
        <v>5</v>
      </c>
      <c r="C2580">
        <v>1</v>
      </c>
      <c r="D2580">
        <v>2</v>
      </c>
      <c r="E2580">
        <v>2</v>
      </c>
    </row>
    <row r="2582" spans="1:6" x14ac:dyDescent="0.25">
      <c r="A2582" t="s">
        <v>6473</v>
      </c>
    </row>
    <row r="2583" spans="1:6" x14ac:dyDescent="0.25">
      <c r="A2583" t="s">
        <v>903</v>
      </c>
      <c r="B2583" t="s">
        <v>4394</v>
      </c>
      <c r="C2583" t="s">
        <v>4621</v>
      </c>
      <c r="D2583" t="s">
        <v>4622</v>
      </c>
      <c r="E2583" t="s">
        <v>4624</v>
      </c>
    </row>
    <row r="2584" spans="1:6" x14ac:dyDescent="0.25">
      <c r="A2584" t="s">
        <v>70</v>
      </c>
      <c r="B2584">
        <v>2</v>
      </c>
      <c r="C2584">
        <v>0</v>
      </c>
      <c r="D2584">
        <v>0</v>
      </c>
      <c r="E2584">
        <v>2</v>
      </c>
    </row>
    <row r="2585" spans="1:6" x14ac:dyDescent="0.25">
      <c r="A2585" t="s">
        <v>71</v>
      </c>
      <c r="B2585">
        <v>3</v>
      </c>
      <c r="C2585">
        <v>1</v>
      </c>
      <c r="D2585">
        <v>2</v>
      </c>
      <c r="E2585">
        <v>0</v>
      </c>
    </row>
    <row r="2586" spans="1:6" x14ac:dyDescent="0.25">
      <c r="A2586" t="s">
        <v>1296</v>
      </c>
      <c r="B2586">
        <v>5</v>
      </c>
      <c r="C2586">
        <v>1</v>
      </c>
      <c r="D2586">
        <v>2</v>
      </c>
      <c r="E2586">
        <v>2</v>
      </c>
    </row>
    <row r="2588" spans="1:6" x14ac:dyDescent="0.25">
      <c r="A2588" t="s">
        <v>6474</v>
      </c>
    </row>
    <row r="2589" spans="1:6" x14ac:dyDescent="0.25">
      <c r="A2589" t="s">
        <v>2842</v>
      </c>
      <c r="B2589" t="s">
        <v>4394</v>
      </c>
      <c r="C2589" t="s">
        <v>5302</v>
      </c>
      <c r="D2589" t="s">
        <v>5303</v>
      </c>
      <c r="E2589" t="s">
        <v>5304</v>
      </c>
      <c r="F2589" t="s">
        <v>5306</v>
      </c>
    </row>
    <row r="2590" spans="1:6" x14ac:dyDescent="0.25">
      <c r="A2590" t="s">
        <v>5549</v>
      </c>
      <c r="B2590">
        <v>83</v>
      </c>
      <c r="C2590" t="s">
        <v>5439</v>
      </c>
      <c r="D2590" t="s">
        <v>4559</v>
      </c>
      <c r="E2590" t="s">
        <v>5142</v>
      </c>
      <c r="F2590" t="s">
        <v>4424</v>
      </c>
    </row>
    <row r="2591" spans="1:6" x14ac:dyDescent="0.25">
      <c r="A2591" t="s">
        <v>1397</v>
      </c>
      <c r="B2591">
        <v>55</v>
      </c>
      <c r="C2591" t="s">
        <v>5073</v>
      </c>
      <c r="D2591" t="s">
        <v>5252</v>
      </c>
      <c r="E2591" t="s">
        <v>5206</v>
      </c>
      <c r="F2591" t="s">
        <v>4905</v>
      </c>
    </row>
    <row r="2592" spans="1:6" x14ac:dyDescent="0.25">
      <c r="A2592" t="s">
        <v>1296</v>
      </c>
      <c r="B2592">
        <v>138</v>
      </c>
      <c r="C2592" t="s">
        <v>4967</v>
      </c>
      <c r="D2592" t="s">
        <v>4470</v>
      </c>
      <c r="E2592" t="s">
        <v>4709</v>
      </c>
      <c r="F2592" t="s">
        <v>4581</v>
      </c>
    </row>
    <row r="2594" spans="1:6" x14ac:dyDescent="0.25">
      <c r="A2594" t="s">
        <v>6475</v>
      </c>
    </row>
    <row r="2595" spans="1:6" x14ac:dyDescent="0.25">
      <c r="A2595" t="s">
        <v>992</v>
      </c>
      <c r="B2595" t="s">
        <v>4394</v>
      </c>
      <c r="C2595" t="s">
        <v>5302</v>
      </c>
      <c r="D2595" t="s">
        <v>5303</v>
      </c>
      <c r="E2595" t="s">
        <v>5304</v>
      </c>
      <c r="F2595" t="s">
        <v>5306</v>
      </c>
    </row>
    <row r="2596" spans="1:6" x14ac:dyDescent="0.25">
      <c r="A2596" t="s">
        <v>4844</v>
      </c>
      <c r="B2596">
        <v>21</v>
      </c>
      <c r="C2596" t="s">
        <v>4814</v>
      </c>
      <c r="D2596" t="s">
        <v>4556</v>
      </c>
      <c r="E2596" t="s">
        <v>4406</v>
      </c>
      <c r="F2596" t="s">
        <v>4749</v>
      </c>
    </row>
    <row r="2597" spans="1:6" x14ac:dyDescent="0.25">
      <c r="A2597" t="s">
        <v>4845</v>
      </c>
      <c r="B2597">
        <v>108</v>
      </c>
      <c r="C2597" t="s">
        <v>4914</v>
      </c>
      <c r="D2597" t="s">
        <v>4707</v>
      </c>
      <c r="E2597" t="s">
        <v>4698</v>
      </c>
      <c r="F2597" t="s">
        <v>4952</v>
      </c>
    </row>
    <row r="2598" spans="1:6" x14ac:dyDescent="0.25">
      <c r="A2598" t="s">
        <v>4846</v>
      </c>
      <c r="B2598">
        <v>9</v>
      </c>
      <c r="C2598" t="s">
        <v>4857</v>
      </c>
      <c r="D2598" t="s">
        <v>4676</v>
      </c>
      <c r="E2598" t="s">
        <v>4676</v>
      </c>
      <c r="F2598" t="s">
        <v>4406</v>
      </c>
    </row>
    <row r="2599" spans="1:6" x14ac:dyDescent="0.25">
      <c r="A2599" t="s">
        <v>1296</v>
      </c>
      <c r="B2599">
        <v>138</v>
      </c>
      <c r="C2599" t="s">
        <v>4967</v>
      </c>
      <c r="D2599" t="s">
        <v>4470</v>
      </c>
      <c r="E2599" t="s">
        <v>4709</v>
      </c>
      <c r="F2599" t="s">
        <v>4581</v>
      </c>
    </row>
    <row r="2601" spans="1:6" x14ac:dyDescent="0.25">
      <c r="A2601" t="s">
        <v>6476</v>
      </c>
    </row>
    <row r="2602" spans="1:6" x14ac:dyDescent="0.25">
      <c r="A2602" t="s">
        <v>995</v>
      </c>
      <c r="B2602" t="s">
        <v>4394</v>
      </c>
      <c r="C2602" t="s">
        <v>5302</v>
      </c>
      <c r="D2602" t="s">
        <v>5303</v>
      </c>
      <c r="E2602" t="s">
        <v>5304</v>
      </c>
      <c r="F2602" t="s">
        <v>5306</v>
      </c>
    </row>
    <row r="2603" spans="1:6" x14ac:dyDescent="0.25">
      <c r="A2603" t="s">
        <v>1338</v>
      </c>
      <c r="B2603">
        <v>43</v>
      </c>
      <c r="C2603">
        <v>34</v>
      </c>
      <c r="D2603">
        <v>6</v>
      </c>
      <c r="E2603">
        <v>2</v>
      </c>
      <c r="F2603">
        <v>1</v>
      </c>
    </row>
    <row r="2604" spans="1:6" x14ac:dyDescent="0.25">
      <c r="A2604" t="s">
        <v>1370</v>
      </c>
      <c r="B2604">
        <v>10</v>
      </c>
      <c r="C2604">
        <v>6</v>
      </c>
      <c r="D2604">
        <v>3</v>
      </c>
      <c r="E2604">
        <v>1</v>
      </c>
      <c r="F2604">
        <v>0</v>
      </c>
    </row>
    <row r="2605" spans="1:6" x14ac:dyDescent="0.25">
      <c r="A2605" t="s">
        <v>1439</v>
      </c>
      <c r="B2605">
        <v>7</v>
      </c>
      <c r="C2605">
        <v>5</v>
      </c>
      <c r="D2605">
        <v>2</v>
      </c>
      <c r="E2605">
        <v>0</v>
      </c>
      <c r="F2605">
        <v>0</v>
      </c>
    </row>
    <row r="2606" spans="1:6" x14ac:dyDescent="0.25">
      <c r="A2606" t="s">
        <v>1476</v>
      </c>
      <c r="B2606">
        <v>5</v>
      </c>
      <c r="C2606">
        <v>3</v>
      </c>
      <c r="D2606">
        <v>1</v>
      </c>
      <c r="E2606">
        <v>1</v>
      </c>
      <c r="F2606">
        <v>0</v>
      </c>
    </row>
    <row r="2607" spans="1:6" x14ac:dyDescent="0.25">
      <c r="A2607" t="s">
        <v>5476</v>
      </c>
      <c r="B2607">
        <v>2</v>
      </c>
      <c r="C2607">
        <v>0</v>
      </c>
      <c r="D2607">
        <v>1</v>
      </c>
      <c r="E2607">
        <v>1</v>
      </c>
      <c r="F2607">
        <v>0</v>
      </c>
    </row>
    <row r="2608" spans="1:6" x14ac:dyDescent="0.25">
      <c r="A2608" t="s">
        <v>1399</v>
      </c>
      <c r="B2608">
        <v>23</v>
      </c>
      <c r="C2608">
        <v>19</v>
      </c>
      <c r="D2608">
        <v>3</v>
      </c>
      <c r="E2608">
        <v>1</v>
      </c>
      <c r="F2608">
        <v>0</v>
      </c>
    </row>
    <row r="2609" spans="1:6" x14ac:dyDescent="0.25">
      <c r="A2609" t="s">
        <v>1415</v>
      </c>
      <c r="B2609">
        <v>48</v>
      </c>
      <c r="C2609">
        <v>38</v>
      </c>
      <c r="D2609">
        <v>3</v>
      </c>
      <c r="E2609">
        <v>5</v>
      </c>
      <c r="F2609">
        <v>2</v>
      </c>
    </row>
    <row r="2610" spans="1:6" x14ac:dyDescent="0.25">
      <c r="A2610" t="s">
        <v>1296</v>
      </c>
      <c r="B2610">
        <v>138</v>
      </c>
      <c r="C2610">
        <v>105</v>
      </c>
      <c r="D2610">
        <v>19</v>
      </c>
      <c r="E2610">
        <v>11</v>
      </c>
      <c r="F2610">
        <v>3</v>
      </c>
    </row>
    <row r="2612" spans="1:6" x14ac:dyDescent="0.25">
      <c r="A2612" t="s">
        <v>6477</v>
      </c>
    </row>
    <row r="2613" spans="1:6" x14ac:dyDescent="0.25">
      <c r="A2613" t="s">
        <v>998</v>
      </c>
      <c r="B2613" t="s">
        <v>4394</v>
      </c>
      <c r="C2613" t="s">
        <v>5302</v>
      </c>
      <c r="D2613" t="s">
        <v>5303</v>
      </c>
      <c r="E2613" t="s">
        <v>5304</v>
      </c>
      <c r="F2613" t="s">
        <v>5306</v>
      </c>
    </row>
    <row r="2614" spans="1:6" x14ac:dyDescent="0.25">
      <c r="A2614" t="s">
        <v>109</v>
      </c>
      <c r="B2614">
        <v>125</v>
      </c>
      <c r="C2614" t="s">
        <v>5038</v>
      </c>
      <c r="D2614" t="s">
        <v>4706</v>
      </c>
      <c r="E2614" t="s">
        <v>4666</v>
      </c>
      <c r="F2614" t="s">
        <v>4424</v>
      </c>
    </row>
    <row r="2615" spans="1:6" x14ac:dyDescent="0.25">
      <c r="A2615" t="s">
        <v>192</v>
      </c>
      <c r="B2615">
        <v>13</v>
      </c>
      <c r="C2615" t="s">
        <v>4582</v>
      </c>
      <c r="D2615" t="s">
        <v>4566</v>
      </c>
      <c r="E2615" t="s">
        <v>4474</v>
      </c>
      <c r="F2615" t="s">
        <v>4406</v>
      </c>
    </row>
    <row r="2616" spans="1:6" x14ac:dyDescent="0.25">
      <c r="A2616" t="s">
        <v>1296</v>
      </c>
      <c r="B2616">
        <v>138</v>
      </c>
      <c r="C2616" t="s">
        <v>4967</v>
      </c>
      <c r="D2616" t="s">
        <v>4470</v>
      </c>
      <c r="E2616" t="s">
        <v>4709</v>
      </c>
      <c r="F2616" t="s">
        <v>4581</v>
      </c>
    </row>
    <row r="2618" spans="1:6" x14ac:dyDescent="0.25">
      <c r="A2618" t="s">
        <v>6478</v>
      </c>
    </row>
    <row r="2619" spans="1:6" x14ac:dyDescent="0.25">
      <c r="A2619" t="s">
        <v>1006</v>
      </c>
      <c r="B2619" t="s">
        <v>4394</v>
      </c>
      <c r="C2619" t="s">
        <v>5302</v>
      </c>
      <c r="D2619" t="s">
        <v>5303</v>
      </c>
      <c r="E2619" t="s">
        <v>5304</v>
      </c>
      <c r="F2619" t="s">
        <v>5306</v>
      </c>
    </row>
    <row r="2620" spans="1:6" x14ac:dyDescent="0.25">
      <c r="A2620" t="s">
        <v>1371</v>
      </c>
      <c r="B2620">
        <v>26</v>
      </c>
      <c r="C2620">
        <v>23</v>
      </c>
      <c r="D2620">
        <v>2</v>
      </c>
      <c r="E2620">
        <v>1</v>
      </c>
      <c r="F2620">
        <v>0</v>
      </c>
    </row>
    <row r="2621" spans="1:6" x14ac:dyDescent="0.25">
      <c r="A2621" t="s">
        <v>1452</v>
      </c>
      <c r="B2621">
        <v>17</v>
      </c>
      <c r="C2621">
        <v>14</v>
      </c>
      <c r="D2621">
        <v>1</v>
      </c>
      <c r="E2621">
        <v>1</v>
      </c>
      <c r="F2621">
        <v>1</v>
      </c>
    </row>
    <row r="2622" spans="1:6" x14ac:dyDescent="0.25">
      <c r="A2622" t="s">
        <v>5560</v>
      </c>
      <c r="B2622">
        <v>14</v>
      </c>
      <c r="C2622">
        <v>7</v>
      </c>
      <c r="D2622">
        <v>5</v>
      </c>
      <c r="E2622">
        <v>2</v>
      </c>
      <c r="F2622">
        <v>0</v>
      </c>
    </row>
    <row r="2623" spans="1:6" x14ac:dyDescent="0.25">
      <c r="A2623" t="s">
        <v>1424</v>
      </c>
      <c r="B2623">
        <v>30</v>
      </c>
      <c r="C2623">
        <v>25</v>
      </c>
      <c r="D2623">
        <v>5</v>
      </c>
      <c r="E2623">
        <v>0</v>
      </c>
      <c r="F2623">
        <v>0</v>
      </c>
    </row>
    <row r="2624" spans="1:6" x14ac:dyDescent="0.25">
      <c r="A2624" t="s">
        <v>1340</v>
      </c>
      <c r="B2624">
        <v>21</v>
      </c>
      <c r="C2624">
        <v>17</v>
      </c>
      <c r="D2624">
        <v>1</v>
      </c>
      <c r="E2624">
        <v>1</v>
      </c>
      <c r="F2624">
        <v>2</v>
      </c>
    </row>
    <row r="2625" spans="1:6" x14ac:dyDescent="0.25">
      <c r="A2625" t="s">
        <v>5561</v>
      </c>
      <c r="B2625">
        <v>6</v>
      </c>
      <c r="C2625">
        <v>1</v>
      </c>
      <c r="D2625">
        <v>4</v>
      </c>
      <c r="E2625">
        <v>1</v>
      </c>
      <c r="F2625">
        <v>0</v>
      </c>
    </row>
    <row r="2626" spans="1:6" x14ac:dyDescent="0.25">
      <c r="A2626" t="s">
        <v>1416</v>
      </c>
      <c r="B2626">
        <v>24</v>
      </c>
      <c r="C2626">
        <v>18</v>
      </c>
      <c r="D2626">
        <v>1</v>
      </c>
      <c r="E2626">
        <v>5</v>
      </c>
      <c r="F2626">
        <v>0</v>
      </c>
    </row>
    <row r="2627" spans="1:6" x14ac:dyDescent="0.25">
      <c r="A2627" t="s">
        <v>1296</v>
      </c>
      <c r="B2627">
        <v>138</v>
      </c>
      <c r="C2627">
        <v>105</v>
      </c>
      <c r="D2627">
        <v>19</v>
      </c>
      <c r="E2627">
        <v>11</v>
      </c>
      <c r="F2627">
        <v>3</v>
      </c>
    </row>
    <row r="2629" spans="1:6" x14ac:dyDescent="0.25">
      <c r="A2629" t="s">
        <v>6479</v>
      </c>
    </row>
    <row r="2630" spans="1:6" x14ac:dyDescent="0.25">
      <c r="A2630" t="s">
        <v>5518</v>
      </c>
      <c r="B2630" t="s">
        <v>4394</v>
      </c>
      <c r="C2630" t="s">
        <v>5302</v>
      </c>
      <c r="D2630" t="s">
        <v>5303</v>
      </c>
      <c r="E2630" t="s">
        <v>5304</v>
      </c>
      <c r="F2630" t="s">
        <v>5306</v>
      </c>
    </row>
    <row r="2631" spans="1:6" x14ac:dyDescent="0.25">
      <c r="A2631" t="s">
        <v>4438</v>
      </c>
      <c r="B2631">
        <v>60</v>
      </c>
      <c r="C2631" t="s">
        <v>4834</v>
      </c>
      <c r="D2631" t="s">
        <v>4646</v>
      </c>
      <c r="E2631" t="s">
        <v>4646</v>
      </c>
      <c r="F2631" t="s">
        <v>4406</v>
      </c>
    </row>
    <row r="2632" spans="1:6" x14ac:dyDescent="0.25">
      <c r="A2632" t="s">
        <v>4439</v>
      </c>
      <c r="B2632">
        <v>26</v>
      </c>
      <c r="C2632" t="s">
        <v>5075</v>
      </c>
      <c r="D2632" t="s">
        <v>4474</v>
      </c>
      <c r="E2632" t="s">
        <v>4632</v>
      </c>
      <c r="F2632" t="s">
        <v>4406</v>
      </c>
    </row>
    <row r="2633" spans="1:6" x14ac:dyDescent="0.25">
      <c r="A2633" t="s">
        <v>1400</v>
      </c>
      <c r="B2633">
        <v>6</v>
      </c>
      <c r="C2633" t="s">
        <v>4469</v>
      </c>
      <c r="D2633" t="s">
        <v>4465</v>
      </c>
      <c r="E2633" t="s">
        <v>4406</v>
      </c>
      <c r="F2633" t="s">
        <v>4406</v>
      </c>
    </row>
    <row r="2634" spans="1:6" x14ac:dyDescent="0.25">
      <c r="A2634" t="s">
        <v>1340</v>
      </c>
      <c r="B2634">
        <v>23</v>
      </c>
      <c r="C2634" t="s">
        <v>5097</v>
      </c>
      <c r="D2634" t="s">
        <v>4667</v>
      </c>
      <c r="E2634" t="s">
        <v>4667</v>
      </c>
      <c r="F2634" t="s">
        <v>4684</v>
      </c>
    </row>
    <row r="2635" spans="1:6" x14ac:dyDescent="0.25">
      <c r="A2635" t="s">
        <v>1372</v>
      </c>
      <c r="B2635">
        <v>23</v>
      </c>
      <c r="C2635" t="s">
        <v>4912</v>
      </c>
      <c r="D2635" t="s">
        <v>4926</v>
      </c>
      <c r="E2635" t="s">
        <v>4667</v>
      </c>
      <c r="F2635" t="s">
        <v>4667</v>
      </c>
    </row>
    <row r="2636" spans="1:6" x14ac:dyDescent="0.25">
      <c r="A2636" t="s">
        <v>1296</v>
      </c>
      <c r="B2636">
        <v>138</v>
      </c>
      <c r="C2636" t="s">
        <v>4967</v>
      </c>
      <c r="D2636" t="s">
        <v>4470</v>
      </c>
      <c r="E2636" t="s">
        <v>4709</v>
      </c>
      <c r="F2636" t="s">
        <v>4581</v>
      </c>
    </row>
    <row r="2638" spans="1:6" x14ac:dyDescent="0.25">
      <c r="A2638" t="s">
        <v>6480</v>
      </c>
    </row>
    <row r="2639" spans="1:6" x14ac:dyDescent="0.25">
      <c r="A2639" t="s">
        <v>1011</v>
      </c>
      <c r="B2639" t="s">
        <v>4394</v>
      </c>
      <c r="C2639" t="s">
        <v>5302</v>
      </c>
      <c r="D2639" t="s">
        <v>5303</v>
      </c>
      <c r="E2639" t="s">
        <v>5304</v>
      </c>
      <c r="F2639" t="s">
        <v>5306</v>
      </c>
    </row>
    <row r="2640" spans="1:6" x14ac:dyDescent="0.25">
      <c r="A2640" t="s">
        <v>4438</v>
      </c>
      <c r="B2640">
        <v>54</v>
      </c>
      <c r="C2640" t="s">
        <v>4783</v>
      </c>
      <c r="D2640" t="s">
        <v>4958</v>
      </c>
      <c r="E2640" t="s">
        <v>4698</v>
      </c>
      <c r="F2640" t="s">
        <v>4406</v>
      </c>
    </row>
    <row r="2641" spans="1:6" x14ac:dyDescent="0.25">
      <c r="A2641" t="s">
        <v>4439</v>
      </c>
      <c r="B2641">
        <v>23</v>
      </c>
      <c r="C2641" t="s">
        <v>5097</v>
      </c>
      <c r="D2641" t="s">
        <v>4549</v>
      </c>
      <c r="E2641" t="s">
        <v>4406</v>
      </c>
      <c r="F2641" t="s">
        <v>4406</v>
      </c>
    </row>
    <row r="2642" spans="1:6" x14ac:dyDescent="0.25">
      <c r="A2642" t="s">
        <v>1400</v>
      </c>
      <c r="B2642">
        <v>2</v>
      </c>
      <c r="C2642" t="s">
        <v>4406</v>
      </c>
      <c r="D2642" t="s">
        <v>4468</v>
      </c>
      <c r="E2642" t="s">
        <v>4468</v>
      </c>
      <c r="F2642" t="s">
        <v>4406</v>
      </c>
    </row>
    <row r="2643" spans="1:6" x14ac:dyDescent="0.25">
      <c r="A2643" t="s">
        <v>1340</v>
      </c>
      <c r="B2643">
        <v>21</v>
      </c>
      <c r="C2643" t="s">
        <v>4784</v>
      </c>
      <c r="D2643" t="s">
        <v>4749</v>
      </c>
      <c r="E2643" t="s">
        <v>4749</v>
      </c>
      <c r="F2643" t="s">
        <v>4675</v>
      </c>
    </row>
    <row r="2644" spans="1:6" x14ac:dyDescent="0.25">
      <c r="A2644" t="s">
        <v>1426</v>
      </c>
      <c r="B2644">
        <v>6</v>
      </c>
      <c r="C2644" t="s">
        <v>4468</v>
      </c>
      <c r="D2644" t="s">
        <v>4465</v>
      </c>
      <c r="E2644" t="s">
        <v>4596</v>
      </c>
      <c r="F2644" t="s">
        <v>4406</v>
      </c>
    </row>
    <row r="2645" spans="1:6" x14ac:dyDescent="0.25">
      <c r="A2645" t="s">
        <v>1372</v>
      </c>
      <c r="B2645">
        <v>32</v>
      </c>
      <c r="C2645" t="s">
        <v>5082</v>
      </c>
      <c r="D2645" t="s">
        <v>4948</v>
      </c>
      <c r="E2645" t="s">
        <v>4950</v>
      </c>
      <c r="F2645" t="s">
        <v>4695</v>
      </c>
    </row>
    <row r="2646" spans="1:6" x14ac:dyDescent="0.25">
      <c r="A2646" t="s">
        <v>1296</v>
      </c>
      <c r="B2646">
        <v>138</v>
      </c>
      <c r="C2646" t="s">
        <v>4967</v>
      </c>
      <c r="D2646" t="s">
        <v>4470</v>
      </c>
      <c r="E2646" t="s">
        <v>4709</v>
      </c>
      <c r="F2646" t="s">
        <v>4581</v>
      </c>
    </row>
    <row r="2648" spans="1:6" x14ac:dyDescent="0.25">
      <c r="A2648" t="s">
        <v>6481</v>
      </c>
    </row>
    <row r="2649" spans="1:6" x14ac:dyDescent="0.25">
      <c r="A2649" t="s">
        <v>903</v>
      </c>
      <c r="B2649" t="s">
        <v>4394</v>
      </c>
      <c r="C2649" t="s">
        <v>5302</v>
      </c>
      <c r="D2649" t="s">
        <v>5303</v>
      </c>
      <c r="E2649" t="s">
        <v>5304</v>
      </c>
      <c r="F2649" t="s">
        <v>5306</v>
      </c>
    </row>
    <row r="2650" spans="1:6" x14ac:dyDescent="0.25">
      <c r="A2650" t="s">
        <v>70</v>
      </c>
      <c r="B2650">
        <v>37</v>
      </c>
      <c r="C2650" t="s">
        <v>4929</v>
      </c>
      <c r="D2650" t="s">
        <v>5182</v>
      </c>
      <c r="E2650" t="s">
        <v>4408</v>
      </c>
      <c r="F2650" t="s">
        <v>4931</v>
      </c>
    </row>
    <row r="2651" spans="1:6" x14ac:dyDescent="0.25">
      <c r="A2651" t="s">
        <v>71</v>
      </c>
      <c r="B2651">
        <v>101</v>
      </c>
      <c r="C2651" t="s">
        <v>5041</v>
      </c>
      <c r="D2651" t="s">
        <v>4703</v>
      </c>
      <c r="E2651" t="s">
        <v>4887</v>
      </c>
      <c r="F2651" t="s">
        <v>4744</v>
      </c>
    </row>
    <row r="2652" spans="1:6" x14ac:dyDescent="0.25">
      <c r="A2652" t="s">
        <v>1296</v>
      </c>
      <c r="B2652">
        <v>138</v>
      </c>
      <c r="C2652" t="s">
        <v>4967</v>
      </c>
      <c r="D2652" t="s">
        <v>4470</v>
      </c>
      <c r="E2652" t="s">
        <v>4709</v>
      </c>
      <c r="F2652" t="s">
        <v>4581</v>
      </c>
    </row>
    <row r="2654" spans="1:6" x14ac:dyDescent="0.25">
      <c r="A2654" t="s">
        <v>6482</v>
      </c>
    </row>
    <row r="2655" spans="1:6" x14ac:dyDescent="0.25">
      <c r="A2655" t="s">
        <v>2842</v>
      </c>
      <c r="B2655" t="s">
        <v>4394</v>
      </c>
      <c r="C2655" t="s">
        <v>5302</v>
      </c>
      <c r="D2655" t="s">
        <v>5303</v>
      </c>
      <c r="E2655" t="s">
        <v>5304</v>
      </c>
      <c r="F2655" t="s">
        <v>5306</v>
      </c>
    </row>
    <row r="2656" spans="1:6" x14ac:dyDescent="0.25">
      <c r="A2656" t="s">
        <v>5549</v>
      </c>
      <c r="B2656">
        <v>83</v>
      </c>
      <c r="C2656" t="s">
        <v>4975</v>
      </c>
      <c r="D2656" t="s">
        <v>4403</v>
      </c>
      <c r="E2656" t="s">
        <v>4666</v>
      </c>
      <c r="F2656" t="s">
        <v>4424</v>
      </c>
    </row>
    <row r="2657" spans="1:6" x14ac:dyDescent="0.25">
      <c r="A2657" t="s">
        <v>1397</v>
      </c>
      <c r="B2657">
        <v>55</v>
      </c>
      <c r="C2657" t="s">
        <v>5073</v>
      </c>
      <c r="D2657" t="s">
        <v>5252</v>
      </c>
      <c r="E2657" t="s">
        <v>5206</v>
      </c>
      <c r="F2657" t="s">
        <v>4905</v>
      </c>
    </row>
    <row r="2658" spans="1:6" x14ac:dyDescent="0.25">
      <c r="A2658" t="s">
        <v>1296</v>
      </c>
      <c r="B2658">
        <v>138</v>
      </c>
      <c r="C2658" t="s">
        <v>4980</v>
      </c>
      <c r="D2658" t="s">
        <v>4587</v>
      </c>
      <c r="E2658" t="s">
        <v>4666</v>
      </c>
      <c r="F2658" t="s">
        <v>4581</v>
      </c>
    </row>
    <row r="2660" spans="1:6" x14ac:dyDescent="0.25">
      <c r="A2660" t="s">
        <v>6483</v>
      </c>
    </row>
    <row r="2661" spans="1:6" x14ac:dyDescent="0.25">
      <c r="A2661" t="s">
        <v>992</v>
      </c>
      <c r="B2661" t="s">
        <v>4394</v>
      </c>
      <c r="C2661" t="s">
        <v>5302</v>
      </c>
      <c r="D2661" t="s">
        <v>5303</v>
      </c>
      <c r="E2661" t="s">
        <v>5304</v>
      </c>
      <c r="F2661" t="s">
        <v>5306</v>
      </c>
    </row>
    <row r="2662" spans="1:6" x14ac:dyDescent="0.25">
      <c r="A2662" t="s">
        <v>4844</v>
      </c>
      <c r="B2662">
        <v>21</v>
      </c>
      <c r="C2662" t="s">
        <v>4814</v>
      </c>
      <c r="D2662" t="s">
        <v>4556</v>
      </c>
      <c r="E2662" t="s">
        <v>4406</v>
      </c>
      <c r="F2662" t="s">
        <v>4749</v>
      </c>
    </row>
    <row r="2663" spans="1:6" x14ac:dyDescent="0.25">
      <c r="A2663" t="s">
        <v>4845</v>
      </c>
      <c r="B2663">
        <v>108</v>
      </c>
      <c r="C2663" t="s">
        <v>4988</v>
      </c>
      <c r="D2663" t="s">
        <v>4859</v>
      </c>
      <c r="E2663" t="s">
        <v>4943</v>
      </c>
      <c r="F2663" t="s">
        <v>4952</v>
      </c>
    </row>
    <row r="2664" spans="1:6" x14ac:dyDescent="0.25">
      <c r="A2664" t="s">
        <v>4846</v>
      </c>
      <c r="B2664">
        <v>9</v>
      </c>
      <c r="C2664" t="s">
        <v>4469</v>
      </c>
      <c r="D2664" t="s">
        <v>4731</v>
      </c>
      <c r="E2664" t="s">
        <v>4676</v>
      </c>
      <c r="F2664" t="s">
        <v>4406</v>
      </c>
    </row>
    <row r="2665" spans="1:6" x14ac:dyDescent="0.25">
      <c r="A2665" t="s">
        <v>1296</v>
      </c>
      <c r="B2665">
        <v>138</v>
      </c>
      <c r="C2665" t="s">
        <v>4980</v>
      </c>
      <c r="D2665" t="s">
        <v>4587</v>
      </c>
      <c r="E2665" t="s">
        <v>4666</v>
      </c>
      <c r="F2665" t="s">
        <v>4581</v>
      </c>
    </row>
    <row r="2667" spans="1:6" x14ac:dyDescent="0.25">
      <c r="A2667" t="s">
        <v>6484</v>
      </c>
    </row>
    <row r="2668" spans="1:6" x14ac:dyDescent="0.25">
      <c r="A2668" t="s">
        <v>995</v>
      </c>
      <c r="B2668" t="s">
        <v>4394</v>
      </c>
      <c r="C2668" t="s">
        <v>5302</v>
      </c>
      <c r="D2668" t="s">
        <v>5303</v>
      </c>
      <c r="E2668" t="s">
        <v>5304</v>
      </c>
      <c r="F2668" t="s">
        <v>5306</v>
      </c>
    </row>
    <row r="2669" spans="1:6" x14ac:dyDescent="0.25">
      <c r="A2669" t="s">
        <v>1338</v>
      </c>
      <c r="B2669">
        <v>43</v>
      </c>
      <c r="C2669">
        <v>32</v>
      </c>
      <c r="D2669">
        <v>8</v>
      </c>
      <c r="E2669">
        <v>2</v>
      </c>
      <c r="F2669">
        <v>1</v>
      </c>
    </row>
    <row r="2670" spans="1:6" x14ac:dyDescent="0.25">
      <c r="A2670" t="s">
        <v>1370</v>
      </c>
      <c r="B2670">
        <v>10</v>
      </c>
      <c r="C2670">
        <v>6</v>
      </c>
      <c r="D2670">
        <v>3</v>
      </c>
      <c r="E2670">
        <v>1</v>
      </c>
      <c r="F2670">
        <v>0</v>
      </c>
    </row>
    <row r="2671" spans="1:6" x14ac:dyDescent="0.25">
      <c r="A2671" t="s">
        <v>1439</v>
      </c>
      <c r="B2671">
        <v>7</v>
      </c>
      <c r="C2671">
        <v>4</v>
      </c>
      <c r="D2671">
        <v>3</v>
      </c>
      <c r="E2671">
        <v>0</v>
      </c>
      <c r="F2671">
        <v>0</v>
      </c>
    </row>
    <row r="2672" spans="1:6" x14ac:dyDescent="0.25">
      <c r="A2672" t="s">
        <v>1476</v>
      </c>
      <c r="B2672">
        <v>5</v>
      </c>
      <c r="C2672">
        <v>3</v>
      </c>
      <c r="D2672">
        <v>1</v>
      </c>
      <c r="E2672">
        <v>1</v>
      </c>
      <c r="F2672">
        <v>0</v>
      </c>
    </row>
    <row r="2673" spans="1:6" x14ac:dyDescent="0.25">
      <c r="A2673" t="s">
        <v>5476</v>
      </c>
      <c r="B2673">
        <v>2</v>
      </c>
      <c r="C2673">
        <v>0</v>
      </c>
      <c r="D2673">
        <v>1</v>
      </c>
      <c r="E2673">
        <v>1</v>
      </c>
      <c r="F2673">
        <v>0</v>
      </c>
    </row>
    <row r="2674" spans="1:6" x14ac:dyDescent="0.25">
      <c r="A2674" t="s">
        <v>1399</v>
      </c>
      <c r="B2674">
        <v>23</v>
      </c>
      <c r="C2674">
        <v>19</v>
      </c>
      <c r="D2674">
        <v>3</v>
      </c>
      <c r="E2674">
        <v>1</v>
      </c>
      <c r="F2674">
        <v>0</v>
      </c>
    </row>
    <row r="2675" spans="1:6" x14ac:dyDescent="0.25">
      <c r="A2675" t="s">
        <v>1415</v>
      </c>
      <c r="B2675">
        <v>48</v>
      </c>
      <c r="C2675">
        <v>39</v>
      </c>
      <c r="D2675">
        <v>3</v>
      </c>
      <c r="E2675">
        <v>4</v>
      </c>
      <c r="F2675">
        <v>2</v>
      </c>
    </row>
    <row r="2676" spans="1:6" x14ac:dyDescent="0.25">
      <c r="A2676" t="s">
        <v>1296</v>
      </c>
      <c r="B2676">
        <v>138</v>
      </c>
      <c r="C2676">
        <v>103</v>
      </c>
      <c r="D2676">
        <v>22</v>
      </c>
      <c r="E2676">
        <v>10</v>
      </c>
      <c r="F2676">
        <v>3</v>
      </c>
    </row>
    <row r="2678" spans="1:6" x14ac:dyDescent="0.25">
      <c r="A2678" t="s">
        <v>6485</v>
      </c>
    </row>
    <row r="2679" spans="1:6" x14ac:dyDescent="0.25">
      <c r="A2679" t="s">
        <v>998</v>
      </c>
      <c r="B2679" t="s">
        <v>4394</v>
      </c>
      <c r="C2679" t="s">
        <v>5302</v>
      </c>
      <c r="D2679" t="s">
        <v>5303</v>
      </c>
      <c r="E2679" t="s">
        <v>5304</v>
      </c>
      <c r="F2679" t="s">
        <v>5306</v>
      </c>
    </row>
    <row r="2680" spans="1:6" x14ac:dyDescent="0.25">
      <c r="A2680" t="s">
        <v>109</v>
      </c>
      <c r="B2680">
        <v>125</v>
      </c>
      <c r="C2680" t="s">
        <v>5313</v>
      </c>
      <c r="D2680" t="s">
        <v>4863</v>
      </c>
      <c r="E2680" t="s">
        <v>4856</v>
      </c>
      <c r="F2680" t="s">
        <v>4424</v>
      </c>
    </row>
    <row r="2681" spans="1:6" x14ac:dyDescent="0.25">
      <c r="A2681" t="s">
        <v>192</v>
      </c>
      <c r="B2681">
        <v>13</v>
      </c>
      <c r="C2681" t="s">
        <v>4582</v>
      </c>
      <c r="D2681" t="s">
        <v>4566</v>
      </c>
      <c r="E2681" t="s">
        <v>4474</v>
      </c>
      <c r="F2681" t="s">
        <v>4406</v>
      </c>
    </row>
    <row r="2682" spans="1:6" x14ac:dyDescent="0.25">
      <c r="A2682" t="s">
        <v>1296</v>
      </c>
      <c r="B2682">
        <v>138</v>
      </c>
      <c r="C2682" t="s">
        <v>4980</v>
      </c>
      <c r="D2682" t="s">
        <v>4587</v>
      </c>
      <c r="E2682" t="s">
        <v>4666</v>
      </c>
      <c r="F2682" t="s">
        <v>4581</v>
      </c>
    </row>
    <row r="2684" spans="1:6" x14ac:dyDescent="0.25">
      <c r="A2684" t="s">
        <v>6486</v>
      </c>
    </row>
    <row r="2685" spans="1:6" x14ac:dyDescent="0.25">
      <c r="A2685" t="s">
        <v>1006</v>
      </c>
      <c r="B2685" t="s">
        <v>4394</v>
      </c>
      <c r="C2685" t="s">
        <v>5302</v>
      </c>
      <c r="D2685" t="s">
        <v>5303</v>
      </c>
      <c r="E2685" t="s">
        <v>5304</v>
      </c>
      <c r="F2685" t="s">
        <v>5306</v>
      </c>
    </row>
    <row r="2686" spans="1:6" x14ac:dyDescent="0.25">
      <c r="A2686" t="s">
        <v>1371</v>
      </c>
      <c r="B2686">
        <v>26</v>
      </c>
      <c r="C2686">
        <v>22</v>
      </c>
      <c r="D2686">
        <v>3</v>
      </c>
      <c r="E2686">
        <v>1</v>
      </c>
      <c r="F2686">
        <v>0</v>
      </c>
    </row>
    <row r="2687" spans="1:6" x14ac:dyDescent="0.25">
      <c r="A2687" t="s">
        <v>1452</v>
      </c>
      <c r="B2687">
        <v>17</v>
      </c>
      <c r="C2687">
        <v>13</v>
      </c>
      <c r="D2687">
        <v>2</v>
      </c>
      <c r="E2687">
        <v>1</v>
      </c>
      <c r="F2687">
        <v>1</v>
      </c>
    </row>
    <row r="2688" spans="1:6" x14ac:dyDescent="0.25">
      <c r="A2688" t="s">
        <v>5560</v>
      </c>
      <c r="B2688">
        <v>14</v>
      </c>
      <c r="C2688">
        <v>7</v>
      </c>
      <c r="D2688">
        <v>5</v>
      </c>
      <c r="E2688">
        <v>2</v>
      </c>
      <c r="F2688">
        <v>0</v>
      </c>
    </row>
    <row r="2689" spans="1:6" x14ac:dyDescent="0.25">
      <c r="A2689" t="s">
        <v>1424</v>
      </c>
      <c r="B2689">
        <v>30</v>
      </c>
      <c r="C2689">
        <v>24</v>
      </c>
      <c r="D2689">
        <v>6</v>
      </c>
      <c r="E2689">
        <v>0</v>
      </c>
      <c r="F2689">
        <v>0</v>
      </c>
    </row>
    <row r="2690" spans="1:6" x14ac:dyDescent="0.25">
      <c r="A2690" t="s">
        <v>1340</v>
      </c>
      <c r="B2690">
        <v>21</v>
      </c>
      <c r="C2690">
        <v>17</v>
      </c>
      <c r="D2690">
        <v>1</v>
      </c>
      <c r="E2690">
        <v>1</v>
      </c>
      <c r="F2690">
        <v>2</v>
      </c>
    </row>
    <row r="2691" spans="1:6" x14ac:dyDescent="0.25">
      <c r="A2691" t="s">
        <v>5561</v>
      </c>
      <c r="B2691">
        <v>6</v>
      </c>
      <c r="C2691">
        <v>2</v>
      </c>
      <c r="D2691">
        <v>3</v>
      </c>
      <c r="E2691">
        <v>1</v>
      </c>
      <c r="F2691">
        <v>0</v>
      </c>
    </row>
    <row r="2692" spans="1:6" x14ac:dyDescent="0.25">
      <c r="A2692" t="s">
        <v>1416</v>
      </c>
      <c r="B2692">
        <v>24</v>
      </c>
      <c r="C2692">
        <v>18</v>
      </c>
      <c r="D2692">
        <v>2</v>
      </c>
      <c r="E2692">
        <v>4</v>
      </c>
      <c r="F2692">
        <v>0</v>
      </c>
    </row>
    <row r="2693" spans="1:6" x14ac:dyDescent="0.25">
      <c r="A2693" t="s">
        <v>1296</v>
      </c>
      <c r="B2693">
        <v>138</v>
      </c>
      <c r="C2693">
        <v>103</v>
      </c>
      <c r="D2693">
        <v>22</v>
      </c>
      <c r="E2693">
        <v>10</v>
      </c>
      <c r="F2693">
        <v>3</v>
      </c>
    </row>
    <row r="2695" spans="1:6" x14ac:dyDescent="0.25">
      <c r="A2695" t="s">
        <v>6487</v>
      </c>
    </row>
    <row r="2696" spans="1:6" x14ac:dyDescent="0.25">
      <c r="A2696" t="s">
        <v>5521</v>
      </c>
      <c r="B2696" t="s">
        <v>4394</v>
      </c>
      <c r="C2696" t="s">
        <v>5302</v>
      </c>
      <c r="D2696" t="s">
        <v>5303</v>
      </c>
      <c r="E2696" t="s">
        <v>5304</v>
      </c>
      <c r="F2696" t="s">
        <v>5306</v>
      </c>
    </row>
    <row r="2697" spans="1:6" x14ac:dyDescent="0.25">
      <c r="A2697" t="s">
        <v>4438</v>
      </c>
      <c r="B2697">
        <v>53</v>
      </c>
      <c r="C2697" t="s">
        <v>4730</v>
      </c>
      <c r="D2697" t="s">
        <v>5003</v>
      </c>
      <c r="E2697" t="s">
        <v>4650</v>
      </c>
      <c r="F2697" t="s">
        <v>4406</v>
      </c>
    </row>
    <row r="2698" spans="1:6" x14ac:dyDescent="0.25">
      <c r="A2698" t="s">
        <v>4439</v>
      </c>
      <c r="B2698">
        <v>29</v>
      </c>
      <c r="C2698" t="s">
        <v>4988</v>
      </c>
      <c r="D2698" t="s">
        <v>4882</v>
      </c>
      <c r="E2698" t="s">
        <v>4887</v>
      </c>
      <c r="F2698" t="s">
        <v>4406</v>
      </c>
    </row>
    <row r="2699" spans="1:6" x14ac:dyDescent="0.25">
      <c r="A2699" t="s">
        <v>1400</v>
      </c>
      <c r="B2699">
        <v>4</v>
      </c>
      <c r="C2699" t="s">
        <v>4468</v>
      </c>
      <c r="D2699" t="s">
        <v>4468</v>
      </c>
      <c r="E2699" t="s">
        <v>4406</v>
      </c>
      <c r="F2699" t="s">
        <v>4406</v>
      </c>
    </row>
    <row r="2700" spans="1:6" x14ac:dyDescent="0.25">
      <c r="A2700" t="s">
        <v>1340</v>
      </c>
      <c r="B2700">
        <v>23</v>
      </c>
      <c r="C2700" t="s">
        <v>5097</v>
      </c>
      <c r="D2700" t="s">
        <v>4667</v>
      </c>
      <c r="E2700" t="s">
        <v>4667</v>
      </c>
      <c r="F2700" t="s">
        <v>4684</v>
      </c>
    </row>
    <row r="2701" spans="1:6" x14ac:dyDescent="0.25">
      <c r="A2701" t="s">
        <v>1426</v>
      </c>
      <c r="B2701">
        <v>1</v>
      </c>
      <c r="C2701" t="s">
        <v>4406</v>
      </c>
      <c r="D2701" t="s">
        <v>4454</v>
      </c>
      <c r="E2701" t="s">
        <v>4406</v>
      </c>
      <c r="F2701" t="s">
        <v>4406</v>
      </c>
    </row>
    <row r="2702" spans="1:6" x14ac:dyDescent="0.25">
      <c r="A2702" t="s">
        <v>1372</v>
      </c>
      <c r="B2702">
        <v>28</v>
      </c>
      <c r="C2702" t="s">
        <v>4814</v>
      </c>
      <c r="D2702" t="s">
        <v>4522</v>
      </c>
      <c r="E2702" t="s">
        <v>4987</v>
      </c>
      <c r="F2702" t="s">
        <v>5076</v>
      </c>
    </row>
    <row r="2703" spans="1:6" x14ac:dyDescent="0.25">
      <c r="A2703" t="s">
        <v>1296</v>
      </c>
      <c r="B2703">
        <v>138</v>
      </c>
      <c r="C2703" t="s">
        <v>4980</v>
      </c>
      <c r="D2703" t="s">
        <v>4587</v>
      </c>
      <c r="E2703" t="s">
        <v>4666</v>
      </c>
      <c r="F2703" t="s">
        <v>4581</v>
      </c>
    </row>
    <row r="2705" spans="1:6" x14ac:dyDescent="0.25">
      <c r="A2705" t="s">
        <v>6488</v>
      </c>
    </row>
    <row r="2706" spans="1:6" x14ac:dyDescent="0.25">
      <c r="A2706" t="s">
        <v>1009</v>
      </c>
      <c r="B2706" t="s">
        <v>4394</v>
      </c>
      <c r="C2706" t="s">
        <v>5302</v>
      </c>
      <c r="D2706" t="s">
        <v>5303</v>
      </c>
      <c r="E2706" t="s">
        <v>5304</v>
      </c>
      <c r="F2706" t="s">
        <v>5306</v>
      </c>
    </row>
    <row r="2707" spans="1:6" x14ac:dyDescent="0.25">
      <c r="A2707" t="s">
        <v>4438</v>
      </c>
      <c r="B2707">
        <v>42</v>
      </c>
      <c r="C2707" t="s">
        <v>4788</v>
      </c>
      <c r="D2707" t="s">
        <v>4596</v>
      </c>
      <c r="E2707" t="s">
        <v>4749</v>
      </c>
      <c r="F2707" t="s">
        <v>4406</v>
      </c>
    </row>
    <row r="2708" spans="1:6" x14ac:dyDescent="0.25">
      <c r="A2708" t="s">
        <v>4439</v>
      </c>
      <c r="B2708">
        <v>19</v>
      </c>
      <c r="C2708" t="s">
        <v>4973</v>
      </c>
      <c r="D2708" t="s">
        <v>4524</v>
      </c>
      <c r="E2708" t="s">
        <v>4406</v>
      </c>
      <c r="F2708" t="s">
        <v>4406</v>
      </c>
    </row>
    <row r="2709" spans="1:6" x14ac:dyDescent="0.25">
      <c r="A2709" t="s">
        <v>1400</v>
      </c>
      <c r="B2709">
        <v>4</v>
      </c>
      <c r="C2709" t="s">
        <v>4462</v>
      </c>
      <c r="D2709" t="s">
        <v>4468</v>
      </c>
      <c r="E2709" t="s">
        <v>4462</v>
      </c>
      <c r="F2709" t="s">
        <v>4406</v>
      </c>
    </row>
    <row r="2710" spans="1:6" x14ac:dyDescent="0.25">
      <c r="A2710" t="s">
        <v>1340</v>
      </c>
      <c r="B2710">
        <v>21</v>
      </c>
      <c r="C2710" t="s">
        <v>4784</v>
      </c>
      <c r="D2710" t="s">
        <v>4749</v>
      </c>
      <c r="E2710" t="s">
        <v>4749</v>
      </c>
      <c r="F2710" t="s">
        <v>4675</v>
      </c>
    </row>
    <row r="2711" spans="1:6" x14ac:dyDescent="0.25">
      <c r="A2711" t="s">
        <v>1426</v>
      </c>
      <c r="B2711">
        <v>9</v>
      </c>
      <c r="C2711" t="s">
        <v>4469</v>
      </c>
      <c r="D2711" t="s">
        <v>4731</v>
      </c>
      <c r="E2711" t="s">
        <v>4676</v>
      </c>
      <c r="F2711" t="s">
        <v>4406</v>
      </c>
    </row>
    <row r="2712" spans="1:6" x14ac:dyDescent="0.25">
      <c r="A2712" t="s">
        <v>1372</v>
      </c>
      <c r="B2712">
        <v>43</v>
      </c>
      <c r="C2712" t="s">
        <v>5539</v>
      </c>
      <c r="D2712" t="s">
        <v>4921</v>
      </c>
      <c r="E2712" t="s">
        <v>4849</v>
      </c>
      <c r="F2712" t="s">
        <v>4753</v>
      </c>
    </row>
    <row r="2713" spans="1:6" x14ac:dyDescent="0.25">
      <c r="A2713" t="s">
        <v>1296</v>
      </c>
      <c r="B2713">
        <v>138</v>
      </c>
      <c r="C2713" t="s">
        <v>4980</v>
      </c>
      <c r="D2713" t="s">
        <v>4587</v>
      </c>
      <c r="E2713" t="s">
        <v>4666</v>
      </c>
      <c r="F2713" t="s">
        <v>4581</v>
      </c>
    </row>
    <row r="2715" spans="1:6" x14ac:dyDescent="0.25">
      <c r="A2715" t="s">
        <v>6489</v>
      </c>
    </row>
    <row r="2716" spans="1:6" x14ac:dyDescent="0.25">
      <c r="A2716" t="s">
        <v>903</v>
      </c>
      <c r="B2716" t="s">
        <v>4394</v>
      </c>
      <c r="C2716" t="s">
        <v>5302</v>
      </c>
      <c r="D2716" t="s">
        <v>5303</v>
      </c>
      <c r="E2716" t="s">
        <v>5304</v>
      </c>
      <c r="F2716" t="s">
        <v>5306</v>
      </c>
    </row>
    <row r="2717" spans="1:6" x14ac:dyDescent="0.25">
      <c r="A2717" t="s">
        <v>70</v>
      </c>
      <c r="B2717">
        <v>37</v>
      </c>
      <c r="C2717" t="s">
        <v>5223</v>
      </c>
      <c r="D2717" t="s">
        <v>4924</v>
      </c>
      <c r="E2717" t="s">
        <v>4408</v>
      </c>
      <c r="F2717" t="s">
        <v>4931</v>
      </c>
    </row>
    <row r="2718" spans="1:6" x14ac:dyDescent="0.25">
      <c r="A2718" t="s">
        <v>71</v>
      </c>
      <c r="B2718">
        <v>101</v>
      </c>
      <c r="C2718" t="s">
        <v>5316</v>
      </c>
      <c r="D2718" t="s">
        <v>4859</v>
      </c>
      <c r="E2718" t="s">
        <v>4699</v>
      </c>
      <c r="F2718" t="s">
        <v>4744</v>
      </c>
    </row>
    <row r="2719" spans="1:6" x14ac:dyDescent="0.25">
      <c r="A2719" t="s">
        <v>1296</v>
      </c>
      <c r="B2719">
        <v>138</v>
      </c>
      <c r="C2719" t="s">
        <v>4980</v>
      </c>
      <c r="D2719" t="s">
        <v>4587</v>
      </c>
      <c r="E2719" t="s">
        <v>4666</v>
      </c>
      <c r="F2719" t="s">
        <v>4581</v>
      </c>
    </row>
    <row r="2721" spans="1:4" x14ac:dyDescent="0.25">
      <c r="A2721" t="s">
        <v>6490</v>
      </c>
    </row>
    <row r="2722" spans="1:4" x14ac:dyDescent="0.25">
      <c r="A2722" t="s">
        <v>1006</v>
      </c>
      <c r="B2722" t="s">
        <v>4394</v>
      </c>
      <c r="C2722" t="s">
        <v>109</v>
      </c>
      <c r="D2722" t="s">
        <v>192</v>
      </c>
    </row>
    <row r="2723" spans="1:4" x14ac:dyDescent="0.25">
      <c r="A2723" t="s">
        <v>1371</v>
      </c>
      <c r="B2723">
        <v>26</v>
      </c>
      <c r="C2723">
        <v>3</v>
      </c>
      <c r="D2723">
        <v>23</v>
      </c>
    </row>
    <row r="2724" spans="1:4" x14ac:dyDescent="0.25">
      <c r="A2724" t="s">
        <v>1452</v>
      </c>
      <c r="B2724">
        <v>17</v>
      </c>
      <c r="C2724">
        <v>1</v>
      </c>
      <c r="D2724">
        <v>16</v>
      </c>
    </row>
    <row r="2725" spans="1:4" x14ac:dyDescent="0.25">
      <c r="A2725" t="s">
        <v>5560</v>
      </c>
      <c r="B2725">
        <v>14</v>
      </c>
      <c r="C2725">
        <v>0</v>
      </c>
      <c r="D2725">
        <v>14</v>
      </c>
    </row>
    <row r="2726" spans="1:4" x14ac:dyDescent="0.25">
      <c r="A2726" t="s">
        <v>1424</v>
      </c>
      <c r="B2726">
        <v>30</v>
      </c>
      <c r="C2726">
        <v>0</v>
      </c>
      <c r="D2726">
        <v>30</v>
      </c>
    </row>
    <row r="2727" spans="1:4" x14ac:dyDescent="0.25">
      <c r="A2727" t="s">
        <v>1340</v>
      </c>
      <c r="B2727">
        <v>21</v>
      </c>
      <c r="C2727">
        <v>0</v>
      </c>
      <c r="D2727">
        <v>21</v>
      </c>
    </row>
    <row r="2728" spans="1:4" x14ac:dyDescent="0.25">
      <c r="A2728" t="s">
        <v>5561</v>
      </c>
      <c r="B2728">
        <v>6</v>
      </c>
      <c r="C2728">
        <v>0</v>
      </c>
      <c r="D2728">
        <v>6</v>
      </c>
    </row>
    <row r="2729" spans="1:4" x14ac:dyDescent="0.25">
      <c r="A2729" t="s">
        <v>1416</v>
      </c>
      <c r="B2729">
        <v>24</v>
      </c>
      <c r="C2729">
        <v>1</v>
      </c>
      <c r="D2729">
        <v>23</v>
      </c>
    </row>
    <row r="2730" spans="1:4" x14ac:dyDescent="0.25">
      <c r="A2730" t="s">
        <v>1296</v>
      </c>
      <c r="B2730">
        <v>138</v>
      </c>
      <c r="C2730">
        <v>5</v>
      </c>
      <c r="D2730">
        <v>133</v>
      </c>
    </row>
    <row r="2732" spans="1:4" x14ac:dyDescent="0.25">
      <c r="A2732" t="s">
        <v>6491</v>
      </c>
    </row>
    <row r="2733" spans="1:4" x14ac:dyDescent="0.25">
      <c r="A2733" t="s">
        <v>5521</v>
      </c>
      <c r="B2733" t="s">
        <v>4394</v>
      </c>
      <c r="C2733" t="s">
        <v>109</v>
      </c>
      <c r="D2733" t="s">
        <v>192</v>
      </c>
    </row>
    <row r="2734" spans="1:4" x14ac:dyDescent="0.25">
      <c r="A2734" t="s">
        <v>4438</v>
      </c>
      <c r="B2734">
        <v>53</v>
      </c>
      <c r="C2734" t="s">
        <v>4952</v>
      </c>
      <c r="D2734" t="s">
        <v>5143</v>
      </c>
    </row>
    <row r="2735" spans="1:4" x14ac:dyDescent="0.25">
      <c r="A2735" t="s">
        <v>4439</v>
      </c>
      <c r="B2735">
        <v>29</v>
      </c>
      <c r="C2735" t="s">
        <v>4888</v>
      </c>
      <c r="D2735" t="s">
        <v>5547</v>
      </c>
    </row>
    <row r="2736" spans="1:4" x14ac:dyDescent="0.25">
      <c r="A2736" t="s">
        <v>1400</v>
      </c>
      <c r="B2736">
        <v>4</v>
      </c>
      <c r="C2736" t="s">
        <v>4406</v>
      </c>
      <c r="D2736" t="s">
        <v>4454</v>
      </c>
    </row>
    <row r="2737" spans="1:4" x14ac:dyDescent="0.25">
      <c r="A2737" t="s">
        <v>1340</v>
      </c>
      <c r="B2737">
        <v>23</v>
      </c>
      <c r="C2737" t="s">
        <v>4406</v>
      </c>
      <c r="D2737" t="s">
        <v>4454</v>
      </c>
    </row>
    <row r="2738" spans="1:4" x14ac:dyDescent="0.25">
      <c r="A2738" t="s">
        <v>1426</v>
      </c>
      <c r="B2738">
        <v>1</v>
      </c>
      <c r="C2738" t="s">
        <v>4406</v>
      </c>
      <c r="D2738" t="s">
        <v>4454</v>
      </c>
    </row>
    <row r="2739" spans="1:4" x14ac:dyDescent="0.25">
      <c r="A2739" t="s">
        <v>1372</v>
      </c>
      <c r="B2739">
        <v>28</v>
      </c>
      <c r="C2739" t="s">
        <v>4987</v>
      </c>
      <c r="D2739" t="s">
        <v>5023</v>
      </c>
    </row>
    <row r="2740" spans="1:4" x14ac:dyDescent="0.25">
      <c r="A2740" t="s">
        <v>1296</v>
      </c>
      <c r="B2740">
        <v>138</v>
      </c>
      <c r="C2740" t="s">
        <v>5076</v>
      </c>
      <c r="D2740" t="s">
        <v>5279</v>
      </c>
    </row>
    <row r="2742" spans="1:4" x14ac:dyDescent="0.25">
      <c r="A2742" t="s">
        <v>6492</v>
      </c>
    </row>
    <row r="2743" spans="1:4" x14ac:dyDescent="0.25">
      <c r="A2743" t="s">
        <v>5518</v>
      </c>
      <c r="B2743" t="s">
        <v>4394</v>
      </c>
      <c r="C2743" t="s">
        <v>109</v>
      </c>
      <c r="D2743" t="s">
        <v>192</v>
      </c>
    </row>
    <row r="2744" spans="1:4" x14ac:dyDescent="0.25">
      <c r="A2744" t="s">
        <v>4438</v>
      </c>
      <c r="B2744">
        <v>60</v>
      </c>
      <c r="C2744" t="s">
        <v>4416</v>
      </c>
      <c r="D2744" t="s">
        <v>5200</v>
      </c>
    </row>
    <row r="2745" spans="1:4" x14ac:dyDescent="0.25">
      <c r="A2745" t="s">
        <v>4439</v>
      </c>
      <c r="B2745">
        <v>26</v>
      </c>
      <c r="C2745" t="s">
        <v>4406</v>
      </c>
      <c r="D2745" t="s">
        <v>4454</v>
      </c>
    </row>
    <row r="2746" spans="1:4" x14ac:dyDescent="0.25">
      <c r="A2746" t="s">
        <v>1400</v>
      </c>
      <c r="B2746">
        <v>6</v>
      </c>
      <c r="C2746" t="s">
        <v>4406</v>
      </c>
      <c r="D2746" t="s">
        <v>4454</v>
      </c>
    </row>
    <row r="2747" spans="1:4" x14ac:dyDescent="0.25">
      <c r="A2747" t="s">
        <v>1340</v>
      </c>
      <c r="B2747">
        <v>23</v>
      </c>
      <c r="C2747" t="s">
        <v>4406</v>
      </c>
      <c r="D2747" t="s">
        <v>4454</v>
      </c>
    </row>
    <row r="2748" spans="1:4" x14ac:dyDescent="0.25">
      <c r="A2748" t="s">
        <v>1372</v>
      </c>
      <c r="B2748">
        <v>23</v>
      </c>
      <c r="C2748" t="s">
        <v>4667</v>
      </c>
      <c r="D2748" t="s">
        <v>4994</v>
      </c>
    </row>
    <row r="2749" spans="1:4" x14ac:dyDescent="0.25">
      <c r="A2749" t="s">
        <v>1296</v>
      </c>
      <c r="B2749">
        <v>138</v>
      </c>
      <c r="C2749" t="s">
        <v>5076</v>
      </c>
      <c r="D2749" t="s">
        <v>5279</v>
      </c>
    </row>
    <row r="2751" spans="1:4" x14ac:dyDescent="0.25">
      <c r="A2751" t="s">
        <v>6493</v>
      </c>
    </row>
    <row r="2752" spans="1:4" x14ac:dyDescent="0.25">
      <c r="A2752" t="s">
        <v>1009</v>
      </c>
      <c r="B2752" t="s">
        <v>4394</v>
      </c>
      <c r="C2752" t="s">
        <v>109</v>
      </c>
      <c r="D2752" t="s">
        <v>192</v>
      </c>
    </row>
    <row r="2753" spans="1:4" x14ac:dyDescent="0.25">
      <c r="A2753" t="s">
        <v>4438</v>
      </c>
      <c r="B2753">
        <v>42</v>
      </c>
      <c r="C2753" t="s">
        <v>4424</v>
      </c>
      <c r="D2753" t="s">
        <v>5340</v>
      </c>
    </row>
    <row r="2754" spans="1:4" x14ac:dyDescent="0.25">
      <c r="A2754" t="s">
        <v>4439</v>
      </c>
      <c r="B2754">
        <v>19</v>
      </c>
      <c r="C2754" t="s">
        <v>4406</v>
      </c>
      <c r="D2754" t="s">
        <v>4454</v>
      </c>
    </row>
    <row r="2755" spans="1:4" x14ac:dyDescent="0.25">
      <c r="A2755" t="s">
        <v>1400</v>
      </c>
      <c r="B2755">
        <v>4</v>
      </c>
      <c r="C2755" t="s">
        <v>4406</v>
      </c>
      <c r="D2755" t="s">
        <v>4454</v>
      </c>
    </row>
    <row r="2756" spans="1:4" x14ac:dyDescent="0.25">
      <c r="A2756" t="s">
        <v>1340</v>
      </c>
      <c r="B2756">
        <v>21</v>
      </c>
      <c r="C2756" t="s">
        <v>4406</v>
      </c>
      <c r="D2756" t="s">
        <v>4454</v>
      </c>
    </row>
    <row r="2757" spans="1:4" x14ac:dyDescent="0.25">
      <c r="A2757" t="s">
        <v>1426</v>
      </c>
      <c r="B2757">
        <v>9</v>
      </c>
      <c r="C2757" t="s">
        <v>4676</v>
      </c>
      <c r="D2757" t="s">
        <v>5005</v>
      </c>
    </row>
    <row r="2758" spans="1:4" x14ac:dyDescent="0.25">
      <c r="A2758" t="s">
        <v>1372</v>
      </c>
      <c r="B2758">
        <v>43</v>
      </c>
      <c r="C2758" t="s">
        <v>4861</v>
      </c>
      <c r="D2758" t="s">
        <v>5432</v>
      </c>
    </row>
    <row r="2759" spans="1:4" x14ac:dyDescent="0.25">
      <c r="A2759" t="s">
        <v>1296</v>
      </c>
      <c r="B2759">
        <v>138</v>
      </c>
      <c r="C2759" t="s">
        <v>5076</v>
      </c>
      <c r="D2759" t="s">
        <v>5279</v>
      </c>
    </row>
    <row r="2761" spans="1:4" x14ac:dyDescent="0.25">
      <c r="A2761" t="s">
        <v>6494</v>
      </c>
    </row>
    <row r="2762" spans="1:4" x14ac:dyDescent="0.25">
      <c r="A2762" t="s">
        <v>1011</v>
      </c>
      <c r="B2762" t="s">
        <v>4394</v>
      </c>
      <c r="C2762" t="s">
        <v>109</v>
      </c>
      <c r="D2762" t="s">
        <v>192</v>
      </c>
    </row>
    <row r="2763" spans="1:4" x14ac:dyDescent="0.25">
      <c r="A2763" t="s">
        <v>4438</v>
      </c>
      <c r="B2763">
        <v>54</v>
      </c>
      <c r="C2763" t="s">
        <v>4958</v>
      </c>
      <c r="D2763" t="s">
        <v>5540</v>
      </c>
    </row>
    <row r="2764" spans="1:4" x14ac:dyDescent="0.25">
      <c r="A2764" t="s">
        <v>4439</v>
      </c>
      <c r="B2764">
        <v>23</v>
      </c>
      <c r="C2764" t="s">
        <v>4406</v>
      </c>
      <c r="D2764" t="s">
        <v>4454</v>
      </c>
    </row>
    <row r="2765" spans="1:4" x14ac:dyDescent="0.25">
      <c r="A2765" t="s">
        <v>1400</v>
      </c>
      <c r="B2765">
        <v>2</v>
      </c>
      <c r="C2765" t="s">
        <v>4406</v>
      </c>
      <c r="D2765" t="s">
        <v>4454</v>
      </c>
    </row>
    <row r="2766" spans="1:4" x14ac:dyDescent="0.25">
      <c r="A2766" t="s">
        <v>1340</v>
      </c>
      <c r="B2766">
        <v>21</v>
      </c>
      <c r="C2766" t="s">
        <v>4406</v>
      </c>
      <c r="D2766" t="s">
        <v>4454</v>
      </c>
    </row>
    <row r="2767" spans="1:4" x14ac:dyDescent="0.25">
      <c r="A2767" t="s">
        <v>1426</v>
      </c>
      <c r="B2767">
        <v>6</v>
      </c>
      <c r="C2767" t="s">
        <v>4406</v>
      </c>
      <c r="D2767" t="s">
        <v>4454</v>
      </c>
    </row>
    <row r="2768" spans="1:4" x14ac:dyDescent="0.25">
      <c r="A2768" t="s">
        <v>1372</v>
      </c>
      <c r="B2768">
        <v>32</v>
      </c>
      <c r="C2768" t="s">
        <v>4695</v>
      </c>
      <c r="D2768" t="s">
        <v>5020</v>
      </c>
    </row>
    <row r="2769" spans="1:4" x14ac:dyDescent="0.25">
      <c r="A2769" t="s">
        <v>1296</v>
      </c>
      <c r="B2769">
        <v>138</v>
      </c>
      <c r="C2769" t="s">
        <v>5076</v>
      </c>
      <c r="D2769" t="s">
        <v>5279</v>
      </c>
    </row>
    <row r="2771" spans="1:4" x14ac:dyDescent="0.25">
      <c r="A2771" t="s">
        <v>5541</v>
      </c>
    </row>
    <row r="2772" spans="1:4" x14ac:dyDescent="0.25">
      <c r="A2772" t="s">
        <v>2842</v>
      </c>
      <c r="B2772" t="s">
        <v>4394</v>
      </c>
      <c r="C2772" t="s">
        <v>109</v>
      </c>
      <c r="D2772" t="s">
        <v>192</v>
      </c>
    </row>
    <row r="2773" spans="1:4" x14ac:dyDescent="0.25">
      <c r="A2773" t="s">
        <v>5549</v>
      </c>
      <c r="B2773">
        <v>83</v>
      </c>
      <c r="C2773" t="s">
        <v>5076</v>
      </c>
      <c r="D2773" t="s">
        <v>5279</v>
      </c>
    </row>
    <row r="2774" spans="1:4" x14ac:dyDescent="0.25">
      <c r="A2774" t="s">
        <v>1397</v>
      </c>
      <c r="B2774">
        <v>55</v>
      </c>
      <c r="C2774" t="s">
        <v>5076</v>
      </c>
      <c r="D2774" t="s">
        <v>5279</v>
      </c>
    </row>
    <row r="2775" spans="1:4" x14ac:dyDescent="0.25">
      <c r="A2775" t="s">
        <v>1296</v>
      </c>
      <c r="B2775">
        <v>138</v>
      </c>
      <c r="C2775" t="s">
        <v>5076</v>
      </c>
      <c r="D2775" t="s">
        <v>5279</v>
      </c>
    </row>
    <row r="2777" spans="1:4" x14ac:dyDescent="0.25">
      <c r="A2777" t="s">
        <v>5542</v>
      </c>
    </row>
    <row r="2778" spans="1:4" x14ac:dyDescent="0.25">
      <c r="A2778" t="s">
        <v>2615</v>
      </c>
      <c r="B2778" t="s">
        <v>4394</v>
      </c>
      <c r="C2778" t="s">
        <v>109</v>
      </c>
      <c r="D2778" t="s">
        <v>192</v>
      </c>
    </row>
    <row r="2779" spans="1:4" x14ac:dyDescent="0.25">
      <c r="A2779" t="s">
        <v>5057</v>
      </c>
      <c r="B2779">
        <v>81</v>
      </c>
      <c r="C2779" t="s">
        <v>4954</v>
      </c>
      <c r="D2779" t="s">
        <v>5431</v>
      </c>
    </row>
    <row r="2780" spans="1:4" x14ac:dyDescent="0.25">
      <c r="A2780" t="s">
        <v>5060</v>
      </c>
      <c r="B2780">
        <v>55</v>
      </c>
      <c r="C2780" t="s">
        <v>5076</v>
      </c>
      <c r="D2780" t="s">
        <v>5279</v>
      </c>
    </row>
    <row r="2781" spans="1:4" x14ac:dyDescent="0.25">
      <c r="A2781" t="s">
        <v>5061</v>
      </c>
      <c r="B2781">
        <v>2</v>
      </c>
      <c r="C2781" t="s">
        <v>4406</v>
      </c>
      <c r="D2781" t="s">
        <v>4454</v>
      </c>
    </row>
    <row r="2782" spans="1:4" x14ac:dyDescent="0.25">
      <c r="A2782" t="s">
        <v>1296</v>
      </c>
      <c r="B2782">
        <v>138</v>
      </c>
      <c r="C2782" t="s">
        <v>5076</v>
      </c>
      <c r="D2782" t="s">
        <v>5279</v>
      </c>
    </row>
    <row r="2784" spans="1:4" x14ac:dyDescent="0.25">
      <c r="A2784" t="s">
        <v>5543</v>
      </c>
    </row>
    <row r="2785" spans="1:4" x14ac:dyDescent="0.25">
      <c r="A2785" t="s">
        <v>1819</v>
      </c>
      <c r="B2785" t="s">
        <v>4394</v>
      </c>
      <c r="C2785" t="s">
        <v>109</v>
      </c>
      <c r="D2785" t="s">
        <v>192</v>
      </c>
    </row>
    <row r="2786" spans="1:4" x14ac:dyDescent="0.25">
      <c r="A2786" t="s">
        <v>109</v>
      </c>
      <c r="B2786">
        <v>78</v>
      </c>
      <c r="C2786" t="s">
        <v>4720</v>
      </c>
      <c r="D2786" t="s">
        <v>5368</v>
      </c>
    </row>
    <row r="2787" spans="1:4" x14ac:dyDescent="0.25">
      <c r="A2787" t="s">
        <v>192</v>
      </c>
      <c r="B2787">
        <v>60</v>
      </c>
      <c r="C2787" t="s">
        <v>4651</v>
      </c>
      <c r="D2787" t="s">
        <v>5345</v>
      </c>
    </row>
    <row r="2788" spans="1:4" x14ac:dyDescent="0.25">
      <c r="A2788" t="s">
        <v>1296</v>
      </c>
      <c r="B2788">
        <v>138</v>
      </c>
      <c r="C2788" t="s">
        <v>5076</v>
      </c>
      <c r="D2788" t="s">
        <v>5279</v>
      </c>
    </row>
    <row r="2790" spans="1:4" x14ac:dyDescent="0.25">
      <c r="A2790" t="s">
        <v>5544</v>
      </c>
    </row>
    <row r="2791" spans="1:4" x14ac:dyDescent="0.25">
      <c r="A2791" t="s">
        <v>995</v>
      </c>
      <c r="B2791" t="s">
        <v>4394</v>
      </c>
      <c r="C2791" t="s">
        <v>109</v>
      </c>
      <c r="D2791" t="s">
        <v>192</v>
      </c>
    </row>
    <row r="2792" spans="1:4" x14ac:dyDescent="0.25">
      <c r="A2792" t="s">
        <v>1338</v>
      </c>
      <c r="B2792">
        <v>43</v>
      </c>
      <c r="C2792">
        <v>2</v>
      </c>
      <c r="D2792">
        <v>41</v>
      </c>
    </row>
    <row r="2793" spans="1:4" x14ac:dyDescent="0.25">
      <c r="A2793" t="s">
        <v>1370</v>
      </c>
      <c r="B2793">
        <v>10</v>
      </c>
      <c r="C2793">
        <v>0</v>
      </c>
      <c r="D2793">
        <v>10</v>
      </c>
    </row>
    <row r="2794" spans="1:4" x14ac:dyDescent="0.25">
      <c r="A2794" t="s">
        <v>1439</v>
      </c>
      <c r="B2794">
        <v>7</v>
      </c>
      <c r="C2794">
        <v>0</v>
      </c>
      <c r="D2794">
        <v>7</v>
      </c>
    </row>
    <row r="2795" spans="1:4" x14ac:dyDescent="0.25">
      <c r="A2795" t="s">
        <v>1476</v>
      </c>
      <c r="B2795">
        <v>5</v>
      </c>
      <c r="C2795">
        <v>0</v>
      </c>
      <c r="D2795">
        <v>5</v>
      </c>
    </row>
    <row r="2796" spans="1:4" x14ac:dyDescent="0.25">
      <c r="A2796" t="s">
        <v>5476</v>
      </c>
      <c r="B2796">
        <v>2</v>
      </c>
      <c r="C2796">
        <v>0</v>
      </c>
      <c r="D2796">
        <v>2</v>
      </c>
    </row>
    <row r="2797" spans="1:4" x14ac:dyDescent="0.25">
      <c r="A2797" t="s">
        <v>1399</v>
      </c>
      <c r="B2797">
        <v>23</v>
      </c>
      <c r="C2797">
        <v>1</v>
      </c>
      <c r="D2797">
        <v>22</v>
      </c>
    </row>
    <row r="2798" spans="1:4" x14ac:dyDescent="0.25">
      <c r="A2798" t="s">
        <v>1415</v>
      </c>
      <c r="B2798">
        <v>48</v>
      </c>
      <c r="C2798">
        <v>2</v>
      </c>
      <c r="D2798">
        <v>46</v>
      </c>
    </row>
    <row r="2799" spans="1:4" x14ac:dyDescent="0.25">
      <c r="A2799" t="s">
        <v>1296</v>
      </c>
      <c r="B2799">
        <v>138</v>
      </c>
      <c r="C2799">
        <v>5</v>
      </c>
      <c r="D2799">
        <v>133</v>
      </c>
    </row>
    <row r="2801" spans="1:7" x14ac:dyDescent="0.25">
      <c r="A2801" t="s">
        <v>5545</v>
      </c>
    </row>
    <row r="2802" spans="1:7" x14ac:dyDescent="0.25">
      <c r="A2802" t="s">
        <v>998</v>
      </c>
      <c r="B2802" t="s">
        <v>4394</v>
      </c>
      <c r="C2802" t="s">
        <v>109</v>
      </c>
      <c r="D2802" t="s">
        <v>192</v>
      </c>
    </row>
    <row r="2803" spans="1:7" x14ac:dyDescent="0.25">
      <c r="A2803" t="s">
        <v>109</v>
      </c>
      <c r="B2803">
        <v>125</v>
      </c>
      <c r="C2803" t="s">
        <v>4713</v>
      </c>
      <c r="D2803" t="s">
        <v>5414</v>
      </c>
    </row>
    <row r="2804" spans="1:7" x14ac:dyDescent="0.25">
      <c r="A2804" t="s">
        <v>192</v>
      </c>
      <c r="B2804">
        <v>13</v>
      </c>
      <c r="C2804" t="s">
        <v>4705</v>
      </c>
      <c r="D2804" t="s">
        <v>4993</v>
      </c>
    </row>
    <row r="2805" spans="1:7" x14ac:dyDescent="0.25">
      <c r="A2805" t="s">
        <v>1296</v>
      </c>
      <c r="B2805">
        <v>138</v>
      </c>
      <c r="C2805" t="s">
        <v>5076</v>
      </c>
      <c r="D2805" t="s">
        <v>5279</v>
      </c>
    </row>
    <row r="2807" spans="1:7" x14ac:dyDescent="0.25">
      <c r="A2807" t="s">
        <v>6495</v>
      </c>
    </row>
    <row r="2808" spans="1:7" x14ac:dyDescent="0.25">
      <c r="A2808" t="s">
        <v>2842</v>
      </c>
      <c r="B2808" t="s">
        <v>4394</v>
      </c>
      <c r="C2808" t="s">
        <v>4428</v>
      </c>
      <c r="D2808" t="s">
        <v>4429</v>
      </c>
      <c r="E2808" t="s">
        <v>4430</v>
      </c>
      <c r="F2808" t="s">
        <v>4431</v>
      </c>
      <c r="G2808" t="s">
        <v>4432</v>
      </c>
    </row>
    <row r="2809" spans="1:7" x14ac:dyDescent="0.25">
      <c r="A2809" t="s">
        <v>5549</v>
      </c>
      <c r="B2809">
        <v>83</v>
      </c>
      <c r="C2809">
        <v>2812.65</v>
      </c>
      <c r="D2809">
        <v>3000</v>
      </c>
      <c r="E2809">
        <v>0</v>
      </c>
      <c r="F2809">
        <v>7800</v>
      </c>
      <c r="G2809">
        <v>233450</v>
      </c>
    </row>
    <row r="2810" spans="1:7" x14ac:dyDescent="0.25">
      <c r="A2810" t="s">
        <v>1397</v>
      </c>
      <c r="B2810">
        <v>55</v>
      </c>
      <c r="C2810">
        <v>2212.73</v>
      </c>
      <c r="D2810">
        <v>2250</v>
      </c>
      <c r="E2810">
        <v>0</v>
      </c>
      <c r="F2810">
        <v>7600</v>
      </c>
      <c r="G2810">
        <v>121700</v>
      </c>
    </row>
    <row r="2812" spans="1:7" x14ac:dyDescent="0.25">
      <c r="A2812" t="s">
        <v>6496</v>
      </c>
    </row>
    <row r="2813" spans="1:7" x14ac:dyDescent="0.25">
      <c r="A2813" t="s">
        <v>2842</v>
      </c>
      <c r="B2813" t="s">
        <v>4394</v>
      </c>
      <c r="C2813" t="s">
        <v>1373</v>
      </c>
      <c r="D2813" t="s">
        <v>1440</v>
      </c>
      <c r="E2813" t="s">
        <v>1425</v>
      </c>
      <c r="F2813" t="s">
        <v>1374</v>
      </c>
      <c r="G2813" t="s">
        <v>1341</v>
      </c>
    </row>
    <row r="2814" spans="1:7" x14ac:dyDescent="0.25">
      <c r="A2814" t="s">
        <v>5549</v>
      </c>
      <c r="B2814">
        <v>83</v>
      </c>
      <c r="C2814" t="s">
        <v>4749</v>
      </c>
      <c r="D2814" t="s">
        <v>4870</v>
      </c>
      <c r="E2814" t="s">
        <v>5474</v>
      </c>
      <c r="F2814" t="s">
        <v>4559</v>
      </c>
      <c r="G2814" t="s">
        <v>4904</v>
      </c>
    </row>
    <row r="2815" spans="1:7" x14ac:dyDescent="0.25">
      <c r="A2815" t="s">
        <v>1397</v>
      </c>
      <c r="B2815">
        <v>55</v>
      </c>
      <c r="C2815" t="s">
        <v>4960</v>
      </c>
      <c r="D2815" t="s">
        <v>4591</v>
      </c>
      <c r="E2815" t="s">
        <v>4500</v>
      </c>
      <c r="F2815" t="s">
        <v>5206</v>
      </c>
      <c r="G2815" t="s">
        <v>5252</v>
      </c>
    </row>
    <row r="2816" spans="1:7" x14ac:dyDescent="0.25">
      <c r="A2816" t="s">
        <v>1296</v>
      </c>
      <c r="B2816">
        <v>138</v>
      </c>
      <c r="C2816" t="s">
        <v>4849</v>
      </c>
      <c r="D2816" t="s">
        <v>5086</v>
      </c>
      <c r="E2816" t="s">
        <v>4443</v>
      </c>
      <c r="F2816" t="s">
        <v>4670</v>
      </c>
      <c r="G2816" t="s">
        <v>4712</v>
      </c>
    </row>
    <row r="2818" spans="1:7" x14ac:dyDescent="0.25">
      <c r="A2818" t="s">
        <v>6497</v>
      </c>
    </row>
    <row r="2819" spans="1:7" x14ac:dyDescent="0.25">
      <c r="A2819" t="s">
        <v>995</v>
      </c>
      <c r="B2819" t="s">
        <v>4394</v>
      </c>
      <c r="C2819" t="s">
        <v>1373</v>
      </c>
      <c r="D2819" t="s">
        <v>1440</v>
      </c>
      <c r="E2819" t="s">
        <v>1425</v>
      </c>
      <c r="F2819" t="s">
        <v>1374</v>
      </c>
      <c r="G2819" t="s">
        <v>1341</v>
      </c>
    </row>
    <row r="2820" spans="1:7" x14ac:dyDescent="0.25">
      <c r="A2820" t="s">
        <v>1338</v>
      </c>
      <c r="B2820">
        <v>43</v>
      </c>
      <c r="C2820">
        <v>7</v>
      </c>
      <c r="D2820">
        <v>11</v>
      </c>
      <c r="E2820">
        <v>12</v>
      </c>
      <c r="F2820">
        <v>2</v>
      </c>
      <c r="G2820">
        <v>11</v>
      </c>
    </row>
    <row r="2821" spans="1:7" x14ac:dyDescent="0.25">
      <c r="A2821" t="s">
        <v>1370</v>
      </c>
      <c r="B2821">
        <v>10</v>
      </c>
      <c r="C2821">
        <v>2</v>
      </c>
      <c r="D2821">
        <v>2</v>
      </c>
      <c r="E2821">
        <v>2</v>
      </c>
      <c r="F2821">
        <v>0</v>
      </c>
      <c r="G2821">
        <v>4</v>
      </c>
    </row>
    <row r="2822" spans="1:7" x14ac:dyDescent="0.25">
      <c r="A2822" t="s">
        <v>1439</v>
      </c>
      <c r="B2822">
        <v>7</v>
      </c>
      <c r="C2822">
        <v>2</v>
      </c>
      <c r="D2822">
        <v>0</v>
      </c>
      <c r="E2822">
        <v>0</v>
      </c>
      <c r="F2822">
        <v>2</v>
      </c>
      <c r="G2822">
        <v>3</v>
      </c>
    </row>
    <row r="2823" spans="1:7" x14ac:dyDescent="0.25">
      <c r="A2823" t="s">
        <v>1476</v>
      </c>
      <c r="B2823">
        <v>5</v>
      </c>
      <c r="C2823">
        <v>1</v>
      </c>
      <c r="D2823">
        <v>1</v>
      </c>
      <c r="E2823">
        <v>2</v>
      </c>
      <c r="F2823">
        <v>0</v>
      </c>
      <c r="G2823">
        <v>1</v>
      </c>
    </row>
    <row r="2824" spans="1:7" x14ac:dyDescent="0.25">
      <c r="A2824" t="s">
        <v>5476</v>
      </c>
      <c r="B2824">
        <v>2</v>
      </c>
      <c r="C2824">
        <v>2</v>
      </c>
      <c r="D2824">
        <v>0</v>
      </c>
      <c r="E2824">
        <v>0</v>
      </c>
      <c r="F2824">
        <v>0</v>
      </c>
      <c r="G2824">
        <v>0</v>
      </c>
    </row>
    <row r="2825" spans="1:7" x14ac:dyDescent="0.25">
      <c r="A2825" t="s">
        <v>1399</v>
      </c>
      <c r="B2825">
        <v>23</v>
      </c>
      <c r="C2825">
        <v>0</v>
      </c>
      <c r="D2825">
        <v>5</v>
      </c>
      <c r="E2825">
        <v>9</v>
      </c>
      <c r="F2825">
        <v>2</v>
      </c>
      <c r="G2825">
        <v>7</v>
      </c>
    </row>
    <row r="2826" spans="1:7" x14ac:dyDescent="0.25">
      <c r="A2826" t="s">
        <v>1415</v>
      </c>
      <c r="B2826">
        <v>48</v>
      </c>
      <c r="C2826">
        <v>2</v>
      </c>
      <c r="D2826">
        <v>8</v>
      </c>
      <c r="E2826">
        <v>7</v>
      </c>
      <c r="F2826">
        <v>3</v>
      </c>
      <c r="G2826">
        <v>28</v>
      </c>
    </row>
    <row r="2827" spans="1:7" x14ac:dyDescent="0.25">
      <c r="A2827" t="s">
        <v>1296</v>
      </c>
      <c r="B2827">
        <v>138</v>
      </c>
      <c r="C2827">
        <v>16</v>
      </c>
      <c r="D2827">
        <v>27</v>
      </c>
      <c r="E2827">
        <v>32</v>
      </c>
      <c r="F2827">
        <v>9</v>
      </c>
      <c r="G2827">
        <v>54</v>
      </c>
    </row>
    <row r="2829" spans="1:7" x14ac:dyDescent="0.25">
      <c r="A2829" t="s">
        <v>6498</v>
      </c>
    </row>
    <row r="2830" spans="1:7" x14ac:dyDescent="0.25">
      <c r="A2830" t="s">
        <v>998</v>
      </c>
      <c r="B2830" t="s">
        <v>4394</v>
      </c>
      <c r="C2830" t="s">
        <v>1373</v>
      </c>
      <c r="D2830" t="s">
        <v>1440</v>
      </c>
      <c r="E2830" t="s">
        <v>1425</v>
      </c>
      <c r="F2830" t="s">
        <v>1374</v>
      </c>
      <c r="G2830" t="s">
        <v>1341</v>
      </c>
    </row>
    <row r="2831" spans="1:7" x14ac:dyDescent="0.25">
      <c r="A2831" t="s">
        <v>109</v>
      </c>
      <c r="B2831">
        <v>125</v>
      </c>
      <c r="C2831" t="s">
        <v>5064</v>
      </c>
      <c r="D2831" t="s">
        <v>4924</v>
      </c>
      <c r="E2831" t="s">
        <v>4486</v>
      </c>
      <c r="F2831" t="s">
        <v>4856</v>
      </c>
      <c r="G2831" t="s">
        <v>5124</v>
      </c>
    </row>
    <row r="2832" spans="1:7" x14ac:dyDescent="0.25">
      <c r="A2832" t="s">
        <v>192</v>
      </c>
      <c r="B2832">
        <v>13</v>
      </c>
      <c r="C2832" t="s">
        <v>4474</v>
      </c>
      <c r="D2832" t="s">
        <v>4406</v>
      </c>
      <c r="E2832" t="s">
        <v>4705</v>
      </c>
      <c r="F2832" t="s">
        <v>4705</v>
      </c>
      <c r="G2832" t="s">
        <v>5419</v>
      </c>
    </row>
    <row r="2833" spans="1:7" x14ac:dyDescent="0.25">
      <c r="A2833" t="s">
        <v>1296</v>
      </c>
      <c r="B2833">
        <v>138</v>
      </c>
      <c r="C2833" t="s">
        <v>4849</v>
      </c>
      <c r="D2833" t="s">
        <v>5086</v>
      </c>
      <c r="E2833" t="s">
        <v>4443</v>
      </c>
      <c r="F2833" t="s">
        <v>4670</v>
      </c>
      <c r="G2833" t="s">
        <v>4712</v>
      </c>
    </row>
    <row r="2835" spans="1:7" x14ac:dyDescent="0.25">
      <c r="A2835" t="s">
        <v>6499</v>
      </c>
    </row>
    <row r="2836" spans="1:7" x14ac:dyDescent="0.25">
      <c r="A2836" t="s">
        <v>1006</v>
      </c>
      <c r="B2836" t="s">
        <v>4394</v>
      </c>
      <c r="C2836" t="s">
        <v>1373</v>
      </c>
      <c r="D2836" t="s">
        <v>1440</v>
      </c>
      <c r="E2836" t="s">
        <v>1425</v>
      </c>
      <c r="F2836" t="s">
        <v>1374</v>
      </c>
      <c r="G2836" t="s">
        <v>1341</v>
      </c>
    </row>
    <row r="2837" spans="1:7" x14ac:dyDescent="0.25">
      <c r="A2837" t="s">
        <v>1371</v>
      </c>
      <c r="B2837">
        <v>26</v>
      </c>
      <c r="C2837">
        <v>1</v>
      </c>
      <c r="D2837">
        <v>10</v>
      </c>
      <c r="E2837">
        <v>7</v>
      </c>
      <c r="F2837">
        <v>1</v>
      </c>
      <c r="G2837">
        <v>7</v>
      </c>
    </row>
    <row r="2838" spans="1:7" x14ac:dyDescent="0.25">
      <c r="A2838" t="s">
        <v>1452</v>
      </c>
      <c r="B2838">
        <v>17</v>
      </c>
      <c r="C2838">
        <v>0</v>
      </c>
      <c r="D2838">
        <v>3</v>
      </c>
      <c r="E2838">
        <v>5</v>
      </c>
      <c r="F2838">
        <v>1</v>
      </c>
      <c r="G2838">
        <v>8</v>
      </c>
    </row>
    <row r="2839" spans="1:7" x14ac:dyDescent="0.25">
      <c r="A2839" t="s">
        <v>5560</v>
      </c>
      <c r="B2839">
        <v>14</v>
      </c>
      <c r="C2839">
        <v>6</v>
      </c>
      <c r="D2839">
        <v>2</v>
      </c>
      <c r="E2839">
        <v>2</v>
      </c>
      <c r="F2839">
        <v>2</v>
      </c>
      <c r="G2839">
        <v>2</v>
      </c>
    </row>
    <row r="2840" spans="1:7" x14ac:dyDescent="0.25">
      <c r="A2840" t="s">
        <v>1424</v>
      </c>
      <c r="B2840">
        <v>30</v>
      </c>
      <c r="C2840">
        <v>2</v>
      </c>
      <c r="D2840">
        <v>7</v>
      </c>
      <c r="E2840">
        <v>8</v>
      </c>
      <c r="F2840">
        <v>3</v>
      </c>
      <c r="G2840">
        <v>10</v>
      </c>
    </row>
    <row r="2841" spans="1:7" x14ac:dyDescent="0.25">
      <c r="A2841" t="s">
        <v>1340</v>
      </c>
      <c r="B2841">
        <v>21</v>
      </c>
      <c r="C2841">
        <v>4</v>
      </c>
      <c r="D2841">
        <v>1</v>
      </c>
      <c r="E2841">
        <v>3</v>
      </c>
      <c r="F2841">
        <v>2</v>
      </c>
      <c r="G2841">
        <v>11</v>
      </c>
    </row>
    <row r="2842" spans="1:7" x14ac:dyDescent="0.25">
      <c r="A2842" t="s">
        <v>5561</v>
      </c>
      <c r="B2842">
        <v>6</v>
      </c>
      <c r="C2842">
        <v>3</v>
      </c>
      <c r="D2842">
        <v>1</v>
      </c>
      <c r="E2842">
        <v>1</v>
      </c>
      <c r="F2842">
        <v>0</v>
      </c>
      <c r="G2842">
        <v>1</v>
      </c>
    </row>
    <row r="2843" spans="1:7" x14ac:dyDescent="0.25">
      <c r="A2843" t="s">
        <v>1416</v>
      </c>
      <c r="B2843">
        <v>24</v>
      </c>
      <c r="C2843">
        <v>0</v>
      </c>
      <c r="D2843">
        <v>3</v>
      </c>
      <c r="E2843">
        <v>6</v>
      </c>
      <c r="F2843">
        <v>0</v>
      </c>
      <c r="G2843">
        <v>15</v>
      </c>
    </row>
    <row r="2844" spans="1:7" x14ac:dyDescent="0.25">
      <c r="A2844" t="s">
        <v>1296</v>
      </c>
      <c r="B2844">
        <v>138</v>
      </c>
      <c r="C2844">
        <v>16</v>
      </c>
      <c r="D2844">
        <v>27</v>
      </c>
      <c r="E2844">
        <v>32</v>
      </c>
      <c r="F2844">
        <v>9</v>
      </c>
      <c r="G2844">
        <v>54</v>
      </c>
    </row>
    <row r="2846" spans="1:7" x14ac:dyDescent="0.25">
      <c r="A2846" t="s">
        <v>6500</v>
      </c>
    </row>
    <row r="2847" spans="1:7" x14ac:dyDescent="0.25">
      <c r="A2847" t="s">
        <v>2723</v>
      </c>
      <c r="B2847" t="s">
        <v>4394</v>
      </c>
      <c r="C2847" t="s">
        <v>1373</v>
      </c>
      <c r="D2847" t="s">
        <v>1440</v>
      </c>
      <c r="E2847" t="s">
        <v>1425</v>
      </c>
      <c r="F2847" t="s">
        <v>1374</v>
      </c>
      <c r="G2847" t="s">
        <v>1341</v>
      </c>
    </row>
    <row r="2848" spans="1:7" x14ac:dyDescent="0.25">
      <c r="A2848" t="s">
        <v>4433</v>
      </c>
      <c r="B2848">
        <v>6</v>
      </c>
      <c r="C2848" t="s">
        <v>4465</v>
      </c>
      <c r="D2848" t="s">
        <v>4596</v>
      </c>
      <c r="E2848" t="s">
        <v>4465</v>
      </c>
      <c r="F2848" t="s">
        <v>4406</v>
      </c>
      <c r="G2848" t="s">
        <v>4596</v>
      </c>
    </row>
    <row r="2849" spans="1:7" x14ac:dyDescent="0.25">
      <c r="A2849" t="s">
        <v>4434</v>
      </c>
      <c r="B2849">
        <v>57</v>
      </c>
      <c r="C2849" t="s">
        <v>4772</v>
      </c>
      <c r="D2849" t="s">
        <v>4631</v>
      </c>
      <c r="E2849" t="s">
        <v>4524</v>
      </c>
      <c r="F2849" t="s">
        <v>4905</v>
      </c>
      <c r="G2849" t="s">
        <v>5329</v>
      </c>
    </row>
    <row r="2850" spans="1:7" x14ac:dyDescent="0.25">
      <c r="A2850" t="s">
        <v>4435</v>
      </c>
      <c r="B2850">
        <v>47</v>
      </c>
      <c r="C2850" t="s">
        <v>4667</v>
      </c>
      <c r="D2850" t="s">
        <v>5252</v>
      </c>
      <c r="E2850" t="s">
        <v>5128</v>
      </c>
      <c r="F2850" t="s">
        <v>4406</v>
      </c>
      <c r="G2850" t="s">
        <v>5475</v>
      </c>
    </row>
    <row r="2851" spans="1:7" x14ac:dyDescent="0.25">
      <c r="A2851" t="s">
        <v>4436</v>
      </c>
      <c r="B2851">
        <v>28</v>
      </c>
      <c r="C2851" t="s">
        <v>4584</v>
      </c>
      <c r="D2851" t="s">
        <v>4538</v>
      </c>
      <c r="E2851" t="s">
        <v>4400</v>
      </c>
      <c r="F2851" t="s">
        <v>4450</v>
      </c>
      <c r="G2851" t="s">
        <v>4522</v>
      </c>
    </row>
    <row r="2852" spans="1:7" x14ac:dyDescent="0.25">
      <c r="A2852" t="s">
        <v>1296</v>
      </c>
      <c r="B2852">
        <v>138</v>
      </c>
      <c r="C2852" t="s">
        <v>4849</v>
      </c>
      <c r="D2852" t="s">
        <v>5086</v>
      </c>
      <c r="E2852" t="s">
        <v>4443</v>
      </c>
      <c r="F2852" t="s">
        <v>4670</v>
      </c>
      <c r="G2852" t="s">
        <v>4712</v>
      </c>
    </row>
    <row r="2854" spans="1:7" x14ac:dyDescent="0.25">
      <c r="A2854" t="s">
        <v>6501</v>
      </c>
    </row>
    <row r="2855" spans="1:7" x14ac:dyDescent="0.25">
      <c r="A2855" t="s">
        <v>1013</v>
      </c>
      <c r="B2855" t="s">
        <v>4394</v>
      </c>
      <c r="C2855" t="s">
        <v>1373</v>
      </c>
      <c r="D2855" t="s">
        <v>1440</v>
      </c>
      <c r="E2855" t="s">
        <v>1425</v>
      </c>
      <c r="F2855" t="s">
        <v>1374</v>
      </c>
      <c r="G2855" t="s">
        <v>1341</v>
      </c>
    </row>
    <row r="2856" spans="1:7" x14ac:dyDescent="0.25">
      <c r="A2856" t="s">
        <v>1561</v>
      </c>
      <c r="B2856">
        <v>4</v>
      </c>
      <c r="C2856" t="s">
        <v>4462</v>
      </c>
      <c r="D2856" t="s">
        <v>4406</v>
      </c>
      <c r="E2856" t="s">
        <v>4468</v>
      </c>
      <c r="F2856" t="s">
        <v>4406</v>
      </c>
      <c r="G2856" t="s">
        <v>4462</v>
      </c>
    </row>
    <row r="2857" spans="1:7" x14ac:dyDescent="0.25">
      <c r="A2857" t="s">
        <v>1460</v>
      </c>
      <c r="B2857">
        <v>32</v>
      </c>
      <c r="C2857" t="s">
        <v>4944</v>
      </c>
      <c r="D2857" t="s">
        <v>4695</v>
      </c>
      <c r="E2857" t="s">
        <v>5173</v>
      </c>
      <c r="F2857" t="s">
        <v>4406</v>
      </c>
      <c r="G2857" t="s">
        <v>4468</v>
      </c>
    </row>
    <row r="2858" spans="1:7" x14ac:dyDescent="0.25">
      <c r="A2858" t="s">
        <v>1342</v>
      </c>
      <c r="B2858">
        <v>44</v>
      </c>
      <c r="C2858" t="s">
        <v>4753</v>
      </c>
      <c r="D2858" t="s">
        <v>4726</v>
      </c>
      <c r="E2858" t="s">
        <v>4492</v>
      </c>
      <c r="F2858" t="s">
        <v>4406</v>
      </c>
      <c r="G2858" t="s">
        <v>4568</v>
      </c>
    </row>
    <row r="2859" spans="1:7" x14ac:dyDescent="0.25">
      <c r="A2859" t="s">
        <v>1375</v>
      </c>
      <c r="B2859">
        <v>38</v>
      </c>
      <c r="C2859" t="s">
        <v>4715</v>
      </c>
      <c r="D2859" t="s">
        <v>4524</v>
      </c>
      <c r="E2859" t="s">
        <v>4714</v>
      </c>
      <c r="F2859" t="s">
        <v>4600</v>
      </c>
      <c r="G2859" t="s">
        <v>4466</v>
      </c>
    </row>
    <row r="2860" spans="1:7" x14ac:dyDescent="0.25">
      <c r="A2860" t="s">
        <v>1401</v>
      </c>
      <c r="B2860">
        <v>20</v>
      </c>
      <c r="C2860" t="s">
        <v>4643</v>
      </c>
      <c r="D2860" t="s">
        <v>4489</v>
      </c>
      <c r="E2860" t="s">
        <v>4646</v>
      </c>
      <c r="F2860" t="s">
        <v>4462</v>
      </c>
      <c r="G2860" t="s">
        <v>4472</v>
      </c>
    </row>
    <row r="2861" spans="1:7" x14ac:dyDescent="0.25">
      <c r="A2861" t="s">
        <v>1296</v>
      </c>
      <c r="B2861">
        <v>138</v>
      </c>
      <c r="C2861" t="s">
        <v>4849</v>
      </c>
      <c r="D2861" t="s">
        <v>5086</v>
      </c>
      <c r="E2861" t="s">
        <v>4443</v>
      </c>
      <c r="F2861" t="s">
        <v>4670</v>
      </c>
      <c r="G2861" t="s">
        <v>4712</v>
      </c>
    </row>
    <row r="2863" spans="1:7" x14ac:dyDescent="0.25">
      <c r="A2863" t="s">
        <v>6502</v>
      </c>
    </row>
    <row r="2864" spans="1:7" x14ac:dyDescent="0.25">
      <c r="A2864" t="s">
        <v>903</v>
      </c>
      <c r="B2864" t="s">
        <v>4394</v>
      </c>
      <c r="C2864" t="s">
        <v>1373</v>
      </c>
      <c r="D2864" t="s">
        <v>1440</v>
      </c>
      <c r="E2864" t="s">
        <v>1425</v>
      </c>
      <c r="F2864" t="s">
        <v>1374</v>
      </c>
      <c r="G2864" t="s">
        <v>1341</v>
      </c>
    </row>
    <row r="2865" spans="1:7" x14ac:dyDescent="0.25">
      <c r="A2865" t="s">
        <v>70</v>
      </c>
      <c r="B2865">
        <v>37</v>
      </c>
      <c r="C2865" t="s">
        <v>4924</v>
      </c>
      <c r="D2865" t="s">
        <v>5157</v>
      </c>
      <c r="E2865" t="s">
        <v>4883</v>
      </c>
      <c r="F2865" t="s">
        <v>5157</v>
      </c>
      <c r="G2865" t="s">
        <v>4924</v>
      </c>
    </row>
    <row r="2866" spans="1:7" x14ac:dyDescent="0.25">
      <c r="A2866" t="s">
        <v>71</v>
      </c>
      <c r="B2866">
        <v>101</v>
      </c>
      <c r="C2866" t="s">
        <v>4714</v>
      </c>
      <c r="D2866" t="s">
        <v>4530</v>
      </c>
      <c r="E2866" t="s">
        <v>5177</v>
      </c>
      <c r="F2866" t="s">
        <v>4406</v>
      </c>
      <c r="G2866" t="s">
        <v>4452</v>
      </c>
    </row>
    <row r="2867" spans="1:7" x14ac:dyDescent="0.25">
      <c r="A2867" t="s">
        <v>1296</v>
      </c>
      <c r="B2867">
        <v>138</v>
      </c>
      <c r="C2867" t="s">
        <v>4849</v>
      </c>
      <c r="D2867" t="s">
        <v>5086</v>
      </c>
      <c r="E2867" t="s">
        <v>4443</v>
      </c>
      <c r="F2867" t="s">
        <v>4670</v>
      </c>
      <c r="G2867" t="s">
        <v>4712</v>
      </c>
    </row>
    <row r="2869" spans="1:7" x14ac:dyDescent="0.25">
      <c r="A2869" t="s">
        <v>6503</v>
      </c>
    </row>
    <row r="2870" spans="1:7" x14ac:dyDescent="0.25">
      <c r="A2870" t="s">
        <v>903</v>
      </c>
      <c r="B2870" t="s">
        <v>4394</v>
      </c>
      <c r="C2870" t="s">
        <v>4428</v>
      </c>
      <c r="D2870" t="s">
        <v>4429</v>
      </c>
      <c r="E2870" t="s">
        <v>4430</v>
      </c>
      <c r="F2870" t="s">
        <v>4431</v>
      </c>
      <c r="G2870" t="s">
        <v>4432</v>
      </c>
    </row>
    <row r="2871" spans="1:7" x14ac:dyDescent="0.25">
      <c r="A2871" t="s">
        <v>70</v>
      </c>
      <c r="B2871">
        <v>37</v>
      </c>
      <c r="C2871">
        <v>1617.57</v>
      </c>
      <c r="D2871">
        <v>1100</v>
      </c>
      <c r="E2871">
        <v>0</v>
      </c>
      <c r="F2871">
        <v>5600</v>
      </c>
      <c r="G2871">
        <v>59850</v>
      </c>
    </row>
    <row r="2872" spans="1:7" x14ac:dyDescent="0.25">
      <c r="A2872" t="s">
        <v>71</v>
      </c>
      <c r="B2872">
        <v>101</v>
      </c>
      <c r="C2872">
        <v>2923.76</v>
      </c>
      <c r="D2872">
        <v>2950</v>
      </c>
      <c r="E2872">
        <v>0</v>
      </c>
      <c r="F2872">
        <v>7800</v>
      </c>
      <c r="G2872">
        <v>295300</v>
      </c>
    </row>
    <row r="2873" spans="1:7" x14ac:dyDescent="0.25">
      <c r="A2873" t="s">
        <v>1296</v>
      </c>
      <c r="B2873">
        <v>138</v>
      </c>
      <c r="C2873">
        <v>2573.5500000000002</v>
      </c>
      <c r="D2873">
        <v>2500</v>
      </c>
      <c r="E2873">
        <v>0</v>
      </c>
      <c r="F2873">
        <v>7800</v>
      </c>
      <c r="G2873">
        <v>355150</v>
      </c>
    </row>
    <row r="2875" spans="1:7" x14ac:dyDescent="0.25">
      <c r="A2875" t="s">
        <v>6504</v>
      </c>
    </row>
    <row r="2876" spans="1:7" x14ac:dyDescent="0.25">
      <c r="A2876" t="s">
        <v>2842</v>
      </c>
      <c r="B2876" t="s">
        <v>4394</v>
      </c>
      <c r="C2876" t="s">
        <v>4428</v>
      </c>
      <c r="D2876" t="s">
        <v>4429</v>
      </c>
      <c r="E2876" t="s">
        <v>4430</v>
      </c>
      <c r="F2876" t="s">
        <v>4431</v>
      </c>
      <c r="G2876" t="s">
        <v>4432</v>
      </c>
    </row>
    <row r="2877" spans="1:7" x14ac:dyDescent="0.25">
      <c r="A2877" t="s">
        <v>5549</v>
      </c>
      <c r="B2877">
        <v>83</v>
      </c>
      <c r="C2877">
        <v>2372.89</v>
      </c>
      <c r="D2877">
        <v>1950</v>
      </c>
      <c r="E2877">
        <v>0</v>
      </c>
      <c r="F2877">
        <v>13000</v>
      </c>
      <c r="G2877">
        <v>196950</v>
      </c>
    </row>
    <row r="2878" spans="1:7" x14ac:dyDescent="0.25">
      <c r="A2878" t="s">
        <v>1397</v>
      </c>
      <c r="B2878">
        <v>55</v>
      </c>
      <c r="C2878">
        <v>2414.5500000000002</v>
      </c>
      <c r="D2878">
        <v>2100</v>
      </c>
      <c r="E2878">
        <v>0</v>
      </c>
      <c r="F2878">
        <v>10000</v>
      </c>
      <c r="G2878">
        <v>132800</v>
      </c>
    </row>
    <row r="2880" spans="1:7" x14ac:dyDescent="0.25">
      <c r="A2880" t="s">
        <v>6505</v>
      </c>
    </row>
    <row r="2881" spans="1:7" x14ac:dyDescent="0.25">
      <c r="A2881" t="s">
        <v>2842</v>
      </c>
      <c r="B2881" t="s">
        <v>4394</v>
      </c>
      <c r="C2881" t="s">
        <v>1373</v>
      </c>
      <c r="D2881" t="s">
        <v>1440</v>
      </c>
      <c r="E2881" t="s">
        <v>1425</v>
      </c>
      <c r="F2881" t="s">
        <v>1374</v>
      </c>
      <c r="G2881" t="s">
        <v>1341</v>
      </c>
    </row>
    <row r="2882" spans="1:7" x14ac:dyDescent="0.25">
      <c r="A2882" t="s">
        <v>5549</v>
      </c>
      <c r="B2882">
        <v>83</v>
      </c>
      <c r="C2882" t="s">
        <v>4408</v>
      </c>
      <c r="D2882" t="s">
        <v>5438</v>
      </c>
      <c r="E2882" t="s">
        <v>4583</v>
      </c>
      <c r="F2882" t="s">
        <v>4707</v>
      </c>
      <c r="G2882" t="s">
        <v>4526</v>
      </c>
    </row>
    <row r="2883" spans="1:7" x14ac:dyDescent="0.25">
      <c r="A2883" t="s">
        <v>1397</v>
      </c>
      <c r="B2883">
        <v>55</v>
      </c>
      <c r="C2883" t="s">
        <v>4599</v>
      </c>
      <c r="D2883" t="s">
        <v>4960</v>
      </c>
      <c r="E2883" t="s">
        <v>4638</v>
      </c>
      <c r="F2883" t="s">
        <v>4599</v>
      </c>
      <c r="G2883" t="s">
        <v>4747</v>
      </c>
    </row>
    <row r="2884" spans="1:7" x14ac:dyDescent="0.25">
      <c r="A2884" t="s">
        <v>1296</v>
      </c>
      <c r="B2884">
        <v>138</v>
      </c>
      <c r="C2884" t="s">
        <v>4849</v>
      </c>
      <c r="D2884" t="s">
        <v>5154</v>
      </c>
      <c r="E2884" t="s">
        <v>4687</v>
      </c>
      <c r="F2884" t="s">
        <v>4772</v>
      </c>
      <c r="G2884" t="s">
        <v>4507</v>
      </c>
    </row>
    <row r="2886" spans="1:7" x14ac:dyDescent="0.25">
      <c r="A2886" t="s">
        <v>6506</v>
      </c>
    </row>
    <row r="2887" spans="1:7" x14ac:dyDescent="0.25">
      <c r="A2887" t="s">
        <v>995</v>
      </c>
      <c r="B2887" t="s">
        <v>4394</v>
      </c>
      <c r="C2887" t="s">
        <v>1373</v>
      </c>
      <c r="D2887" t="s">
        <v>1440</v>
      </c>
      <c r="E2887" t="s">
        <v>1425</v>
      </c>
      <c r="F2887" t="s">
        <v>1374</v>
      </c>
      <c r="G2887" t="s">
        <v>1341</v>
      </c>
    </row>
    <row r="2888" spans="1:7" x14ac:dyDescent="0.25">
      <c r="A2888" t="s">
        <v>1338</v>
      </c>
      <c r="B2888">
        <v>43</v>
      </c>
      <c r="C2888">
        <v>9</v>
      </c>
      <c r="D2888">
        <v>15</v>
      </c>
      <c r="E2888">
        <v>10</v>
      </c>
      <c r="F2888">
        <v>3</v>
      </c>
      <c r="G2888">
        <v>6</v>
      </c>
    </row>
    <row r="2889" spans="1:7" x14ac:dyDescent="0.25">
      <c r="A2889" t="s">
        <v>1370</v>
      </c>
      <c r="B2889">
        <v>10</v>
      </c>
      <c r="C2889">
        <v>0</v>
      </c>
      <c r="D2889">
        <v>3</v>
      </c>
      <c r="E2889">
        <v>2</v>
      </c>
      <c r="F2889">
        <v>1</v>
      </c>
      <c r="G2889">
        <v>4</v>
      </c>
    </row>
    <row r="2890" spans="1:7" x14ac:dyDescent="0.25">
      <c r="A2890" t="s">
        <v>1439</v>
      </c>
      <c r="B2890">
        <v>7</v>
      </c>
      <c r="C2890">
        <v>1</v>
      </c>
      <c r="D2890">
        <v>0</v>
      </c>
      <c r="E2890">
        <v>0</v>
      </c>
      <c r="F2890">
        <v>3</v>
      </c>
      <c r="G2890">
        <v>3</v>
      </c>
    </row>
    <row r="2891" spans="1:7" x14ac:dyDescent="0.25">
      <c r="A2891" t="s">
        <v>1476</v>
      </c>
      <c r="B2891">
        <v>5</v>
      </c>
      <c r="C2891">
        <v>0</v>
      </c>
      <c r="D2891">
        <v>2</v>
      </c>
      <c r="E2891">
        <v>1</v>
      </c>
      <c r="F2891">
        <v>1</v>
      </c>
      <c r="G2891">
        <v>1</v>
      </c>
    </row>
    <row r="2892" spans="1:7" x14ac:dyDescent="0.25">
      <c r="A2892" t="s">
        <v>5476</v>
      </c>
      <c r="B2892">
        <v>2</v>
      </c>
      <c r="C2892">
        <v>1</v>
      </c>
      <c r="D2892">
        <v>0</v>
      </c>
      <c r="E2892">
        <v>0</v>
      </c>
      <c r="F2892">
        <v>0</v>
      </c>
      <c r="G2892">
        <v>1</v>
      </c>
    </row>
    <row r="2893" spans="1:7" x14ac:dyDescent="0.25">
      <c r="A2893" t="s">
        <v>1399</v>
      </c>
      <c r="B2893">
        <v>23</v>
      </c>
      <c r="C2893">
        <v>0</v>
      </c>
      <c r="D2893">
        <v>6</v>
      </c>
      <c r="E2893">
        <v>10</v>
      </c>
      <c r="F2893">
        <v>3</v>
      </c>
      <c r="G2893">
        <v>4</v>
      </c>
    </row>
    <row r="2894" spans="1:7" x14ac:dyDescent="0.25">
      <c r="A2894" t="s">
        <v>1415</v>
      </c>
      <c r="B2894">
        <v>48</v>
      </c>
      <c r="C2894">
        <v>5</v>
      </c>
      <c r="D2894">
        <v>11</v>
      </c>
      <c r="E2894">
        <v>10</v>
      </c>
      <c r="F2894">
        <v>6</v>
      </c>
      <c r="G2894">
        <v>16</v>
      </c>
    </row>
    <row r="2895" spans="1:7" x14ac:dyDescent="0.25">
      <c r="A2895" t="s">
        <v>1296</v>
      </c>
      <c r="B2895">
        <v>138</v>
      </c>
      <c r="C2895">
        <v>16</v>
      </c>
      <c r="D2895">
        <v>37</v>
      </c>
      <c r="E2895">
        <v>33</v>
      </c>
      <c r="F2895">
        <v>17</v>
      </c>
      <c r="G2895">
        <v>35</v>
      </c>
    </row>
    <row r="2897" spans="1:7" x14ac:dyDescent="0.25">
      <c r="A2897" t="s">
        <v>6507</v>
      </c>
    </row>
    <row r="2898" spans="1:7" x14ac:dyDescent="0.25">
      <c r="A2898" t="s">
        <v>998</v>
      </c>
      <c r="B2898" t="s">
        <v>4394</v>
      </c>
      <c r="C2898" t="s">
        <v>1373</v>
      </c>
      <c r="D2898" t="s">
        <v>1440</v>
      </c>
      <c r="E2898" t="s">
        <v>1425</v>
      </c>
      <c r="F2898" t="s">
        <v>1374</v>
      </c>
      <c r="G2898" t="s">
        <v>1341</v>
      </c>
    </row>
    <row r="2899" spans="1:7" x14ac:dyDescent="0.25">
      <c r="A2899" t="s">
        <v>109</v>
      </c>
      <c r="B2899">
        <v>125</v>
      </c>
      <c r="C2899" t="s">
        <v>4707</v>
      </c>
      <c r="D2899" t="s">
        <v>5053</v>
      </c>
      <c r="E2899" t="s">
        <v>4486</v>
      </c>
      <c r="F2899" t="s">
        <v>4706</v>
      </c>
      <c r="G2899" t="s">
        <v>4924</v>
      </c>
    </row>
    <row r="2900" spans="1:7" x14ac:dyDescent="0.25">
      <c r="A2900" t="s">
        <v>192</v>
      </c>
      <c r="B2900">
        <v>13</v>
      </c>
      <c r="C2900" t="s">
        <v>4705</v>
      </c>
      <c r="D2900" t="s">
        <v>4705</v>
      </c>
      <c r="E2900" t="s">
        <v>4474</v>
      </c>
      <c r="F2900" t="s">
        <v>4705</v>
      </c>
      <c r="G2900" t="s">
        <v>4582</v>
      </c>
    </row>
    <row r="2901" spans="1:7" x14ac:dyDescent="0.25">
      <c r="A2901" t="s">
        <v>1296</v>
      </c>
      <c r="B2901">
        <v>138</v>
      </c>
      <c r="C2901" t="s">
        <v>4849</v>
      </c>
      <c r="D2901" t="s">
        <v>5154</v>
      </c>
      <c r="E2901" t="s">
        <v>4687</v>
      </c>
      <c r="F2901" t="s">
        <v>4772</v>
      </c>
      <c r="G2901" t="s">
        <v>4507</v>
      </c>
    </row>
    <row r="2903" spans="1:7" x14ac:dyDescent="0.25">
      <c r="A2903" t="s">
        <v>6508</v>
      </c>
    </row>
    <row r="2904" spans="1:7" x14ac:dyDescent="0.25">
      <c r="A2904" t="s">
        <v>1006</v>
      </c>
      <c r="B2904" t="s">
        <v>4394</v>
      </c>
      <c r="C2904" t="s">
        <v>1373</v>
      </c>
      <c r="D2904" t="s">
        <v>1440</v>
      </c>
      <c r="E2904" t="s">
        <v>1425</v>
      </c>
      <c r="F2904" t="s">
        <v>1374</v>
      </c>
      <c r="G2904" t="s">
        <v>1341</v>
      </c>
    </row>
    <row r="2905" spans="1:7" x14ac:dyDescent="0.25">
      <c r="A2905" t="s">
        <v>1371</v>
      </c>
      <c r="B2905">
        <v>26</v>
      </c>
      <c r="C2905">
        <v>2</v>
      </c>
      <c r="D2905">
        <v>9</v>
      </c>
      <c r="E2905">
        <v>7</v>
      </c>
      <c r="F2905">
        <v>4</v>
      </c>
      <c r="G2905">
        <v>4</v>
      </c>
    </row>
    <row r="2906" spans="1:7" x14ac:dyDescent="0.25">
      <c r="A2906" t="s">
        <v>1452</v>
      </c>
      <c r="B2906">
        <v>17</v>
      </c>
      <c r="C2906">
        <v>1</v>
      </c>
      <c r="D2906">
        <v>6</v>
      </c>
      <c r="E2906">
        <v>5</v>
      </c>
      <c r="F2906">
        <v>2</v>
      </c>
      <c r="G2906">
        <v>3</v>
      </c>
    </row>
    <row r="2907" spans="1:7" x14ac:dyDescent="0.25">
      <c r="A2907" t="s">
        <v>5560</v>
      </c>
      <c r="B2907">
        <v>14</v>
      </c>
      <c r="C2907">
        <v>3</v>
      </c>
      <c r="D2907">
        <v>4</v>
      </c>
      <c r="E2907">
        <v>1</v>
      </c>
      <c r="F2907">
        <v>3</v>
      </c>
      <c r="G2907">
        <v>3</v>
      </c>
    </row>
    <row r="2908" spans="1:7" x14ac:dyDescent="0.25">
      <c r="A2908" t="s">
        <v>1424</v>
      </c>
      <c r="B2908">
        <v>30</v>
      </c>
      <c r="C2908">
        <v>0</v>
      </c>
      <c r="D2908">
        <v>9</v>
      </c>
      <c r="E2908">
        <v>8</v>
      </c>
      <c r="F2908">
        <v>6</v>
      </c>
      <c r="G2908">
        <v>7</v>
      </c>
    </row>
    <row r="2909" spans="1:7" x14ac:dyDescent="0.25">
      <c r="A2909" t="s">
        <v>1340</v>
      </c>
      <c r="B2909">
        <v>21</v>
      </c>
      <c r="C2909">
        <v>6</v>
      </c>
      <c r="D2909">
        <v>2</v>
      </c>
      <c r="E2909">
        <v>6</v>
      </c>
      <c r="F2909">
        <v>2</v>
      </c>
      <c r="G2909">
        <v>5</v>
      </c>
    </row>
    <row r="2910" spans="1:7" x14ac:dyDescent="0.25">
      <c r="A2910" t="s">
        <v>5561</v>
      </c>
      <c r="B2910">
        <v>6</v>
      </c>
      <c r="C2910">
        <v>3</v>
      </c>
      <c r="D2910">
        <v>1</v>
      </c>
      <c r="E2910">
        <v>1</v>
      </c>
      <c r="F2910">
        <v>0</v>
      </c>
      <c r="G2910">
        <v>1</v>
      </c>
    </row>
    <row r="2911" spans="1:7" x14ac:dyDescent="0.25">
      <c r="A2911" t="s">
        <v>1416</v>
      </c>
      <c r="B2911">
        <v>24</v>
      </c>
      <c r="C2911">
        <v>1</v>
      </c>
      <c r="D2911">
        <v>6</v>
      </c>
      <c r="E2911">
        <v>5</v>
      </c>
      <c r="F2911">
        <v>0</v>
      </c>
      <c r="G2911">
        <v>12</v>
      </c>
    </row>
    <row r="2912" spans="1:7" x14ac:dyDescent="0.25">
      <c r="A2912" t="s">
        <v>1296</v>
      </c>
      <c r="B2912">
        <v>138</v>
      </c>
      <c r="C2912">
        <v>16</v>
      </c>
      <c r="D2912">
        <v>37</v>
      </c>
      <c r="E2912">
        <v>33</v>
      </c>
      <c r="F2912">
        <v>17</v>
      </c>
      <c r="G2912">
        <v>35</v>
      </c>
    </row>
    <row r="2914" spans="1:7" x14ac:dyDescent="0.25">
      <c r="A2914" t="s">
        <v>6509</v>
      </c>
    </row>
    <row r="2915" spans="1:7" x14ac:dyDescent="0.25">
      <c r="A2915" t="s">
        <v>2723</v>
      </c>
      <c r="B2915" t="s">
        <v>4394</v>
      </c>
      <c r="C2915" t="s">
        <v>1373</v>
      </c>
      <c r="D2915" t="s">
        <v>1440</v>
      </c>
      <c r="E2915" t="s">
        <v>1425</v>
      </c>
      <c r="F2915" t="s">
        <v>1374</v>
      </c>
      <c r="G2915" t="s">
        <v>1341</v>
      </c>
    </row>
    <row r="2916" spans="1:7" x14ac:dyDescent="0.25">
      <c r="A2916" t="s">
        <v>4433</v>
      </c>
      <c r="B2916">
        <v>6</v>
      </c>
      <c r="C2916" t="s">
        <v>4596</v>
      </c>
      <c r="D2916" t="s">
        <v>4468</v>
      </c>
      <c r="E2916" t="s">
        <v>4596</v>
      </c>
      <c r="F2916" t="s">
        <v>4596</v>
      </c>
      <c r="G2916" t="s">
        <v>4406</v>
      </c>
    </row>
    <row r="2917" spans="1:7" x14ac:dyDescent="0.25">
      <c r="A2917" t="s">
        <v>4434</v>
      </c>
      <c r="B2917">
        <v>57</v>
      </c>
      <c r="C2917" t="s">
        <v>4921</v>
      </c>
      <c r="D2917" t="s">
        <v>4524</v>
      </c>
      <c r="E2917" t="s">
        <v>5173</v>
      </c>
      <c r="F2917" t="s">
        <v>4640</v>
      </c>
      <c r="G2917" t="s">
        <v>4490</v>
      </c>
    </row>
    <row r="2918" spans="1:7" x14ac:dyDescent="0.25">
      <c r="A2918" t="s">
        <v>4435</v>
      </c>
      <c r="B2918">
        <v>47</v>
      </c>
      <c r="C2918" t="s">
        <v>4673</v>
      </c>
      <c r="D2918" t="s">
        <v>5468</v>
      </c>
      <c r="E2918" t="s">
        <v>4740</v>
      </c>
      <c r="F2918" t="s">
        <v>4414</v>
      </c>
      <c r="G2918" t="s">
        <v>5127</v>
      </c>
    </row>
    <row r="2919" spans="1:7" x14ac:dyDescent="0.25">
      <c r="A2919" t="s">
        <v>4436</v>
      </c>
      <c r="B2919">
        <v>28</v>
      </c>
      <c r="C2919" t="s">
        <v>4604</v>
      </c>
      <c r="D2919" t="s">
        <v>4522</v>
      </c>
      <c r="E2919" t="s">
        <v>4400</v>
      </c>
      <c r="F2919" t="s">
        <v>4538</v>
      </c>
      <c r="G2919" t="s">
        <v>4462</v>
      </c>
    </row>
    <row r="2920" spans="1:7" x14ac:dyDescent="0.25">
      <c r="A2920" t="s">
        <v>1296</v>
      </c>
      <c r="B2920">
        <v>138</v>
      </c>
      <c r="C2920" t="s">
        <v>4849</v>
      </c>
      <c r="D2920" t="s">
        <v>5154</v>
      </c>
      <c r="E2920" t="s">
        <v>4687</v>
      </c>
      <c r="F2920" t="s">
        <v>4772</v>
      </c>
      <c r="G2920" t="s">
        <v>4507</v>
      </c>
    </row>
    <row r="2922" spans="1:7" x14ac:dyDescent="0.25">
      <c r="A2922" t="s">
        <v>6510</v>
      </c>
    </row>
    <row r="2923" spans="1:7" x14ac:dyDescent="0.25">
      <c r="A2923" t="s">
        <v>1013</v>
      </c>
      <c r="B2923" t="s">
        <v>4394</v>
      </c>
      <c r="C2923" t="s">
        <v>1373</v>
      </c>
      <c r="D2923" t="s">
        <v>1440</v>
      </c>
      <c r="E2923" t="s">
        <v>1425</v>
      </c>
      <c r="F2923" t="s">
        <v>1374</v>
      </c>
      <c r="G2923" t="s">
        <v>1341</v>
      </c>
    </row>
    <row r="2924" spans="1:7" x14ac:dyDescent="0.25">
      <c r="A2924" t="s">
        <v>1561</v>
      </c>
      <c r="B2924">
        <v>4</v>
      </c>
      <c r="C2924" t="s">
        <v>4462</v>
      </c>
      <c r="D2924" t="s">
        <v>4462</v>
      </c>
      <c r="E2924" t="s">
        <v>4462</v>
      </c>
      <c r="F2924" t="s">
        <v>4462</v>
      </c>
      <c r="G2924" t="s">
        <v>4406</v>
      </c>
    </row>
    <row r="2925" spans="1:7" x14ac:dyDescent="0.25">
      <c r="A2925" t="s">
        <v>1460</v>
      </c>
      <c r="B2925">
        <v>32</v>
      </c>
      <c r="C2925" t="s">
        <v>4944</v>
      </c>
      <c r="D2925" t="s">
        <v>5173</v>
      </c>
      <c r="E2925" t="s">
        <v>4462</v>
      </c>
      <c r="F2925" t="s">
        <v>4406</v>
      </c>
      <c r="G2925" t="s">
        <v>5173</v>
      </c>
    </row>
    <row r="2926" spans="1:7" x14ac:dyDescent="0.25">
      <c r="A2926" t="s">
        <v>1342</v>
      </c>
      <c r="B2926">
        <v>44</v>
      </c>
      <c r="C2926" t="s">
        <v>4753</v>
      </c>
      <c r="D2926" t="s">
        <v>4752</v>
      </c>
      <c r="E2926" t="s">
        <v>4493</v>
      </c>
      <c r="F2926" t="s">
        <v>4852</v>
      </c>
      <c r="G2926" t="s">
        <v>4587</v>
      </c>
    </row>
    <row r="2927" spans="1:7" x14ac:dyDescent="0.25">
      <c r="A2927" t="s">
        <v>1375</v>
      </c>
      <c r="B2927">
        <v>38</v>
      </c>
      <c r="C2927" t="s">
        <v>4714</v>
      </c>
      <c r="D2927" t="s">
        <v>4715</v>
      </c>
      <c r="E2927" t="s">
        <v>4524</v>
      </c>
      <c r="F2927" t="s">
        <v>4527</v>
      </c>
      <c r="G2927" t="s">
        <v>4523</v>
      </c>
    </row>
    <row r="2928" spans="1:7" x14ac:dyDescent="0.25">
      <c r="A2928" t="s">
        <v>1401</v>
      </c>
      <c r="B2928">
        <v>20</v>
      </c>
      <c r="C2928" t="s">
        <v>4462</v>
      </c>
      <c r="D2928" t="s">
        <v>4472</v>
      </c>
      <c r="E2928" t="s">
        <v>4646</v>
      </c>
      <c r="F2928" t="s">
        <v>4462</v>
      </c>
      <c r="G2928" t="s">
        <v>4472</v>
      </c>
    </row>
    <row r="2929" spans="1:10" x14ac:dyDescent="0.25">
      <c r="A2929" t="s">
        <v>1296</v>
      </c>
      <c r="B2929">
        <v>138</v>
      </c>
      <c r="C2929" t="s">
        <v>4849</v>
      </c>
      <c r="D2929" t="s">
        <v>5154</v>
      </c>
      <c r="E2929" t="s">
        <v>4687</v>
      </c>
      <c r="F2929" t="s">
        <v>4772</v>
      </c>
      <c r="G2929" t="s">
        <v>4507</v>
      </c>
    </row>
    <row r="2931" spans="1:10" x14ac:dyDescent="0.25">
      <c r="A2931" t="s">
        <v>6511</v>
      </c>
    </row>
    <row r="2932" spans="1:10" x14ac:dyDescent="0.25">
      <c r="A2932" t="s">
        <v>903</v>
      </c>
      <c r="B2932" t="s">
        <v>4394</v>
      </c>
      <c r="C2932" t="s">
        <v>1373</v>
      </c>
      <c r="D2932" t="s">
        <v>1440</v>
      </c>
      <c r="E2932" t="s">
        <v>1425</v>
      </c>
      <c r="F2932" t="s">
        <v>1374</v>
      </c>
      <c r="G2932" t="s">
        <v>1341</v>
      </c>
    </row>
    <row r="2933" spans="1:10" x14ac:dyDescent="0.25">
      <c r="A2933" t="s">
        <v>70</v>
      </c>
      <c r="B2933">
        <v>37</v>
      </c>
      <c r="C2933" t="s">
        <v>5157</v>
      </c>
      <c r="D2933" t="s">
        <v>4625</v>
      </c>
      <c r="E2933" t="s">
        <v>4746</v>
      </c>
      <c r="F2933" t="s">
        <v>4718</v>
      </c>
      <c r="G2933" t="s">
        <v>5157</v>
      </c>
    </row>
    <row r="2934" spans="1:10" x14ac:dyDescent="0.25">
      <c r="A2934" t="s">
        <v>71</v>
      </c>
      <c r="B2934">
        <v>101</v>
      </c>
      <c r="C2934" t="s">
        <v>4887</v>
      </c>
      <c r="D2934" t="s">
        <v>4442</v>
      </c>
      <c r="E2934" t="s">
        <v>4442</v>
      </c>
      <c r="F2934" t="s">
        <v>4699</v>
      </c>
      <c r="G2934" t="s">
        <v>4612</v>
      </c>
    </row>
    <row r="2935" spans="1:10" x14ac:dyDescent="0.25">
      <c r="A2935" t="s">
        <v>1296</v>
      </c>
      <c r="B2935">
        <v>138</v>
      </c>
      <c r="C2935" t="s">
        <v>4849</v>
      </c>
      <c r="D2935" t="s">
        <v>5154</v>
      </c>
      <c r="E2935" t="s">
        <v>4687</v>
      </c>
      <c r="F2935" t="s">
        <v>4772</v>
      </c>
      <c r="G2935" t="s">
        <v>4507</v>
      </c>
    </row>
    <row r="2937" spans="1:10" x14ac:dyDescent="0.25">
      <c r="A2937" t="s">
        <v>6512</v>
      </c>
    </row>
    <row r="2938" spans="1:10" x14ac:dyDescent="0.25">
      <c r="A2938" t="s">
        <v>903</v>
      </c>
      <c r="B2938" t="s">
        <v>4394</v>
      </c>
      <c r="C2938" t="s">
        <v>4428</v>
      </c>
      <c r="D2938" t="s">
        <v>4429</v>
      </c>
      <c r="E2938" t="s">
        <v>4430</v>
      </c>
      <c r="F2938" t="s">
        <v>4431</v>
      </c>
      <c r="G2938" t="s">
        <v>4432</v>
      </c>
    </row>
    <row r="2939" spans="1:10" x14ac:dyDescent="0.25">
      <c r="A2939" t="s">
        <v>70</v>
      </c>
      <c r="B2939">
        <v>37</v>
      </c>
      <c r="C2939">
        <v>2231.08</v>
      </c>
      <c r="D2939">
        <v>1000</v>
      </c>
      <c r="E2939">
        <v>0</v>
      </c>
      <c r="F2939">
        <v>13000</v>
      </c>
      <c r="G2939">
        <v>82550</v>
      </c>
    </row>
    <row r="2940" spans="1:10" x14ac:dyDescent="0.25">
      <c r="A2940" t="s">
        <v>71</v>
      </c>
      <c r="B2940">
        <v>101</v>
      </c>
      <c r="C2940">
        <v>2447.52</v>
      </c>
      <c r="D2940">
        <v>2300</v>
      </c>
      <c r="E2940">
        <v>0</v>
      </c>
      <c r="F2940">
        <v>10000</v>
      </c>
      <c r="G2940">
        <v>247200</v>
      </c>
    </row>
    <row r="2941" spans="1:10" x14ac:dyDescent="0.25">
      <c r="A2941" t="s">
        <v>1296</v>
      </c>
      <c r="B2941">
        <v>138</v>
      </c>
      <c r="C2941">
        <v>2389.4899999999998</v>
      </c>
      <c r="D2941">
        <v>2000</v>
      </c>
      <c r="E2941">
        <v>0</v>
      </c>
      <c r="F2941">
        <v>13000</v>
      </c>
      <c r="G2941">
        <v>329750</v>
      </c>
    </row>
    <row r="2943" spans="1:10" x14ac:dyDescent="0.25">
      <c r="A2943" t="s">
        <v>6513</v>
      </c>
    </row>
    <row r="2944" spans="1:10" x14ac:dyDescent="0.25">
      <c r="A2944" t="s">
        <v>2842</v>
      </c>
      <c r="B2944" t="s">
        <v>4394</v>
      </c>
      <c r="C2944" t="s">
        <v>5321</v>
      </c>
      <c r="D2944" t="s">
        <v>109</v>
      </c>
      <c r="E2944" t="s">
        <v>5322</v>
      </c>
      <c r="F2944" t="s">
        <v>5323</v>
      </c>
      <c r="G2944" t="s">
        <v>5324</v>
      </c>
      <c r="H2944" t="s">
        <v>4737</v>
      </c>
      <c r="I2944" t="s">
        <v>5325</v>
      </c>
      <c r="J2944" t="s">
        <v>5326</v>
      </c>
    </row>
    <row r="2945" spans="1:10" x14ac:dyDescent="0.25">
      <c r="A2945" t="s">
        <v>5549</v>
      </c>
      <c r="B2945">
        <v>83</v>
      </c>
      <c r="C2945" t="s">
        <v>4770</v>
      </c>
      <c r="D2945" t="s">
        <v>5458</v>
      </c>
      <c r="E2945" t="s">
        <v>4591</v>
      </c>
      <c r="F2945" t="s">
        <v>4559</v>
      </c>
      <c r="G2945" t="s">
        <v>4666</v>
      </c>
      <c r="H2945" t="s">
        <v>4406</v>
      </c>
      <c r="I2945" t="s">
        <v>4559</v>
      </c>
      <c r="J2945" t="s">
        <v>4559</v>
      </c>
    </row>
    <row r="2946" spans="1:10" x14ac:dyDescent="0.25">
      <c r="A2946" t="s">
        <v>1397</v>
      </c>
      <c r="B2946">
        <v>55</v>
      </c>
      <c r="C2946" t="s">
        <v>4781</v>
      </c>
      <c r="D2946" t="s">
        <v>4599</v>
      </c>
      <c r="E2946" t="s">
        <v>4960</v>
      </c>
      <c r="F2946" t="s">
        <v>4726</v>
      </c>
      <c r="G2946" t="s">
        <v>4852</v>
      </c>
      <c r="H2946" t="s">
        <v>4406</v>
      </c>
      <c r="I2946" t="s">
        <v>4905</v>
      </c>
      <c r="J2946" t="s">
        <v>4534</v>
      </c>
    </row>
    <row r="2947" spans="1:10" x14ac:dyDescent="0.25">
      <c r="A2947" t="s">
        <v>1296</v>
      </c>
      <c r="B2947">
        <v>138</v>
      </c>
      <c r="C2947" t="s">
        <v>5135</v>
      </c>
      <c r="D2947" t="s">
        <v>4926</v>
      </c>
      <c r="E2947" t="s">
        <v>4549</v>
      </c>
      <c r="F2947" t="s">
        <v>4591</v>
      </c>
      <c r="G2947" t="s">
        <v>4709</v>
      </c>
      <c r="H2947" t="s">
        <v>4406</v>
      </c>
      <c r="I2947" t="s">
        <v>4667</v>
      </c>
      <c r="J2947" t="s">
        <v>4944</v>
      </c>
    </row>
    <row r="2949" spans="1:10" x14ac:dyDescent="0.25">
      <c r="A2949" t="s">
        <v>6514</v>
      </c>
    </row>
    <row r="2950" spans="1:10" x14ac:dyDescent="0.25">
      <c r="A2950" t="s">
        <v>903</v>
      </c>
      <c r="B2950" t="s">
        <v>4394</v>
      </c>
      <c r="C2950" t="s">
        <v>5321</v>
      </c>
      <c r="D2950" t="s">
        <v>109</v>
      </c>
      <c r="E2950" t="s">
        <v>5322</v>
      </c>
      <c r="F2950" t="s">
        <v>5323</v>
      </c>
      <c r="G2950" t="s">
        <v>5324</v>
      </c>
      <c r="H2950" t="s">
        <v>4737</v>
      </c>
      <c r="I2950" t="s">
        <v>5325</v>
      </c>
      <c r="J2950" t="s">
        <v>5326</v>
      </c>
    </row>
    <row r="2951" spans="1:10" x14ac:dyDescent="0.25">
      <c r="A2951" t="s">
        <v>70</v>
      </c>
      <c r="B2951">
        <v>37</v>
      </c>
      <c r="C2951" t="s">
        <v>5229</v>
      </c>
      <c r="D2951" t="s">
        <v>4625</v>
      </c>
      <c r="E2951" t="s">
        <v>5182</v>
      </c>
      <c r="F2951" t="s">
        <v>4924</v>
      </c>
      <c r="G2951" t="s">
        <v>4625</v>
      </c>
      <c r="H2951" t="s">
        <v>4406</v>
      </c>
      <c r="I2951" t="s">
        <v>4408</v>
      </c>
      <c r="J2951" t="s">
        <v>4924</v>
      </c>
    </row>
    <row r="2952" spans="1:10" x14ac:dyDescent="0.25">
      <c r="A2952" t="s">
        <v>71</v>
      </c>
      <c r="B2952">
        <v>101</v>
      </c>
      <c r="C2952" t="s">
        <v>4542</v>
      </c>
      <c r="D2952" t="s">
        <v>4718</v>
      </c>
      <c r="E2952" t="s">
        <v>5318</v>
      </c>
      <c r="F2952" t="s">
        <v>4703</v>
      </c>
      <c r="G2952" t="s">
        <v>4758</v>
      </c>
      <c r="H2952" t="s">
        <v>4406</v>
      </c>
      <c r="I2952" t="s">
        <v>4744</v>
      </c>
      <c r="J2952" t="s">
        <v>4530</v>
      </c>
    </row>
    <row r="2953" spans="1:10" x14ac:dyDescent="0.25">
      <c r="A2953" t="s">
        <v>1296</v>
      </c>
      <c r="B2953">
        <v>138</v>
      </c>
      <c r="C2953" t="s">
        <v>5135</v>
      </c>
      <c r="D2953" t="s">
        <v>4926</v>
      </c>
      <c r="E2953" t="s">
        <v>4549</v>
      </c>
      <c r="F2953" t="s">
        <v>4591</v>
      </c>
      <c r="G2953" t="s">
        <v>4709</v>
      </c>
      <c r="H2953" t="s">
        <v>4406</v>
      </c>
      <c r="I2953" t="s">
        <v>4667</v>
      </c>
      <c r="J2953" t="s">
        <v>4944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03E2F-AAA3-4EEB-905F-9AC27A64079E}">
  <sheetPr>
    <tabColor theme="0" tint="-0.249977111117893"/>
  </sheetPr>
  <dimension ref="A1:F62"/>
  <sheetViews>
    <sheetView workbookViewId="0">
      <pane ySplit="1" topLeftCell="A22" activePane="bottomLeft" state="frozen"/>
      <selection pane="bottomLeft"/>
    </sheetView>
  </sheetViews>
  <sheetFormatPr defaultColWidth="8.85546875" defaultRowHeight="15" x14ac:dyDescent="0.25"/>
  <cols>
    <col min="1" max="1" width="35.85546875" style="82" customWidth="1"/>
    <col min="2" max="2" width="35.85546875" style="21" customWidth="1"/>
    <col min="3" max="3" width="78.85546875" style="21" customWidth="1"/>
    <col min="4" max="16384" width="8.85546875" style="21"/>
  </cols>
  <sheetData>
    <row r="1" spans="1:6" ht="15.75" x14ac:dyDescent="0.25">
      <c r="A1" s="19" t="s">
        <v>38</v>
      </c>
      <c r="B1" s="20" t="s">
        <v>37</v>
      </c>
      <c r="C1" s="29" t="s">
        <v>36</v>
      </c>
      <c r="F1" s="22" t="s">
        <v>28</v>
      </c>
    </row>
    <row r="2" spans="1:6" ht="15" customHeight="1" x14ac:dyDescent="0.3">
      <c r="A2" s="81" t="s">
        <v>983</v>
      </c>
      <c r="B2" s="23" t="s">
        <v>984</v>
      </c>
      <c r="C2" s="24"/>
      <c r="F2" s="22" t="s">
        <v>29</v>
      </c>
    </row>
    <row r="3" spans="1:6" ht="14.45" customHeight="1" x14ac:dyDescent="0.3">
      <c r="A3" s="81" t="s">
        <v>903</v>
      </c>
      <c r="B3" s="23" t="s">
        <v>985</v>
      </c>
      <c r="C3" s="24"/>
      <c r="F3" s="25" t="s">
        <v>30</v>
      </c>
    </row>
    <row r="4" spans="1:6" ht="44.25" customHeight="1" x14ac:dyDescent="0.3">
      <c r="A4" s="81" t="s">
        <v>904</v>
      </c>
      <c r="B4" s="23" t="s">
        <v>935</v>
      </c>
      <c r="C4" s="84" t="s">
        <v>933</v>
      </c>
    </row>
    <row r="5" spans="1:6" ht="141.75" customHeight="1" x14ac:dyDescent="0.3">
      <c r="A5" s="81" t="s">
        <v>902</v>
      </c>
      <c r="B5" s="23" t="s">
        <v>935</v>
      </c>
      <c r="C5" s="83" t="s">
        <v>934</v>
      </c>
    </row>
    <row r="6" spans="1:6" ht="49.5" x14ac:dyDescent="0.3">
      <c r="A6" s="81" t="s">
        <v>937</v>
      </c>
      <c r="B6" s="23" t="s">
        <v>936</v>
      </c>
      <c r="C6" s="83" t="s">
        <v>982</v>
      </c>
    </row>
    <row r="7" spans="1:6" ht="49.5" x14ac:dyDescent="0.3">
      <c r="A7" s="81" t="s">
        <v>905</v>
      </c>
      <c r="B7" s="23" t="s">
        <v>938</v>
      </c>
      <c r="C7" s="83" t="s">
        <v>947</v>
      </c>
    </row>
    <row r="8" spans="1:6" ht="346.5" x14ac:dyDescent="0.3">
      <c r="A8" s="81" t="s">
        <v>906</v>
      </c>
      <c r="B8" s="85" t="s">
        <v>948</v>
      </c>
      <c r="C8" s="83" t="s">
        <v>967</v>
      </c>
    </row>
    <row r="9" spans="1:6" ht="66" x14ac:dyDescent="0.3">
      <c r="A9" s="81" t="s">
        <v>907</v>
      </c>
      <c r="B9" s="27" t="s">
        <v>949</v>
      </c>
      <c r="C9" s="24"/>
    </row>
    <row r="10" spans="1:6" ht="49.5" x14ac:dyDescent="0.3">
      <c r="A10" s="81" t="s">
        <v>908</v>
      </c>
      <c r="B10" s="23" t="s">
        <v>939</v>
      </c>
      <c r="C10" s="83" t="s">
        <v>950</v>
      </c>
    </row>
    <row r="11" spans="1:6" ht="82.5" x14ac:dyDescent="0.3">
      <c r="A11" s="81" t="s">
        <v>909</v>
      </c>
      <c r="B11" s="23" t="s">
        <v>940</v>
      </c>
      <c r="C11" s="83" t="s">
        <v>966</v>
      </c>
    </row>
    <row r="12" spans="1:6" ht="135.75" customHeight="1" x14ac:dyDescent="0.25">
      <c r="A12" s="86" t="s">
        <v>910</v>
      </c>
      <c r="B12" s="87" t="s">
        <v>941</v>
      </c>
      <c r="C12" s="88" t="s">
        <v>965</v>
      </c>
    </row>
    <row r="13" spans="1:6" ht="115.5" x14ac:dyDescent="0.3">
      <c r="A13" s="81" t="s">
        <v>911</v>
      </c>
      <c r="B13" s="23" t="s">
        <v>952</v>
      </c>
      <c r="C13" s="83" t="s">
        <v>951</v>
      </c>
    </row>
    <row r="14" spans="1:6" ht="115.5" x14ac:dyDescent="0.3">
      <c r="A14" s="81" t="s">
        <v>912</v>
      </c>
      <c r="B14" s="23" t="s">
        <v>954</v>
      </c>
      <c r="C14" s="83" t="s">
        <v>953</v>
      </c>
    </row>
    <row r="15" spans="1:6" s="90" customFormat="1" ht="214.5" x14ac:dyDescent="0.25">
      <c r="A15" s="86" t="s">
        <v>913</v>
      </c>
      <c r="B15" s="89" t="s">
        <v>956</v>
      </c>
      <c r="C15" s="88" t="s">
        <v>955</v>
      </c>
    </row>
    <row r="16" spans="1:6" ht="82.5" x14ac:dyDescent="0.3">
      <c r="A16" s="81" t="s">
        <v>917</v>
      </c>
      <c r="B16" s="27" t="s">
        <v>958</v>
      </c>
      <c r="C16" s="83" t="s">
        <v>957</v>
      </c>
    </row>
    <row r="17" spans="1:3" ht="33" x14ac:dyDescent="0.3">
      <c r="A17" s="81" t="s">
        <v>918</v>
      </c>
      <c r="B17" s="27" t="s">
        <v>959</v>
      </c>
      <c r="C17" s="24" t="s">
        <v>962</v>
      </c>
    </row>
    <row r="18" spans="1:3" ht="115.5" x14ac:dyDescent="0.3">
      <c r="A18" s="81" t="s">
        <v>916</v>
      </c>
      <c r="B18" s="23" t="s">
        <v>918</v>
      </c>
      <c r="C18" s="83" t="s">
        <v>964</v>
      </c>
    </row>
    <row r="19" spans="1:3" ht="33" x14ac:dyDescent="0.3">
      <c r="A19" s="81" t="s">
        <v>919</v>
      </c>
      <c r="B19" s="27" t="s">
        <v>960</v>
      </c>
      <c r="C19" s="24" t="s">
        <v>961</v>
      </c>
    </row>
    <row r="20" spans="1:3" ht="115.5" x14ac:dyDescent="0.3">
      <c r="A20" s="81" t="s">
        <v>915</v>
      </c>
      <c r="B20" s="23" t="s">
        <v>919</v>
      </c>
      <c r="C20" s="83" t="s">
        <v>963</v>
      </c>
    </row>
    <row r="21" spans="1:3" ht="33" x14ac:dyDescent="0.3">
      <c r="A21" s="81" t="s">
        <v>914</v>
      </c>
      <c r="B21" s="23" t="s">
        <v>969</v>
      </c>
      <c r="C21" s="83" t="s">
        <v>968</v>
      </c>
    </row>
    <row r="22" spans="1:3" ht="82.5" x14ac:dyDescent="0.3">
      <c r="A22" s="81" t="s">
        <v>920</v>
      </c>
      <c r="B22" s="23" t="s">
        <v>943</v>
      </c>
      <c r="C22" s="83" t="s">
        <v>970</v>
      </c>
    </row>
    <row r="23" spans="1:3" ht="132" x14ac:dyDescent="0.3">
      <c r="A23" s="81" t="s">
        <v>921</v>
      </c>
      <c r="B23" s="27" t="s">
        <v>972</v>
      </c>
      <c r="C23" s="27" t="s">
        <v>971</v>
      </c>
    </row>
    <row r="24" spans="1:3" ht="231" x14ac:dyDescent="0.3">
      <c r="A24" s="81" t="s">
        <v>922</v>
      </c>
      <c r="B24" s="23" t="s">
        <v>944</v>
      </c>
      <c r="C24" s="27" t="s">
        <v>973</v>
      </c>
    </row>
    <row r="25" spans="1:3" ht="33" x14ac:dyDescent="0.3">
      <c r="A25" s="81" t="s">
        <v>923</v>
      </c>
      <c r="B25" s="23" t="s">
        <v>975</v>
      </c>
      <c r="C25" s="27" t="s">
        <v>974</v>
      </c>
    </row>
    <row r="26" spans="1:3" ht="82.5" x14ac:dyDescent="0.3">
      <c r="A26" s="81" t="s">
        <v>924</v>
      </c>
      <c r="B26" s="23" t="s">
        <v>945</v>
      </c>
      <c r="C26" s="27" t="s">
        <v>976</v>
      </c>
    </row>
    <row r="27" spans="1:3" ht="132" x14ac:dyDescent="0.3">
      <c r="A27" s="81" t="s">
        <v>925</v>
      </c>
      <c r="B27" s="27" t="s">
        <v>978</v>
      </c>
      <c r="C27" s="27" t="s">
        <v>977</v>
      </c>
    </row>
    <row r="28" spans="1:3" ht="247.5" x14ac:dyDescent="0.3">
      <c r="A28" s="81" t="s">
        <v>926</v>
      </c>
      <c r="B28" s="23" t="s">
        <v>946</v>
      </c>
      <c r="C28" s="27" t="s">
        <v>979</v>
      </c>
    </row>
    <row r="29" spans="1:3" ht="66" x14ac:dyDescent="0.3">
      <c r="A29" s="81" t="s">
        <v>932</v>
      </c>
      <c r="B29" s="27" t="s">
        <v>981</v>
      </c>
      <c r="C29" s="27" t="s">
        <v>980</v>
      </c>
    </row>
    <row r="30" spans="1:3" ht="14.45" customHeight="1" x14ac:dyDescent="0.3">
      <c r="A30" s="81"/>
      <c r="B30" s="23"/>
      <c r="C30" s="23"/>
    </row>
    <row r="31" spans="1:3" ht="14.45" customHeight="1" x14ac:dyDescent="0.3">
      <c r="A31" s="81"/>
      <c r="B31" s="23"/>
      <c r="C31" s="23"/>
    </row>
    <row r="32" spans="1:3" ht="14.45" customHeight="1" x14ac:dyDescent="0.3">
      <c r="A32" s="81"/>
      <c r="B32" s="23"/>
      <c r="C32" s="26"/>
    </row>
    <row r="33" spans="1:3" ht="14.45" customHeight="1" x14ac:dyDescent="0.3">
      <c r="A33" s="81"/>
      <c r="B33" s="23"/>
      <c r="C33" s="26"/>
    </row>
    <row r="34" spans="1:3" ht="14.45" customHeight="1" x14ac:dyDescent="0.3">
      <c r="A34" s="81"/>
      <c r="B34" s="23"/>
      <c r="C34" s="23"/>
    </row>
    <row r="35" spans="1:3" ht="14.45" customHeight="1" x14ac:dyDescent="0.3">
      <c r="A35" s="81"/>
      <c r="B35" s="23"/>
      <c r="C35" s="23"/>
    </row>
    <row r="36" spans="1:3" ht="14.45" customHeight="1" x14ac:dyDescent="0.3">
      <c r="A36" s="81"/>
      <c r="B36" s="23"/>
      <c r="C36" s="23"/>
    </row>
    <row r="37" spans="1:3" ht="14.45" customHeight="1" x14ac:dyDescent="0.3">
      <c r="A37" s="81"/>
      <c r="B37" s="23"/>
      <c r="C37" s="23"/>
    </row>
    <row r="38" spans="1:3" ht="14.45" customHeight="1" x14ac:dyDescent="0.3">
      <c r="A38" s="81"/>
      <c r="B38" s="23"/>
      <c r="C38" s="23"/>
    </row>
    <row r="39" spans="1:3" ht="14.45" customHeight="1" x14ac:dyDescent="0.3">
      <c r="A39" s="81"/>
      <c r="B39" s="23"/>
      <c r="C39" s="23"/>
    </row>
    <row r="40" spans="1:3" ht="14.45" customHeight="1" x14ac:dyDescent="0.3">
      <c r="A40" s="81"/>
      <c r="B40" s="23"/>
      <c r="C40" s="23"/>
    </row>
    <row r="41" spans="1:3" ht="14.45" customHeight="1" x14ac:dyDescent="0.3">
      <c r="A41" s="81"/>
      <c r="B41" s="23"/>
      <c r="C41" s="27"/>
    </row>
    <row r="42" spans="1:3" ht="14.45" customHeight="1" x14ac:dyDescent="0.3">
      <c r="A42" s="81"/>
      <c r="B42" s="23"/>
      <c r="C42" s="27"/>
    </row>
    <row r="43" spans="1:3" ht="14.45" customHeight="1" x14ac:dyDescent="0.3">
      <c r="A43" s="81"/>
      <c r="B43" s="23"/>
      <c r="C43" s="27"/>
    </row>
    <row r="44" spans="1:3" ht="14.45" customHeight="1" x14ac:dyDescent="0.3">
      <c r="A44" s="81"/>
      <c r="B44" s="23"/>
      <c r="C44" s="27"/>
    </row>
    <row r="45" spans="1:3" ht="14.45" customHeight="1" x14ac:dyDescent="0.3">
      <c r="A45" s="81"/>
      <c r="B45" s="23"/>
      <c r="C45" s="27"/>
    </row>
    <row r="46" spans="1:3" ht="14.45" customHeight="1" x14ac:dyDescent="0.3">
      <c r="A46" s="81"/>
      <c r="B46" s="23"/>
      <c r="C46" s="27"/>
    </row>
    <row r="47" spans="1:3" ht="14.45" customHeight="1" x14ac:dyDescent="0.3">
      <c r="A47" s="81"/>
      <c r="B47" s="23"/>
      <c r="C47" s="27"/>
    </row>
    <row r="48" spans="1:3" ht="14.45" customHeight="1" x14ac:dyDescent="0.3">
      <c r="A48" s="81"/>
      <c r="B48" s="23"/>
      <c r="C48" s="27"/>
    </row>
    <row r="49" spans="1:3" ht="14.45" customHeight="1" x14ac:dyDescent="0.3">
      <c r="A49" s="81"/>
      <c r="B49" s="23"/>
      <c r="C49" s="27"/>
    </row>
    <row r="50" spans="1:3" ht="14.45" customHeight="1" x14ac:dyDescent="0.3">
      <c r="A50" s="81"/>
      <c r="B50" s="23"/>
      <c r="C50" s="27"/>
    </row>
    <row r="51" spans="1:3" ht="14.45" customHeight="1" x14ac:dyDescent="0.3">
      <c r="A51" s="81"/>
      <c r="B51" s="23"/>
      <c r="C51" s="27"/>
    </row>
    <row r="52" spans="1:3" ht="14.45" customHeight="1" x14ac:dyDescent="0.3">
      <c r="A52" s="81"/>
      <c r="B52" s="23"/>
      <c r="C52" s="27"/>
    </row>
    <row r="53" spans="1:3" ht="14.45" customHeight="1" x14ac:dyDescent="0.25"/>
    <row r="54" spans="1:3" ht="14.45" customHeight="1" x14ac:dyDescent="0.25"/>
    <row r="55" spans="1:3" ht="14.45" customHeight="1" x14ac:dyDescent="0.25"/>
    <row r="56" spans="1:3" ht="14.45" customHeight="1" x14ac:dyDescent="0.25"/>
    <row r="57" spans="1:3" ht="14.45" customHeight="1" x14ac:dyDescent="0.25"/>
    <row r="58" spans="1:3" ht="14.45" customHeight="1" x14ac:dyDescent="0.25"/>
    <row r="59" spans="1:3" ht="14.45" customHeight="1" x14ac:dyDescent="0.25"/>
    <row r="60" spans="1:3" ht="14.45" customHeight="1" x14ac:dyDescent="0.25"/>
    <row r="61" spans="1:3" ht="14.45" customHeight="1" x14ac:dyDescent="0.25"/>
    <row r="62" spans="1:3" ht="14.45" customHeight="1"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2494A-1982-4F1A-9A2A-52B0597EBBC2}">
  <sheetPr>
    <tabColor theme="0" tint="-0.249977111117893"/>
  </sheetPr>
  <dimension ref="A1:F54"/>
  <sheetViews>
    <sheetView workbookViewId="0">
      <pane ySplit="1" topLeftCell="A5" activePane="bottomLeft" state="frozen"/>
      <selection pane="bottomLeft" activeCell="C8" sqref="C8"/>
    </sheetView>
  </sheetViews>
  <sheetFormatPr defaultColWidth="8.85546875" defaultRowHeight="15" x14ac:dyDescent="0.25"/>
  <cols>
    <col min="1" max="1" width="35.85546875" style="82" customWidth="1"/>
    <col min="2" max="2" width="35.85546875" style="21" customWidth="1"/>
    <col min="3" max="3" width="78.85546875" style="21" customWidth="1"/>
    <col min="4" max="16384" width="8.85546875" style="21"/>
  </cols>
  <sheetData>
    <row r="1" spans="1:6" ht="15.75" x14ac:dyDescent="0.25">
      <c r="A1" s="19" t="s">
        <v>38</v>
      </c>
      <c r="B1" s="20" t="s">
        <v>37</v>
      </c>
      <c r="C1" s="29" t="s">
        <v>36</v>
      </c>
      <c r="F1" s="22" t="s">
        <v>28</v>
      </c>
    </row>
    <row r="2" spans="1:6" ht="15" customHeight="1" x14ac:dyDescent="0.3">
      <c r="A2" s="81" t="s">
        <v>986</v>
      </c>
      <c r="B2" s="23" t="s">
        <v>984</v>
      </c>
      <c r="C2" s="24"/>
      <c r="F2" s="22" t="s">
        <v>29</v>
      </c>
    </row>
    <row r="3" spans="1:6" ht="14.45" customHeight="1" x14ac:dyDescent="0.3">
      <c r="A3" s="81" t="s">
        <v>903</v>
      </c>
      <c r="B3" s="23" t="s">
        <v>985</v>
      </c>
      <c r="C3" s="24"/>
      <c r="F3" s="25" t="s">
        <v>30</v>
      </c>
    </row>
    <row r="4" spans="1:6" ht="44.25" customHeight="1" x14ac:dyDescent="0.3">
      <c r="A4" s="81" t="s">
        <v>987</v>
      </c>
      <c r="B4" s="23" t="s">
        <v>988</v>
      </c>
      <c r="C4" s="84" t="s">
        <v>989</v>
      </c>
    </row>
    <row r="5" spans="1:6" ht="141.75" customHeight="1" x14ac:dyDescent="0.3">
      <c r="A5" s="81" t="s">
        <v>990</v>
      </c>
      <c r="B5" s="23" t="s">
        <v>988</v>
      </c>
      <c r="C5" s="83" t="s">
        <v>991</v>
      </c>
    </row>
    <row r="6" spans="1:6" ht="49.5" x14ac:dyDescent="0.3">
      <c r="A6" s="81" t="s">
        <v>937</v>
      </c>
      <c r="B6" s="23" t="s">
        <v>936</v>
      </c>
      <c r="C6" s="83" t="s">
        <v>982</v>
      </c>
    </row>
    <row r="7" spans="1:6" ht="49.5" x14ac:dyDescent="0.3">
      <c r="A7" s="81" t="s">
        <v>992</v>
      </c>
      <c r="B7" s="23" t="s">
        <v>993</v>
      </c>
      <c r="C7" s="83" t="s">
        <v>994</v>
      </c>
    </row>
    <row r="8" spans="1:6" ht="297" x14ac:dyDescent="0.25">
      <c r="A8" s="86" t="s">
        <v>995</v>
      </c>
      <c r="B8" s="89" t="s">
        <v>996</v>
      </c>
      <c r="C8" s="88" t="s">
        <v>997</v>
      </c>
    </row>
    <row r="9" spans="1:6" ht="66" x14ac:dyDescent="0.3">
      <c r="A9" s="81" t="s">
        <v>998</v>
      </c>
      <c r="B9" s="27" t="s">
        <v>999</v>
      </c>
      <c r="C9" s="24"/>
    </row>
    <row r="10" spans="1:6" ht="33" x14ac:dyDescent="0.3">
      <c r="A10" s="81" t="s">
        <v>1000</v>
      </c>
      <c r="B10" s="23" t="s">
        <v>1001</v>
      </c>
      <c r="C10" s="83" t="s">
        <v>1002</v>
      </c>
    </row>
    <row r="11" spans="1:6" ht="82.5" x14ac:dyDescent="0.3">
      <c r="A11" s="81" t="s">
        <v>1003</v>
      </c>
      <c r="B11" s="23" t="s">
        <v>1004</v>
      </c>
      <c r="C11" s="83" t="s">
        <v>1005</v>
      </c>
    </row>
    <row r="12" spans="1:6" ht="135.75" customHeight="1" x14ac:dyDescent="0.25">
      <c r="A12" s="86" t="s">
        <v>1006</v>
      </c>
      <c r="B12" s="87" t="s">
        <v>1007</v>
      </c>
      <c r="C12" s="88" t="s">
        <v>1008</v>
      </c>
    </row>
    <row r="13" spans="1:6" ht="115.5" x14ac:dyDescent="0.3">
      <c r="A13" s="81" t="s">
        <v>1009</v>
      </c>
      <c r="B13" s="23" t="s">
        <v>1010</v>
      </c>
      <c r="C13" s="83" t="s">
        <v>951</v>
      </c>
    </row>
    <row r="14" spans="1:6" ht="115.5" x14ac:dyDescent="0.3">
      <c r="A14" s="81" t="s">
        <v>1011</v>
      </c>
      <c r="B14" s="23" t="s">
        <v>1012</v>
      </c>
      <c r="C14" s="83" t="s">
        <v>953</v>
      </c>
    </row>
    <row r="15" spans="1:6" s="90" customFormat="1" ht="214.5" x14ac:dyDescent="0.25">
      <c r="A15" s="86" t="s">
        <v>1013</v>
      </c>
      <c r="B15" s="89" t="s">
        <v>1014</v>
      </c>
      <c r="C15" s="88" t="s">
        <v>1015</v>
      </c>
    </row>
    <row r="16" spans="1:6" ht="66" x14ac:dyDescent="0.3">
      <c r="A16" s="81" t="s">
        <v>1016</v>
      </c>
      <c r="B16" s="27" t="s">
        <v>1017</v>
      </c>
      <c r="C16" s="83" t="s">
        <v>1018</v>
      </c>
    </row>
    <row r="17" spans="1:3" ht="33" x14ac:dyDescent="0.3">
      <c r="A17" s="81" t="s">
        <v>1019</v>
      </c>
      <c r="B17" s="27" t="s">
        <v>1020</v>
      </c>
      <c r="C17" s="24" t="s">
        <v>1021</v>
      </c>
    </row>
    <row r="18" spans="1:3" ht="115.5" x14ac:dyDescent="0.3">
      <c r="A18" s="81" t="s">
        <v>1022</v>
      </c>
      <c r="B18" s="23" t="s">
        <v>1019</v>
      </c>
      <c r="C18" s="83" t="s">
        <v>1023</v>
      </c>
    </row>
    <row r="19" spans="1:3" ht="33" x14ac:dyDescent="0.3">
      <c r="A19" s="81" t="s">
        <v>1024</v>
      </c>
      <c r="B19" s="27" t="s">
        <v>1025</v>
      </c>
      <c r="C19" s="24" t="s">
        <v>1026</v>
      </c>
    </row>
    <row r="20" spans="1:3" ht="115.5" x14ac:dyDescent="0.3">
      <c r="A20" s="81" t="s">
        <v>1027</v>
      </c>
      <c r="B20" s="23" t="s">
        <v>1024</v>
      </c>
      <c r="C20" s="83" t="s">
        <v>1028</v>
      </c>
    </row>
    <row r="21" spans="1:3" ht="66" x14ac:dyDescent="0.3">
      <c r="A21" s="81" t="s">
        <v>1029</v>
      </c>
      <c r="B21" s="27" t="s">
        <v>1030</v>
      </c>
      <c r="C21" s="27" t="s">
        <v>1031</v>
      </c>
    </row>
    <row r="22" spans="1:3" ht="14.45" customHeight="1" x14ac:dyDescent="0.3">
      <c r="A22" s="81"/>
      <c r="B22" s="23"/>
      <c r="C22" s="23"/>
    </row>
    <row r="23" spans="1:3" ht="14.45" customHeight="1" x14ac:dyDescent="0.3">
      <c r="A23" s="81"/>
      <c r="B23" s="23"/>
      <c r="C23" s="23"/>
    </row>
    <row r="24" spans="1:3" ht="14.45" customHeight="1" x14ac:dyDescent="0.3">
      <c r="A24" s="81"/>
      <c r="B24" s="23"/>
      <c r="C24" s="26"/>
    </row>
    <row r="25" spans="1:3" ht="14.45" customHeight="1" x14ac:dyDescent="0.3">
      <c r="A25" s="81"/>
      <c r="B25" s="23"/>
      <c r="C25" s="26"/>
    </row>
    <row r="26" spans="1:3" ht="14.45" customHeight="1" x14ac:dyDescent="0.3">
      <c r="A26" s="81"/>
      <c r="B26" s="23"/>
      <c r="C26" s="23"/>
    </row>
    <row r="27" spans="1:3" ht="14.45" customHeight="1" x14ac:dyDescent="0.3">
      <c r="A27" s="81"/>
      <c r="B27" s="23"/>
      <c r="C27" s="23"/>
    </row>
    <row r="28" spans="1:3" ht="14.45" customHeight="1" x14ac:dyDescent="0.3">
      <c r="A28" s="81"/>
      <c r="B28" s="23"/>
      <c r="C28" s="23"/>
    </row>
    <row r="29" spans="1:3" ht="14.45" customHeight="1" x14ac:dyDescent="0.3">
      <c r="A29" s="81"/>
      <c r="B29" s="23"/>
      <c r="C29" s="23"/>
    </row>
    <row r="30" spans="1:3" ht="14.45" customHeight="1" x14ac:dyDescent="0.3">
      <c r="A30" s="81"/>
      <c r="B30" s="23"/>
      <c r="C30" s="23"/>
    </row>
    <row r="31" spans="1:3" ht="14.45" customHeight="1" x14ac:dyDescent="0.3">
      <c r="A31" s="81"/>
      <c r="B31" s="23"/>
      <c r="C31" s="23"/>
    </row>
    <row r="32" spans="1:3" ht="14.45" customHeight="1" x14ac:dyDescent="0.3">
      <c r="A32" s="81"/>
      <c r="B32" s="23"/>
      <c r="C32" s="23"/>
    </row>
    <row r="33" spans="1:3" ht="14.45" customHeight="1" x14ac:dyDescent="0.3">
      <c r="A33" s="81"/>
      <c r="B33" s="23"/>
      <c r="C33" s="27"/>
    </row>
    <row r="34" spans="1:3" ht="14.45" customHeight="1" x14ac:dyDescent="0.3">
      <c r="A34" s="81"/>
      <c r="B34" s="23"/>
      <c r="C34" s="27"/>
    </row>
    <row r="35" spans="1:3" ht="14.45" customHeight="1" x14ac:dyDescent="0.3">
      <c r="A35" s="81"/>
      <c r="B35" s="23"/>
      <c r="C35" s="27"/>
    </row>
    <row r="36" spans="1:3" ht="14.45" customHeight="1" x14ac:dyDescent="0.3">
      <c r="A36" s="81"/>
      <c r="B36" s="23"/>
      <c r="C36" s="27"/>
    </row>
    <row r="37" spans="1:3" ht="14.45" customHeight="1" x14ac:dyDescent="0.3">
      <c r="A37" s="81"/>
      <c r="B37" s="23"/>
      <c r="C37" s="27"/>
    </row>
    <row r="38" spans="1:3" ht="14.45" customHeight="1" x14ac:dyDescent="0.3">
      <c r="A38" s="81"/>
      <c r="B38" s="23"/>
      <c r="C38" s="27"/>
    </row>
    <row r="39" spans="1:3" ht="14.45" customHeight="1" x14ac:dyDescent="0.3">
      <c r="A39" s="81"/>
      <c r="B39" s="23"/>
      <c r="C39" s="27"/>
    </row>
    <row r="40" spans="1:3" ht="14.45" customHeight="1" x14ac:dyDescent="0.3">
      <c r="A40" s="81"/>
      <c r="B40" s="23"/>
      <c r="C40" s="27"/>
    </row>
    <row r="41" spans="1:3" ht="14.45" customHeight="1" x14ac:dyDescent="0.3">
      <c r="A41" s="81"/>
      <c r="B41" s="23"/>
      <c r="C41" s="27"/>
    </row>
    <row r="42" spans="1:3" ht="14.45" customHeight="1" x14ac:dyDescent="0.3">
      <c r="A42" s="81"/>
      <c r="B42" s="23"/>
      <c r="C42" s="27"/>
    </row>
    <row r="43" spans="1:3" ht="14.45" customHeight="1" x14ac:dyDescent="0.3">
      <c r="A43" s="81"/>
      <c r="B43" s="23"/>
      <c r="C43" s="27"/>
    </row>
    <row r="44" spans="1:3" ht="14.45" customHeight="1" x14ac:dyDescent="0.3">
      <c r="A44" s="81"/>
      <c r="B44" s="23"/>
      <c r="C44" s="27"/>
    </row>
    <row r="45" spans="1:3" ht="14.45" customHeight="1" x14ac:dyDescent="0.25"/>
    <row r="46" spans="1:3" ht="14.45" customHeight="1" x14ac:dyDescent="0.25"/>
    <row r="47" spans="1:3" ht="14.45" customHeight="1" x14ac:dyDescent="0.25"/>
    <row r="48" spans="1:3" ht="14.45" customHeight="1" x14ac:dyDescent="0.25"/>
    <row r="49" ht="14.45" customHeight="1" x14ac:dyDescent="0.25"/>
    <row r="50" ht="14.45" customHeight="1" x14ac:dyDescent="0.25"/>
    <row r="51" ht="14.45" customHeight="1" x14ac:dyDescent="0.25"/>
    <row r="52" ht="14.45" customHeight="1" x14ac:dyDescent="0.25"/>
    <row r="53" ht="14.45" customHeight="1" x14ac:dyDescent="0.25"/>
    <row r="54" ht="14.45" customHeight="1"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0D2D8-8B13-41F4-B2D0-E059855FC730}">
  <dimension ref="A1:B7"/>
  <sheetViews>
    <sheetView workbookViewId="0">
      <pane ySplit="1" topLeftCell="A2" activePane="bottomLeft" state="frozen"/>
      <selection pane="bottomLeft" sqref="A1:B1"/>
    </sheetView>
  </sheetViews>
  <sheetFormatPr defaultColWidth="8.85546875" defaultRowHeight="15" x14ac:dyDescent="0.25"/>
  <cols>
    <col min="1" max="1" width="16.42578125" style="10" bestFit="1" customWidth="1"/>
    <col min="2" max="2" width="104.140625" style="10" bestFit="1" customWidth="1"/>
    <col min="3" max="3" width="8.42578125" style="10" bestFit="1" customWidth="1"/>
    <col min="4" max="16384" width="8.85546875" style="10"/>
  </cols>
  <sheetData>
    <row r="1" spans="1:2" ht="15.75" x14ac:dyDescent="0.25">
      <c r="A1" s="96" t="s">
        <v>23</v>
      </c>
      <c r="B1" s="97"/>
    </row>
    <row r="2" spans="1:2" x14ac:dyDescent="0.25">
      <c r="A2" s="31" t="s">
        <v>39</v>
      </c>
      <c r="B2" s="10" t="s">
        <v>41</v>
      </c>
    </row>
    <row r="3" spans="1:2" x14ac:dyDescent="0.25">
      <c r="A3" s="31" t="s">
        <v>40</v>
      </c>
      <c r="B3" s="10" t="s">
        <v>42</v>
      </c>
    </row>
    <row r="4" spans="1:2" x14ac:dyDescent="0.25">
      <c r="A4" s="31" t="s">
        <v>27</v>
      </c>
      <c r="B4" s="10" t="s">
        <v>43</v>
      </c>
    </row>
    <row r="5" spans="1:2" x14ac:dyDescent="0.25">
      <c r="A5" s="31" t="s">
        <v>26</v>
      </c>
      <c r="B5" s="10" t="s">
        <v>44</v>
      </c>
    </row>
    <row r="6" spans="1:2" x14ac:dyDescent="0.25">
      <c r="A6" s="31" t="s">
        <v>25</v>
      </c>
      <c r="B6" s="10" t="s">
        <v>45</v>
      </c>
    </row>
    <row r="7" spans="1:2" x14ac:dyDescent="0.25">
      <c r="A7" s="31" t="s">
        <v>24</v>
      </c>
      <c r="B7" s="10" t="s">
        <v>46</v>
      </c>
    </row>
  </sheetData>
  <mergeCells count="1">
    <mergeCell ref="A1:B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FD1C9-DFF2-4FDF-81AC-95F7608855AF}">
  <sheetPr>
    <tabColor theme="0" tint="-0.249977111117893"/>
  </sheetPr>
  <dimension ref="A1:C2"/>
  <sheetViews>
    <sheetView workbookViewId="0">
      <pane ySplit="1" topLeftCell="A2" activePane="bottomLeft" state="frozen"/>
      <selection pane="bottomLeft" activeCell="B3" sqref="B3"/>
    </sheetView>
  </sheetViews>
  <sheetFormatPr defaultRowHeight="15" x14ac:dyDescent="0.25"/>
  <cols>
    <col min="1" max="3" width="44" customWidth="1"/>
  </cols>
  <sheetData>
    <row r="1" spans="1:3" s="18" customFormat="1" ht="15.75" x14ac:dyDescent="0.25">
      <c r="A1" s="17" t="s">
        <v>3</v>
      </c>
      <c r="B1" s="17" t="s">
        <v>4</v>
      </c>
      <c r="C1" s="17" t="s">
        <v>5</v>
      </c>
    </row>
    <row r="2" spans="1:3" ht="75" x14ac:dyDescent="0.25">
      <c r="A2" s="39" t="s">
        <v>63</v>
      </c>
      <c r="B2" s="39" t="s">
        <v>75</v>
      </c>
      <c r="C2" s="39" t="s">
        <v>64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2CF50-371D-4AC3-AEFA-B009DCEF1B54}">
  <dimension ref="A1:P436"/>
  <sheetViews>
    <sheetView workbookViewId="0">
      <pane ySplit="1" topLeftCell="A2" activePane="bottomLeft" state="frozen"/>
      <selection pane="bottomLeft" activeCell="E65" sqref="E65"/>
    </sheetView>
  </sheetViews>
  <sheetFormatPr defaultColWidth="11.42578125" defaultRowHeight="15" x14ac:dyDescent="0.25"/>
  <cols>
    <col min="1" max="1" width="40" bestFit="1" customWidth="1"/>
  </cols>
  <sheetData>
    <row r="1" spans="1:16" s="91" customFormat="1" ht="15.75" x14ac:dyDescent="0.25">
      <c r="A1" s="91" t="s">
        <v>1032</v>
      </c>
      <c r="B1" s="91" t="s">
        <v>3319</v>
      </c>
      <c r="C1" s="91" t="s">
        <v>3320</v>
      </c>
      <c r="D1" s="91" t="s">
        <v>3321</v>
      </c>
      <c r="E1" s="91" t="s">
        <v>3322</v>
      </c>
      <c r="F1" s="91" t="s">
        <v>3323</v>
      </c>
      <c r="G1" s="91" t="s">
        <v>3324</v>
      </c>
      <c r="H1" s="91" t="s">
        <v>936</v>
      </c>
      <c r="I1" s="91" t="s">
        <v>984</v>
      </c>
      <c r="J1" s="91" t="s">
        <v>985</v>
      </c>
      <c r="K1" s="91" t="s">
        <v>3325</v>
      </c>
      <c r="L1" s="91" t="s">
        <v>1295</v>
      </c>
      <c r="M1" s="91" t="s">
        <v>3326</v>
      </c>
      <c r="N1" s="91" t="s">
        <v>1294</v>
      </c>
      <c r="O1" s="91" t="s">
        <v>3327</v>
      </c>
      <c r="P1" s="91" t="s">
        <v>3328</v>
      </c>
    </row>
    <row r="2" spans="1:16" x14ac:dyDescent="0.25">
      <c r="A2" t="s">
        <v>2847</v>
      </c>
      <c r="B2" t="s">
        <v>1387</v>
      </c>
      <c r="C2" t="s">
        <v>3329</v>
      </c>
      <c r="D2" t="s">
        <v>3330</v>
      </c>
      <c r="H2" t="s">
        <v>3331</v>
      </c>
      <c r="I2" t="s">
        <v>1333</v>
      </c>
      <c r="J2" t="s">
        <v>1334</v>
      </c>
      <c r="L2" t="s">
        <v>1396</v>
      </c>
      <c r="N2" t="s">
        <v>1307</v>
      </c>
      <c r="O2" t="s">
        <v>3332</v>
      </c>
      <c r="P2" t="s">
        <v>1310</v>
      </c>
    </row>
    <row r="3" spans="1:16" x14ac:dyDescent="0.25">
      <c r="A3" t="s">
        <v>2851</v>
      </c>
      <c r="B3" t="s">
        <v>1387</v>
      </c>
      <c r="C3" t="s">
        <v>3333</v>
      </c>
      <c r="D3" t="s">
        <v>3330</v>
      </c>
      <c r="H3" t="s">
        <v>3334</v>
      </c>
      <c r="I3" t="s">
        <v>1333</v>
      </c>
      <c r="J3" t="s">
        <v>1334</v>
      </c>
      <c r="L3" t="s">
        <v>1396</v>
      </c>
      <c r="N3" t="s">
        <v>1307</v>
      </c>
      <c r="O3" t="s">
        <v>3335</v>
      </c>
      <c r="P3" t="s">
        <v>1339</v>
      </c>
    </row>
    <row r="4" spans="1:16" x14ac:dyDescent="0.25">
      <c r="A4" t="s">
        <v>1302</v>
      </c>
      <c r="B4" t="s">
        <v>1738</v>
      </c>
      <c r="C4" t="s">
        <v>3336</v>
      </c>
      <c r="D4" t="s">
        <v>3330</v>
      </c>
      <c r="H4" t="s">
        <v>3337</v>
      </c>
      <c r="I4" t="s">
        <v>1333</v>
      </c>
      <c r="J4" t="s">
        <v>1334</v>
      </c>
      <c r="L4" t="s">
        <v>1335</v>
      </c>
      <c r="N4" t="s">
        <v>1319</v>
      </c>
      <c r="O4" t="s">
        <v>3338</v>
      </c>
      <c r="P4" t="s">
        <v>3339</v>
      </c>
    </row>
    <row r="5" spans="1:16" x14ac:dyDescent="0.25">
      <c r="A5" t="s">
        <v>1348</v>
      </c>
      <c r="B5" t="s">
        <v>1738</v>
      </c>
      <c r="C5" t="s">
        <v>3333</v>
      </c>
      <c r="D5" t="s">
        <v>3330</v>
      </c>
      <c r="H5" t="s">
        <v>3340</v>
      </c>
      <c r="I5" t="s">
        <v>1366</v>
      </c>
      <c r="J5" t="s">
        <v>1367</v>
      </c>
      <c r="L5" t="s">
        <v>1335</v>
      </c>
      <c r="N5" t="s">
        <v>1319</v>
      </c>
      <c r="O5" t="s">
        <v>3341</v>
      </c>
      <c r="P5" t="s">
        <v>3342</v>
      </c>
    </row>
    <row r="6" spans="1:16" x14ac:dyDescent="0.25">
      <c r="A6" t="s">
        <v>2854</v>
      </c>
      <c r="B6" t="s">
        <v>1738</v>
      </c>
      <c r="C6" t="s">
        <v>3343</v>
      </c>
      <c r="D6" t="s">
        <v>3344</v>
      </c>
      <c r="E6" t="s">
        <v>3345</v>
      </c>
      <c r="F6" t="s">
        <v>3344</v>
      </c>
      <c r="G6" t="s">
        <v>3346</v>
      </c>
      <c r="H6" t="s">
        <v>3347</v>
      </c>
      <c r="I6" t="s">
        <v>2230</v>
      </c>
      <c r="J6" t="s">
        <v>2231</v>
      </c>
      <c r="L6" t="s">
        <v>1396</v>
      </c>
      <c r="N6" t="s">
        <v>1307</v>
      </c>
      <c r="O6" t="s">
        <v>3348</v>
      </c>
      <c r="P6" t="s">
        <v>3349</v>
      </c>
    </row>
    <row r="7" spans="1:16" x14ac:dyDescent="0.25">
      <c r="A7" t="s">
        <v>1379</v>
      </c>
      <c r="B7" t="s">
        <v>1738</v>
      </c>
      <c r="C7" t="s">
        <v>3350</v>
      </c>
      <c r="D7" t="s">
        <v>3344</v>
      </c>
      <c r="E7" t="s">
        <v>3351</v>
      </c>
      <c r="F7" t="s">
        <v>3344</v>
      </c>
      <c r="G7" t="s">
        <v>3352</v>
      </c>
      <c r="H7" t="s">
        <v>3353</v>
      </c>
      <c r="I7" t="s">
        <v>1394</v>
      </c>
      <c r="J7" t="s">
        <v>1395</v>
      </c>
      <c r="L7" t="s">
        <v>1396</v>
      </c>
      <c r="N7" t="s">
        <v>1319</v>
      </c>
      <c r="O7" t="s">
        <v>3354</v>
      </c>
      <c r="P7" t="s">
        <v>3355</v>
      </c>
    </row>
    <row r="8" spans="1:16" x14ac:dyDescent="0.25">
      <c r="A8" t="s">
        <v>1404</v>
      </c>
      <c r="B8" t="s">
        <v>1738</v>
      </c>
      <c r="C8" t="s">
        <v>3356</v>
      </c>
      <c r="D8" t="s">
        <v>3330</v>
      </c>
      <c r="H8" t="s">
        <v>3357</v>
      </c>
      <c r="I8" t="s">
        <v>1333</v>
      </c>
      <c r="J8" t="s">
        <v>1334</v>
      </c>
      <c r="L8" t="s">
        <v>1335</v>
      </c>
      <c r="N8" t="s">
        <v>1319</v>
      </c>
      <c r="O8" t="s">
        <v>3358</v>
      </c>
      <c r="P8" t="s">
        <v>3359</v>
      </c>
    </row>
    <row r="9" spans="1:16" x14ac:dyDescent="0.25">
      <c r="A9" t="s">
        <v>1417</v>
      </c>
      <c r="B9" t="s">
        <v>1738</v>
      </c>
      <c r="C9" t="s">
        <v>3350</v>
      </c>
      <c r="D9" t="s">
        <v>3344</v>
      </c>
      <c r="E9" t="s">
        <v>3360</v>
      </c>
      <c r="F9" t="s">
        <v>3344</v>
      </c>
      <c r="G9" t="s">
        <v>3361</v>
      </c>
      <c r="H9" t="s">
        <v>3362</v>
      </c>
      <c r="I9" t="s">
        <v>1333</v>
      </c>
      <c r="J9" t="s">
        <v>1334</v>
      </c>
      <c r="L9" t="s">
        <v>1335</v>
      </c>
      <c r="N9" t="s">
        <v>1319</v>
      </c>
      <c r="O9" t="s">
        <v>3363</v>
      </c>
      <c r="P9" t="s">
        <v>3364</v>
      </c>
    </row>
    <row r="10" spans="1:16" x14ac:dyDescent="0.25">
      <c r="A10" t="s">
        <v>1427</v>
      </c>
      <c r="B10" t="s">
        <v>1738</v>
      </c>
      <c r="C10" t="s">
        <v>3336</v>
      </c>
      <c r="D10" t="s">
        <v>3330</v>
      </c>
      <c r="H10" t="s">
        <v>3365</v>
      </c>
      <c r="I10" t="s">
        <v>1333</v>
      </c>
      <c r="J10" t="s">
        <v>1334</v>
      </c>
      <c r="L10" t="s">
        <v>1335</v>
      </c>
      <c r="N10" t="s">
        <v>1319</v>
      </c>
      <c r="O10" t="s">
        <v>3366</v>
      </c>
      <c r="P10" t="s">
        <v>3367</v>
      </c>
    </row>
    <row r="11" spans="1:16" x14ac:dyDescent="0.25">
      <c r="A11" t="s">
        <v>1442</v>
      </c>
      <c r="B11" t="s">
        <v>1738</v>
      </c>
      <c r="C11" t="s">
        <v>3356</v>
      </c>
      <c r="D11" t="s">
        <v>3330</v>
      </c>
      <c r="H11" t="s">
        <v>3368</v>
      </c>
      <c r="I11" t="s">
        <v>1333</v>
      </c>
      <c r="J11" t="s">
        <v>1334</v>
      </c>
      <c r="L11" t="s">
        <v>1335</v>
      </c>
      <c r="N11" t="s">
        <v>1319</v>
      </c>
      <c r="O11" t="s">
        <v>3369</v>
      </c>
      <c r="P11" t="s">
        <v>3370</v>
      </c>
    </row>
    <row r="12" spans="1:16" x14ac:dyDescent="0.25">
      <c r="A12" t="s">
        <v>1453</v>
      </c>
      <c r="B12" t="s">
        <v>1738</v>
      </c>
      <c r="C12" t="s">
        <v>3343</v>
      </c>
      <c r="D12" t="s">
        <v>3344</v>
      </c>
      <c r="E12" t="s">
        <v>3371</v>
      </c>
      <c r="F12" t="s">
        <v>3372</v>
      </c>
      <c r="G12" t="s">
        <v>3346</v>
      </c>
      <c r="H12" t="s">
        <v>3373</v>
      </c>
      <c r="I12" t="s">
        <v>1333</v>
      </c>
      <c r="J12" t="s">
        <v>1334</v>
      </c>
      <c r="L12" t="s">
        <v>1396</v>
      </c>
      <c r="N12" t="s">
        <v>1319</v>
      </c>
      <c r="O12" t="s">
        <v>3374</v>
      </c>
      <c r="P12" t="s">
        <v>3375</v>
      </c>
    </row>
    <row r="13" spans="1:16" x14ac:dyDescent="0.25">
      <c r="A13" t="s">
        <v>1462</v>
      </c>
      <c r="B13" t="s">
        <v>1738</v>
      </c>
      <c r="C13" t="s">
        <v>3350</v>
      </c>
      <c r="D13" t="s">
        <v>3330</v>
      </c>
      <c r="H13" t="s">
        <v>3334</v>
      </c>
      <c r="I13" t="s">
        <v>1333</v>
      </c>
      <c r="J13" t="s">
        <v>1334</v>
      </c>
      <c r="L13" t="s">
        <v>1335</v>
      </c>
      <c r="N13" t="s">
        <v>1319</v>
      </c>
      <c r="O13" t="s">
        <v>3376</v>
      </c>
      <c r="P13" t="s">
        <v>3377</v>
      </c>
    </row>
    <row r="14" spans="1:16" x14ac:dyDescent="0.25">
      <c r="A14" t="s">
        <v>1468</v>
      </c>
      <c r="B14" t="s">
        <v>1738</v>
      </c>
      <c r="C14" t="s">
        <v>3343</v>
      </c>
      <c r="D14" t="s">
        <v>3330</v>
      </c>
      <c r="H14" t="s">
        <v>3378</v>
      </c>
      <c r="I14" t="s">
        <v>1333</v>
      </c>
      <c r="J14" t="s">
        <v>1334</v>
      </c>
      <c r="L14" t="s">
        <v>1335</v>
      </c>
      <c r="N14" t="s">
        <v>1319</v>
      </c>
      <c r="O14" t="s">
        <v>3379</v>
      </c>
      <c r="P14" t="s">
        <v>3380</v>
      </c>
    </row>
    <row r="15" spans="1:16" x14ac:dyDescent="0.25">
      <c r="A15" t="s">
        <v>1472</v>
      </c>
      <c r="B15" t="s">
        <v>1738</v>
      </c>
      <c r="C15" t="s">
        <v>3333</v>
      </c>
      <c r="D15" t="s">
        <v>3330</v>
      </c>
      <c r="H15" t="s">
        <v>3381</v>
      </c>
      <c r="I15" t="s">
        <v>1366</v>
      </c>
      <c r="J15" t="s">
        <v>1367</v>
      </c>
      <c r="L15" t="s">
        <v>1335</v>
      </c>
      <c r="N15" t="s">
        <v>1319</v>
      </c>
      <c r="O15" t="s">
        <v>3382</v>
      </c>
      <c r="P15" t="s">
        <v>3383</v>
      </c>
    </row>
    <row r="16" spans="1:16" x14ac:dyDescent="0.25">
      <c r="A16" t="s">
        <v>2859</v>
      </c>
      <c r="B16" t="s">
        <v>1738</v>
      </c>
      <c r="C16" t="s">
        <v>3356</v>
      </c>
      <c r="D16" t="s">
        <v>3330</v>
      </c>
      <c r="H16" t="s">
        <v>3384</v>
      </c>
      <c r="I16" t="s">
        <v>1333</v>
      </c>
      <c r="J16" t="s">
        <v>1334</v>
      </c>
      <c r="L16" t="s">
        <v>1335</v>
      </c>
      <c r="N16" t="s">
        <v>1307</v>
      </c>
      <c r="O16" t="s">
        <v>3385</v>
      </c>
      <c r="P16" t="s">
        <v>3386</v>
      </c>
    </row>
    <row r="17" spans="1:16" x14ac:dyDescent="0.25">
      <c r="A17" t="s">
        <v>1477</v>
      </c>
      <c r="B17" t="s">
        <v>1738</v>
      </c>
      <c r="C17" t="s">
        <v>3333</v>
      </c>
      <c r="D17" t="s">
        <v>3330</v>
      </c>
      <c r="H17" t="s">
        <v>3387</v>
      </c>
      <c r="I17" t="s">
        <v>1366</v>
      </c>
      <c r="J17" t="s">
        <v>1367</v>
      </c>
      <c r="L17" t="s">
        <v>1335</v>
      </c>
      <c r="N17" t="s">
        <v>1319</v>
      </c>
      <c r="O17" t="s">
        <v>3388</v>
      </c>
      <c r="P17" t="s">
        <v>3389</v>
      </c>
    </row>
    <row r="18" spans="1:16" x14ac:dyDescent="0.25">
      <c r="A18" t="s">
        <v>1483</v>
      </c>
      <c r="B18" t="s">
        <v>1738</v>
      </c>
      <c r="C18" t="s">
        <v>3356</v>
      </c>
      <c r="D18" t="s">
        <v>3330</v>
      </c>
      <c r="H18" t="s">
        <v>3390</v>
      </c>
      <c r="I18" t="s">
        <v>1333</v>
      </c>
      <c r="J18" t="s">
        <v>1493</v>
      </c>
      <c r="L18" t="s">
        <v>1335</v>
      </c>
      <c r="N18" t="s">
        <v>1319</v>
      </c>
      <c r="O18" t="s">
        <v>3391</v>
      </c>
      <c r="P18" t="s">
        <v>3392</v>
      </c>
    </row>
    <row r="19" spans="1:16" x14ac:dyDescent="0.25">
      <c r="A19" t="s">
        <v>1494</v>
      </c>
      <c r="B19" t="s">
        <v>1738</v>
      </c>
      <c r="C19" t="s">
        <v>3343</v>
      </c>
      <c r="D19" t="s">
        <v>3344</v>
      </c>
      <c r="E19" t="s">
        <v>3393</v>
      </c>
      <c r="F19" t="s">
        <v>3344</v>
      </c>
      <c r="G19" t="s">
        <v>3346</v>
      </c>
      <c r="H19" t="s">
        <v>3394</v>
      </c>
      <c r="I19" t="s">
        <v>1394</v>
      </c>
      <c r="J19" t="s">
        <v>1496</v>
      </c>
      <c r="L19" t="s">
        <v>1396</v>
      </c>
      <c r="N19" t="s">
        <v>1319</v>
      </c>
      <c r="O19" t="s">
        <v>3395</v>
      </c>
      <c r="P19" t="s">
        <v>3396</v>
      </c>
    </row>
    <row r="20" spans="1:16" x14ac:dyDescent="0.25">
      <c r="A20" t="s">
        <v>2862</v>
      </c>
      <c r="B20" t="s">
        <v>1738</v>
      </c>
      <c r="C20" t="s">
        <v>3343</v>
      </c>
      <c r="D20" t="s">
        <v>3344</v>
      </c>
      <c r="E20" t="s">
        <v>3397</v>
      </c>
      <c r="F20" t="s">
        <v>3372</v>
      </c>
      <c r="G20" t="s">
        <v>3346</v>
      </c>
      <c r="H20" t="s">
        <v>3398</v>
      </c>
      <c r="I20" t="s">
        <v>1333</v>
      </c>
      <c r="J20" t="s">
        <v>1334</v>
      </c>
      <c r="L20" t="s">
        <v>1396</v>
      </c>
      <c r="N20" t="s">
        <v>1307</v>
      </c>
      <c r="O20" t="s">
        <v>3399</v>
      </c>
      <c r="P20" t="s">
        <v>3400</v>
      </c>
    </row>
    <row r="21" spans="1:16" x14ac:dyDescent="0.25">
      <c r="A21" t="s">
        <v>2867</v>
      </c>
      <c r="B21" t="s">
        <v>1738</v>
      </c>
      <c r="C21" t="s">
        <v>3350</v>
      </c>
      <c r="D21" t="s">
        <v>3344</v>
      </c>
      <c r="E21" t="s">
        <v>3401</v>
      </c>
      <c r="F21" t="s">
        <v>3344</v>
      </c>
      <c r="G21" t="s">
        <v>3361</v>
      </c>
      <c r="H21" t="s">
        <v>3368</v>
      </c>
      <c r="I21" t="s">
        <v>1516</v>
      </c>
      <c r="J21" t="s">
        <v>1660</v>
      </c>
      <c r="L21" t="s">
        <v>1396</v>
      </c>
      <c r="N21" t="s">
        <v>1307</v>
      </c>
      <c r="O21" t="s">
        <v>3402</v>
      </c>
      <c r="P21" t="s">
        <v>3403</v>
      </c>
    </row>
    <row r="22" spans="1:16" x14ac:dyDescent="0.25">
      <c r="A22" t="s">
        <v>1497</v>
      </c>
      <c r="B22" t="s">
        <v>1738</v>
      </c>
      <c r="C22" t="s">
        <v>3336</v>
      </c>
      <c r="D22" t="s">
        <v>3330</v>
      </c>
      <c r="H22" t="s">
        <v>3378</v>
      </c>
      <c r="I22" t="s">
        <v>1333</v>
      </c>
      <c r="J22" t="s">
        <v>1334</v>
      </c>
      <c r="L22" t="s">
        <v>1335</v>
      </c>
      <c r="N22" t="s">
        <v>1319</v>
      </c>
      <c r="O22" t="s">
        <v>3404</v>
      </c>
      <c r="P22" t="s">
        <v>3405</v>
      </c>
    </row>
    <row r="23" spans="1:16" x14ac:dyDescent="0.25">
      <c r="A23" t="s">
        <v>1500</v>
      </c>
      <c r="B23" t="s">
        <v>1738</v>
      </c>
      <c r="C23" t="s">
        <v>3356</v>
      </c>
      <c r="D23" t="s">
        <v>3330</v>
      </c>
      <c r="H23" t="s">
        <v>3406</v>
      </c>
      <c r="I23" t="s">
        <v>1333</v>
      </c>
      <c r="J23" t="s">
        <v>1334</v>
      </c>
      <c r="L23" t="s">
        <v>1396</v>
      </c>
      <c r="N23" t="s">
        <v>1319</v>
      </c>
      <c r="O23" t="s">
        <v>3407</v>
      </c>
      <c r="P23" t="s">
        <v>3353</v>
      </c>
    </row>
    <row r="24" spans="1:16" x14ac:dyDescent="0.25">
      <c r="A24" t="s">
        <v>1509</v>
      </c>
      <c r="B24" t="s">
        <v>1738</v>
      </c>
      <c r="C24" t="s">
        <v>3350</v>
      </c>
      <c r="D24" t="s">
        <v>3330</v>
      </c>
      <c r="H24" t="s">
        <v>3406</v>
      </c>
      <c r="I24" t="s">
        <v>1516</v>
      </c>
      <c r="J24" t="s">
        <v>1517</v>
      </c>
      <c r="L24" t="s">
        <v>1396</v>
      </c>
      <c r="N24" t="s">
        <v>1319</v>
      </c>
      <c r="O24" t="s">
        <v>3408</v>
      </c>
      <c r="P24" t="s">
        <v>3384</v>
      </c>
    </row>
    <row r="25" spans="1:16" x14ac:dyDescent="0.25">
      <c r="A25" t="s">
        <v>1518</v>
      </c>
      <c r="B25" t="s">
        <v>1738</v>
      </c>
      <c r="C25" t="s">
        <v>3343</v>
      </c>
      <c r="D25" t="s">
        <v>3344</v>
      </c>
      <c r="E25" t="s">
        <v>3409</v>
      </c>
      <c r="F25" t="s">
        <v>3344</v>
      </c>
      <c r="G25" t="s">
        <v>3346</v>
      </c>
      <c r="H25" t="s">
        <v>3410</v>
      </c>
      <c r="I25" t="s">
        <v>1524</v>
      </c>
      <c r="J25" t="s">
        <v>1525</v>
      </c>
      <c r="L25" t="s">
        <v>1396</v>
      </c>
      <c r="N25" t="s">
        <v>1319</v>
      </c>
      <c r="O25" t="s">
        <v>3411</v>
      </c>
      <c r="P25" t="s">
        <v>3410</v>
      </c>
    </row>
    <row r="26" spans="1:16" x14ac:dyDescent="0.25">
      <c r="A26" t="s">
        <v>1527</v>
      </c>
      <c r="B26" t="s">
        <v>1738</v>
      </c>
      <c r="C26" t="s">
        <v>3329</v>
      </c>
      <c r="D26" t="s">
        <v>3330</v>
      </c>
      <c r="H26" t="s">
        <v>3412</v>
      </c>
      <c r="I26" t="s">
        <v>1366</v>
      </c>
      <c r="J26" t="s">
        <v>1533</v>
      </c>
      <c r="L26" t="s">
        <v>1335</v>
      </c>
      <c r="N26" t="s">
        <v>1319</v>
      </c>
      <c r="O26" t="s">
        <v>3413</v>
      </c>
      <c r="P26" t="s">
        <v>3414</v>
      </c>
    </row>
    <row r="27" spans="1:16" x14ac:dyDescent="0.25">
      <c r="A27" t="s">
        <v>1534</v>
      </c>
      <c r="B27" t="s">
        <v>1738</v>
      </c>
      <c r="C27" t="s">
        <v>3329</v>
      </c>
      <c r="D27" t="s">
        <v>3330</v>
      </c>
      <c r="H27" t="s">
        <v>3337</v>
      </c>
      <c r="I27" t="s">
        <v>1366</v>
      </c>
      <c r="J27" t="s">
        <v>1533</v>
      </c>
      <c r="L27" t="s">
        <v>1335</v>
      </c>
      <c r="N27" t="s">
        <v>1319</v>
      </c>
      <c r="O27" t="s">
        <v>3415</v>
      </c>
      <c r="P27" t="s">
        <v>3416</v>
      </c>
    </row>
    <row r="28" spans="1:16" x14ac:dyDescent="0.25">
      <c r="A28" t="s">
        <v>1541</v>
      </c>
      <c r="B28" t="s">
        <v>1738</v>
      </c>
      <c r="C28" t="s">
        <v>3329</v>
      </c>
      <c r="D28" t="s">
        <v>3330</v>
      </c>
      <c r="H28" t="s">
        <v>3365</v>
      </c>
      <c r="I28" t="s">
        <v>1366</v>
      </c>
      <c r="J28" t="s">
        <v>1533</v>
      </c>
      <c r="L28" t="s">
        <v>1335</v>
      </c>
      <c r="N28" t="s">
        <v>1319</v>
      </c>
      <c r="O28" t="s">
        <v>3417</v>
      </c>
      <c r="P28" t="s">
        <v>3418</v>
      </c>
    </row>
    <row r="29" spans="1:16" x14ac:dyDescent="0.25">
      <c r="A29" t="s">
        <v>2874</v>
      </c>
      <c r="B29" t="s">
        <v>1738</v>
      </c>
      <c r="C29" t="s">
        <v>3329</v>
      </c>
      <c r="D29" t="s">
        <v>3330</v>
      </c>
      <c r="H29" t="s">
        <v>3419</v>
      </c>
      <c r="I29" t="s">
        <v>1366</v>
      </c>
      <c r="J29" t="s">
        <v>1533</v>
      </c>
      <c r="L29" t="s">
        <v>1335</v>
      </c>
      <c r="N29" t="s">
        <v>1307</v>
      </c>
      <c r="O29" t="s">
        <v>3420</v>
      </c>
      <c r="P29" t="s">
        <v>3331</v>
      </c>
    </row>
    <row r="30" spans="1:16" x14ac:dyDescent="0.25">
      <c r="A30" t="s">
        <v>2882</v>
      </c>
      <c r="B30" t="s">
        <v>1738</v>
      </c>
      <c r="C30" t="s">
        <v>3350</v>
      </c>
      <c r="D30" t="s">
        <v>3330</v>
      </c>
      <c r="H30" t="s">
        <v>3378</v>
      </c>
      <c r="I30" t="s">
        <v>1516</v>
      </c>
      <c r="J30" t="s">
        <v>1660</v>
      </c>
      <c r="L30" t="s">
        <v>1335</v>
      </c>
      <c r="N30" t="s">
        <v>1307</v>
      </c>
      <c r="O30" t="s">
        <v>3421</v>
      </c>
      <c r="P30" t="s">
        <v>3422</v>
      </c>
    </row>
    <row r="31" spans="1:16" x14ac:dyDescent="0.25">
      <c r="A31" t="s">
        <v>1546</v>
      </c>
      <c r="B31" t="s">
        <v>1738</v>
      </c>
      <c r="C31" t="s">
        <v>3336</v>
      </c>
      <c r="D31" t="s">
        <v>3330</v>
      </c>
      <c r="H31" t="s">
        <v>3423</v>
      </c>
      <c r="I31" t="s">
        <v>1333</v>
      </c>
      <c r="J31" t="s">
        <v>1334</v>
      </c>
      <c r="L31" t="s">
        <v>1335</v>
      </c>
      <c r="N31" t="s">
        <v>1319</v>
      </c>
      <c r="O31" t="s">
        <v>3424</v>
      </c>
      <c r="P31" t="s">
        <v>3394</v>
      </c>
    </row>
    <row r="32" spans="1:16" x14ac:dyDescent="0.25">
      <c r="A32" t="s">
        <v>2887</v>
      </c>
      <c r="B32" t="s">
        <v>1738</v>
      </c>
      <c r="C32" t="s">
        <v>3343</v>
      </c>
      <c r="D32" t="s">
        <v>3330</v>
      </c>
      <c r="H32" t="s">
        <v>3425</v>
      </c>
      <c r="I32" t="s">
        <v>1524</v>
      </c>
      <c r="J32" t="s">
        <v>1525</v>
      </c>
      <c r="L32" t="s">
        <v>1335</v>
      </c>
      <c r="N32" t="s">
        <v>1307</v>
      </c>
      <c r="O32" t="s">
        <v>3426</v>
      </c>
      <c r="P32" t="s">
        <v>3398</v>
      </c>
    </row>
    <row r="33" spans="1:16" x14ac:dyDescent="0.25">
      <c r="A33" t="s">
        <v>1551</v>
      </c>
      <c r="B33" t="s">
        <v>1738</v>
      </c>
      <c r="C33" t="s">
        <v>3343</v>
      </c>
      <c r="D33" t="s">
        <v>3344</v>
      </c>
      <c r="E33" t="s">
        <v>3427</v>
      </c>
      <c r="F33" t="s">
        <v>3344</v>
      </c>
      <c r="G33" t="s">
        <v>3346</v>
      </c>
      <c r="H33" t="s">
        <v>3416</v>
      </c>
      <c r="I33" t="s">
        <v>1394</v>
      </c>
      <c r="J33" t="s">
        <v>1496</v>
      </c>
      <c r="L33" t="s">
        <v>1396</v>
      </c>
      <c r="N33" t="s">
        <v>1319</v>
      </c>
      <c r="O33" t="s">
        <v>3428</v>
      </c>
      <c r="P33" t="s">
        <v>3378</v>
      </c>
    </row>
    <row r="34" spans="1:16" x14ac:dyDescent="0.25">
      <c r="A34" t="s">
        <v>1556</v>
      </c>
      <c r="B34" t="s">
        <v>1738</v>
      </c>
      <c r="C34" t="s">
        <v>3350</v>
      </c>
      <c r="D34" t="s">
        <v>3344</v>
      </c>
      <c r="E34" t="s">
        <v>3429</v>
      </c>
      <c r="F34" t="s">
        <v>3372</v>
      </c>
      <c r="G34" t="s">
        <v>3361</v>
      </c>
      <c r="H34" t="s">
        <v>3410</v>
      </c>
      <c r="I34" t="s">
        <v>1333</v>
      </c>
      <c r="J34" t="s">
        <v>1334</v>
      </c>
      <c r="L34" t="s">
        <v>1335</v>
      </c>
      <c r="N34" t="s">
        <v>1319</v>
      </c>
      <c r="O34" t="s">
        <v>3430</v>
      </c>
      <c r="P34" t="s">
        <v>3357</v>
      </c>
    </row>
    <row r="35" spans="1:16" x14ac:dyDescent="0.25">
      <c r="A35" t="s">
        <v>1562</v>
      </c>
      <c r="B35" t="s">
        <v>1658</v>
      </c>
      <c r="C35" t="s">
        <v>3329</v>
      </c>
      <c r="D35" t="s">
        <v>3344</v>
      </c>
      <c r="E35" t="s">
        <v>3431</v>
      </c>
      <c r="F35" t="s">
        <v>3344</v>
      </c>
      <c r="G35" t="s">
        <v>3346</v>
      </c>
      <c r="H35" t="s">
        <v>3422</v>
      </c>
      <c r="I35" t="s">
        <v>1567</v>
      </c>
      <c r="J35" t="s">
        <v>1568</v>
      </c>
      <c r="L35" t="s">
        <v>1396</v>
      </c>
      <c r="N35" t="s">
        <v>1319</v>
      </c>
      <c r="O35" t="s">
        <v>3432</v>
      </c>
      <c r="P35" t="s">
        <v>3347</v>
      </c>
    </row>
    <row r="36" spans="1:16" x14ac:dyDescent="0.25">
      <c r="A36" t="s">
        <v>2890</v>
      </c>
      <c r="B36" t="s">
        <v>1658</v>
      </c>
      <c r="C36" t="s">
        <v>3329</v>
      </c>
      <c r="D36" t="s">
        <v>3344</v>
      </c>
      <c r="E36" t="s">
        <v>3433</v>
      </c>
      <c r="F36" t="s">
        <v>3344</v>
      </c>
      <c r="G36" t="s">
        <v>3346</v>
      </c>
      <c r="H36" t="s">
        <v>3434</v>
      </c>
      <c r="I36" t="s">
        <v>1394</v>
      </c>
      <c r="J36" t="s">
        <v>1496</v>
      </c>
      <c r="L36" t="s">
        <v>1396</v>
      </c>
      <c r="N36" t="s">
        <v>1307</v>
      </c>
      <c r="O36" t="s">
        <v>3435</v>
      </c>
      <c r="P36" t="s">
        <v>3390</v>
      </c>
    </row>
    <row r="37" spans="1:16" x14ac:dyDescent="0.25">
      <c r="A37" t="s">
        <v>1569</v>
      </c>
      <c r="B37" t="s">
        <v>1658</v>
      </c>
      <c r="C37" t="s">
        <v>3336</v>
      </c>
      <c r="D37" t="s">
        <v>3330</v>
      </c>
      <c r="H37" t="s">
        <v>3410</v>
      </c>
      <c r="I37" t="s">
        <v>1333</v>
      </c>
      <c r="J37" t="s">
        <v>1334</v>
      </c>
      <c r="L37" t="s">
        <v>1396</v>
      </c>
      <c r="N37" t="s">
        <v>1319</v>
      </c>
      <c r="O37" t="s">
        <v>3436</v>
      </c>
      <c r="P37" t="s">
        <v>3437</v>
      </c>
    </row>
    <row r="38" spans="1:16" x14ac:dyDescent="0.25">
      <c r="A38" t="s">
        <v>1572</v>
      </c>
      <c r="B38" t="s">
        <v>1658</v>
      </c>
      <c r="C38" t="s">
        <v>3333</v>
      </c>
      <c r="D38" t="s">
        <v>3344</v>
      </c>
      <c r="E38" t="s">
        <v>3438</v>
      </c>
      <c r="F38" t="s">
        <v>3344</v>
      </c>
      <c r="G38" t="s">
        <v>3346</v>
      </c>
      <c r="H38" t="s">
        <v>3398</v>
      </c>
      <c r="I38" t="s">
        <v>1394</v>
      </c>
      <c r="J38" t="s">
        <v>1496</v>
      </c>
      <c r="L38" t="s">
        <v>1575</v>
      </c>
      <c r="N38" t="s">
        <v>1319</v>
      </c>
      <c r="O38" t="s">
        <v>3439</v>
      </c>
      <c r="P38" t="s">
        <v>3337</v>
      </c>
    </row>
    <row r="39" spans="1:16" x14ac:dyDescent="0.25">
      <c r="A39" t="s">
        <v>1576</v>
      </c>
      <c r="B39" t="s">
        <v>1658</v>
      </c>
      <c r="C39" t="s">
        <v>3356</v>
      </c>
      <c r="D39" t="s">
        <v>3330</v>
      </c>
      <c r="H39" t="s">
        <v>3418</v>
      </c>
      <c r="I39" t="s">
        <v>1333</v>
      </c>
      <c r="J39" t="s">
        <v>1334</v>
      </c>
      <c r="L39" t="s">
        <v>1396</v>
      </c>
      <c r="N39" t="s">
        <v>1319</v>
      </c>
      <c r="O39" t="s">
        <v>3440</v>
      </c>
      <c r="P39" t="s">
        <v>3334</v>
      </c>
    </row>
    <row r="40" spans="1:16" x14ac:dyDescent="0.25">
      <c r="A40" t="s">
        <v>1582</v>
      </c>
      <c r="B40" t="s">
        <v>1658</v>
      </c>
      <c r="C40" t="s">
        <v>3329</v>
      </c>
      <c r="D40" t="s">
        <v>3344</v>
      </c>
      <c r="E40" t="s">
        <v>3441</v>
      </c>
      <c r="F40" t="s">
        <v>3344</v>
      </c>
      <c r="G40" t="s">
        <v>3346</v>
      </c>
      <c r="H40" t="s">
        <v>3442</v>
      </c>
      <c r="I40" t="s">
        <v>1524</v>
      </c>
      <c r="J40" t="s">
        <v>1525</v>
      </c>
      <c r="L40" t="s">
        <v>1396</v>
      </c>
      <c r="N40" t="s">
        <v>1319</v>
      </c>
      <c r="O40" t="s">
        <v>3443</v>
      </c>
      <c r="P40" t="s">
        <v>3362</v>
      </c>
    </row>
    <row r="41" spans="1:16" x14ac:dyDescent="0.25">
      <c r="A41" t="s">
        <v>1588</v>
      </c>
      <c r="B41" t="s">
        <v>1658</v>
      </c>
      <c r="C41" t="s">
        <v>3329</v>
      </c>
      <c r="D41" t="s">
        <v>3344</v>
      </c>
      <c r="E41" t="s">
        <v>3444</v>
      </c>
      <c r="F41" t="s">
        <v>3344</v>
      </c>
      <c r="G41" t="s">
        <v>3346</v>
      </c>
      <c r="H41" t="s">
        <v>3347</v>
      </c>
      <c r="I41" t="s">
        <v>1593</v>
      </c>
      <c r="J41" t="s">
        <v>1594</v>
      </c>
      <c r="L41" t="s">
        <v>1575</v>
      </c>
      <c r="N41" t="s">
        <v>1319</v>
      </c>
      <c r="O41" t="s">
        <v>3445</v>
      </c>
      <c r="P41" t="s">
        <v>3446</v>
      </c>
    </row>
    <row r="42" spans="1:16" x14ac:dyDescent="0.25">
      <c r="A42" t="s">
        <v>1595</v>
      </c>
      <c r="B42" t="s">
        <v>1658</v>
      </c>
      <c r="C42" t="s">
        <v>3333</v>
      </c>
      <c r="D42" t="s">
        <v>3344</v>
      </c>
      <c r="E42" t="s">
        <v>3447</v>
      </c>
      <c r="F42" t="s">
        <v>3344</v>
      </c>
      <c r="G42" t="s">
        <v>3346</v>
      </c>
      <c r="H42" t="s">
        <v>3448</v>
      </c>
      <c r="I42" t="s">
        <v>1394</v>
      </c>
      <c r="J42" t="s">
        <v>1496</v>
      </c>
      <c r="L42" t="s">
        <v>1396</v>
      </c>
      <c r="N42" t="s">
        <v>1319</v>
      </c>
      <c r="O42" t="s">
        <v>3449</v>
      </c>
      <c r="P42" t="s">
        <v>3419</v>
      </c>
    </row>
    <row r="43" spans="1:16" x14ac:dyDescent="0.25">
      <c r="A43" t="s">
        <v>1602</v>
      </c>
      <c r="B43" t="s">
        <v>1658</v>
      </c>
      <c r="C43" t="s">
        <v>3356</v>
      </c>
      <c r="D43" t="s">
        <v>3330</v>
      </c>
      <c r="H43" t="s">
        <v>3450</v>
      </c>
      <c r="I43" t="s">
        <v>1333</v>
      </c>
      <c r="J43" t="s">
        <v>1608</v>
      </c>
      <c r="L43" t="s">
        <v>1335</v>
      </c>
      <c r="N43" t="s">
        <v>1319</v>
      </c>
      <c r="O43" t="s">
        <v>3451</v>
      </c>
      <c r="P43" t="s">
        <v>3452</v>
      </c>
    </row>
    <row r="44" spans="1:16" x14ac:dyDescent="0.25">
      <c r="A44" t="s">
        <v>1609</v>
      </c>
      <c r="B44" t="s">
        <v>1658</v>
      </c>
      <c r="C44" t="s">
        <v>3336</v>
      </c>
      <c r="D44" t="s">
        <v>3330</v>
      </c>
      <c r="H44" t="s">
        <v>3419</v>
      </c>
      <c r="I44" t="s">
        <v>1333</v>
      </c>
      <c r="J44" t="s">
        <v>1334</v>
      </c>
      <c r="L44" t="s">
        <v>1335</v>
      </c>
      <c r="N44" t="s">
        <v>1319</v>
      </c>
      <c r="O44" t="s">
        <v>3453</v>
      </c>
      <c r="P44" t="s">
        <v>3450</v>
      </c>
    </row>
    <row r="45" spans="1:16" x14ac:dyDescent="0.25">
      <c r="A45" t="s">
        <v>2894</v>
      </c>
      <c r="B45" t="s">
        <v>1658</v>
      </c>
      <c r="C45" t="s">
        <v>3329</v>
      </c>
      <c r="D45" t="s">
        <v>3344</v>
      </c>
      <c r="E45" t="s">
        <v>3454</v>
      </c>
      <c r="F45" t="s">
        <v>3344</v>
      </c>
      <c r="G45" t="s">
        <v>3346</v>
      </c>
      <c r="H45" t="s">
        <v>3392</v>
      </c>
      <c r="I45" t="s">
        <v>2158</v>
      </c>
      <c r="J45" t="s">
        <v>2900</v>
      </c>
      <c r="L45" t="s">
        <v>1575</v>
      </c>
      <c r="N45" t="s">
        <v>1307</v>
      </c>
      <c r="O45" t="s">
        <v>3455</v>
      </c>
      <c r="P45" t="s">
        <v>3368</v>
      </c>
    </row>
    <row r="46" spans="1:16" x14ac:dyDescent="0.25">
      <c r="A46" t="s">
        <v>1612</v>
      </c>
      <c r="B46" t="s">
        <v>1658</v>
      </c>
      <c r="C46" t="s">
        <v>3333</v>
      </c>
      <c r="D46" t="s">
        <v>3344</v>
      </c>
      <c r="E46" t="s">
        <v>3456</v>
      </c>
      <c r="F46" t="s">
        <v>3344</v>
      </c>
      <c r="G46" t="s">
        <v>3346</v>
      </c>
      <c r="H46" t="s">
        <v>3406</v>
      </c>
      <c r="I46" t="s">
        <v>1567</v>
      </c>
      <c r="J46" t="s">
        <v>1568</v>
      </c>
      <c r="L46" t="s">
        <v>1575</v>
      </c>
      <c r="N46" t="s">
        <v>1319</v>
      </c>
      <c r="O46" t="s">
        <v>3457</v>
      </c>
      <c r="P46" t="s">
        <v>3458</v>
      </c>
    </row>
    <row r="47" spans="1:16" x14ac:dyDescent="0.25">
      <c r="A47" t="s">
        <v>1622</v>
      </c>
      <c r="B47" t="s">
        <v>1658</v>
      </c>
      <c r="C47" t="s">
        <v>3329</v>
      </c>
      <c r="D47" t="s">
        <v>3344</v>
      </c>
      <c r="E47" t="s">
        <v>3459</v>
      </c>
      <c r="F47" t="s">
        <v>3372</v>
      </c>
      <c r="G47" t="s">
        <v>3346</v>
      </c>
      <c r="H47" t="s">
        <v>3390</v>
      </c>
      <c r="I47" t="s">
        <v>1394</v>
      </c>
      <c r="J47" t="s">
        <v>1496</v>
      </c>
      <c r="L47" t="s">
        <v>1396</v>
      </c>
      <c r="N47" t="s">
        <v>1319</v>
      </c>
      <c r="O47" t="s">
        <v>3460</v>
      </c>
      <c r="P47" t="s">
        <v>3461</v>
      </c>
    </row>
    <row r="48" spans="1:16" x14ac:dyDescent="0.25">
      <c r="A48" t="s">
        <v>1627</v>
      </c>
      <c r="B48" t="s">
        <v>1658</v>
      </c>
      <c r="C48" t="s">
        <v>3343</v>
      </c>
      <c r="D48" t="s">
        <v>3330</v>
      </c>
      <c r="H48" t="s">
        <v>3347</v>
      </c>
      <c r="I48" t="s">
        <v>1593</v>
      </c>
      <c r="J48" t="s">
        <v>1631</v>
      </c>
      <c r="L48" t="s">
        <v>1335</v>
      </c>
      <c r="N48" t="s">
        <v>1319</v>
      </c>
      <c r="O48" t="s">
        <v>3462</v>
      </c>
      <c r="P48" t="s">
        <v>3463</v>
      </c>
    </row>
    <row r="49" spans="1:16" x14ac:dyDescent="0.25">
      <c r="A49" t="s">
        <v>2901</v>
      </c>
      <c r="B49" t="s">
        <v>1658</v>
      </c>
      <c r="C49" t="s">
        <v>3343</v>
      </c>
      <c r="D49" t="s">
        <v>3330</v>
      </c>
      <c r="H49" t="s">
        <v>3392</v>
      </c>
      <c r="I49" t="s">
        <v>1593</v>
      </c>
      <c r="J49" t="s">
        <v>1631</v>
      </c>
      <c r="L49" t="s">
        <v>1335</v>
      </c>
      <c r="N49" t="s">
        <v>1307</v>
      </c>
      <c r="O49" t="s">
        <v>3464</v>
      </c>
      <c r="P49" t="s">
        <v>3465</v>
      </c>
    </row>
    <row r="50" spans="1:16" x14ac:dyDescent="0.25">
      <c r="A50" t="s">
        <v>1632</v>
      </c>
      <c r="B50" t="s">
        <v>1658</v>
      </c>
      <c r="C50" t="s">
        <v>3343</v>
      </c>
      <c r="D50" t="s">
        <v>3330</v>
      </c>
      <c r="H50" t="s">
        <v>3466</v>
      </c>
      <c r="I50" t="s">
        <v>1593</v>
      </c>
      <c r="J50" t="s">
        <v>1631</v>
      </c>
      <c r="L50" t="s">
        <v>1335</v>
      </c>
      <c r="N50" t="s">
        <v>1319</v>
      </c>
      <c r="O50" t="s">
        <v>3467</v>
      </c>
      <c r="P50" t="s">
        <v>3365</v>
      </c>
    </row>
    <row r="51" spans="1:16" x14ac:dyDescent="0.25">
      <c r="A51" t="s">
        <v>1636</v>
      </c>
      <c r="B51" t="s">
        <v>1658</v>
      </c>
      <c r="C51" t="s">
        <v>3343</v>
      </c>
      <c r="D51" t="s">
        <v>3330</v>
      </c>
      <c r="H51" t="s">
        <v>3365</v>
      </c>
      <c r="I51" t="s">
        <v>1593</v>
      </c>
      <c r="J51" t="s">
        <v>1640</v>
      </c>
      <c r="L51" t="s">
        <v>1335</v>
      </c>
      <c r="N51" t="s">
        <v>1319</v>
      </c>
      <c r="O51" t="s">
        <v>3468</v>
      </c>
      <c r="P51" t="s">
        <v>3469</v>
      </c>
    </row>
    <row r="52" spans="1:16" x14ac:dyDescent="0.25">
      <c r="A52" t="s">
        <v>2903</v>
      </c>
      <c r="B52" t="s">
        <v>1658</v>
      </c>
      <c r="C52" t="s">
        <v>3329</v>
      </c>
      <c r="D52" t="s">
        <v>3344</v>
      </c>
      <c r="E52" t="s">
        <v>3470</v>
      </c>
      <c r="F52" t="s">
        <v>3471</v>
      </c>
      <c r="G52" t="s">
        <v>3346</v>
      </c>
      <c r="H52" t="s">
        <v>3452</v>
      </c>
      <c r="I52" t="s">
        <v>1516</v>
      </c>
      <c r="J52" t="s">
        <v>2906</v>
      </c>
      <c r="L52" t="s">
        <v>1396</v>
      </c>
      <c r="N52" t="s">
        <v>1307</v>
      </c>
      <c r="O52" t="s">
        <v>3472</v>
      </c>
      <c r="P52" t="s">
        <v>3423</v>
      </c>
    </row>
    <row r="53" spans="1:16" x14ac:dyDescent="0.25">
      <c r="A53" t="s">
        <v>2907</v>
      </c>
      <c r="B53" t="s">
        <v>1658</v>
      </c>
      <c r="C53" t="s">
        <v>3329</v>
      </c>
      <c r="D53" t="s">
        <v>3344</v>
      </c>
      <c r="E53" t="s">
        <v>3473</v>
      </c>
      <c r="F53" t="s">
        <v>3372</v>
      </c>
      <c r="G53" t="s">
        <v>3346</v>
      </c>
      <c r="H53" t="s">
        <v>3398</v>
      </c>
      <c r="I53" t="s">
        <v>1524</v>
      </c>
      <c r="J53" t="s">
        <v>1525</v>
      </c>
      <c r="L53" t="s">
        <v>1335</v>
      </c>
      <c r="N53" t="s">
        <v>1307</v>
      </c>
      <c r="O53" t="s">
        <v>3474</v>
      </c>
      <c r="P53" t="s">
        <v>3475</v>
      </c>
    </row>
    <row r="54" spans="1:16" x14ac:dyDescent="0.25">
      <c r="A54" t="s">
        <v>2913</v>
      </c>
      <c r="B54" t="s">
        <v>1658</v>
      </c>
      <c r="C54" t="s">
        <v>3333</v>
      </c>
      <c r="D54" t="s">
        <v>3344</v>
      </c>
      <c r="E54" t="s">
        <v>3476</v>
      </c>
      <c r="F54" t="s">
        <v>3344</v>
      </c>
      <c r="G54" t="s">
        <v>3346</v>
      </c>
      <c r="H54" t="s">
        <v>3466</v>
      </c>
      <c r="I54" t="s">
        <v>1516</v>
      </c>
      <c r="J54" t="s">
        <v>2916</v>
      </c>
      <c r="L54" t="s">
        <v>1396</v>
      </c>
      <c r="N54" t="s">
        <v>1307</v>
      </c>
      <c r="O54" t="s">
        <v>3477</v>
      </c>
      <c r="P54" t="s">
        <v>3478</v>
      </c>
    </row>
    <row r="55" spans="1:16" x14ac:dyDescent="0.25">
      <c r="A55" t="s">
        <v>1641</v>
      </c>
      <c r="B55" t="s">
        <v>1658</v>
      </c>
      <c r="C55" t="s">
        <v>3329</v>
      </c>
      <c r="D55" t="s">
        <v>3330</v>
      </c>
      <c r="H55" t="s">
        <v>3419</v>
      </c>
      <c r="I55" t="s">
        <v>1333</v>
      </c>
      <c r="J55" t="s">
        <v>1644</v>
      </c>
      <c r="L55" t="s">
        <v>1335</v>
      </c>
      <c r="N55" t="s">
        <v>1319</v>
      </c>
      <c r="O55" t="s">
        <v>3479</v>
      </c>
      <c r="P55" t="s">
        <v>3480</v>
      </c>
    </row>
    <row r="56" spans="1:16" x14ac:dyDescent="0.25">
      <c r="A56" t="s">
        <v>2917</v>
      </c>
      <c r="B56" t="s">
        <v>1658</v>
      </c>
      <c r="C56" t="s">
        <v>3350</v>
      </c>
      <c r="D56" t="s">
        <v>3330</v>
      </c>
      <c r="H56" t="s">
        <v>3387</v>
      </c>
      <c r="I56" t="s">
        <v>1593</v>
      </c>
      <c r="J56" t="s">
        <v>1651</v>
      </c>
      <c r="L56" t="s">
        <v>1335</v>
      </c>
      <c r="N56" t="s">
        <v>1307</v>
      </c>
      <c r="O56" t="s">
        <v>3481</v>
      </c>
      <c r="P56" t="s">
        <v>3381</v>
      </c>
    </row>
    <row r="57" spans="1:16" x14ac:dyDescent="0.25">
      <c r="A57" t="s">
        <v>1645</v>
      </c>
      <c r="B57" t="s">
        <v>1658</v>
      </c>
      <c r="C57" t="s">
        <v>3350</v>
      </c>
      <c r="D57" t="s">
        <v>3330</v>
      </c>
      <c r="H57" t="s">
        <v>3466</v>
      </c>
      <c r="I57" t="s">
        <v>1593</v>
      </c>
      <c r="J57" t="s">
        <v>1651</v>
      </c>
      <c r="L57" t="s">
        <v>1335</v>
      </c>
      <c r="N57" t="s">
        <v>1319</v>
      </c>
      <c r="O57" t="s">
        <v>3482</v>
      </c>
      <c r="P57" t="s">
        <v>3448</v>
      </c>
    </row>
    <row r="58" spans="1:16" x14ac:dyDescent="0.25">
      <c r="A58" t="s">
        <v>2919</v>
      </c>
      <c r="B58" t="s">
        <v>1658</v>
      </c>
      <c r="C58" t="s">
        <v>3350</v>
      </c>
      <c r="D58" t="s">
        <v>3330</v>
      </c>
      <c r="H58" t="s">
        <v>3347</v>
      </c>
      <c r="I58" t="s">
        <v>1593</v>
      </c>
      <c r="J58" t="s">
        <v>1651</v>
      </c>
      <c r="L58" t="s">
        <v>1335</v>
      </c>
      <c r="N58" t="s">
        <v>1307</v>
      </c>
      <c r="O58" t="s">
        <v>3483</v>
      </c>
      <c r="P58" t="s">
        <v>3425</v>
      </c>
    </row>
    <row r="59" spans="1:16" x14ac:dyDescent="0.25">
      <c r="A59" t="s">
        <v>1652</v>
      </c>
      <c r="B59" t="s">
        <v>1658</v>
      </c>
      <c r="C59" t="s">
        <v>3350</v>
      </c>
      <c r="D59" t="s">
        <v>3330</v>
      </c>
      <c r="H59" t="s">
        <v>3463</v>
      </c>
      <c r="I59" t="s">
        <v>1593</v>
      </c>
      <c r="J59" t="s">
        <v>1655</v>
      </c>
      <c r="L59" t="s">
        <v>1335</v>
      </c>
      <c r="N59" t="s">
        <v>1319</v>
      </c>
      <c r="O59" t="s">
        <v>3484</v>
      </c>
      <c r="P59" t="s">
        <v>3466</v>
      </c>
    </row>
    <row r="60" spans="1:16" x14ac:dyDescent="0.25">
      <c r="A60" t="s">
        <v>2921</v>
      </c>
      <c r="B60" t="s">
        <v>1658</v>
      </c>
      <c r="C60" t="s">
        <v>3336</v>
      </c>
      <c r="D60" t="s">
        <v>3330</v>
      </c>
      <c r="H60" t="s">
        <v>3437</v>
      </c>
      <c r="I60" t="s">
        <v>2923</v>
      </c>
      <c r="J60" t="s">
        <v>2924</v>
      </c>
      <c r="L60" t="s">
        <v>1335</v>
      </c>
      <c r="N60" t="s">
        <v>1307</v>
      </c>
      <c r="O60" t="s">
        <v>3485</v>
      </c>
      <c r="P60" t="s">
        <v>3434</v>
      </c>
    </row>
    <row r="61" spans="1:16" x14ac:dyDescent="0.25">
      <c r="A61" t="s">
        <v>1656</v>
      </c>
      <c r="B61" t="s">
        <v>1658</v>
      </c>
      <c r="C61" t="s">
        <v>3333</v>
      </c>
      <c r="D61" t="s">
        <v>3344</v>
      </c>
      <c r="E61" t="s">
        <v>3486</v>
      </c>
      <c r="F61" t="s">
        <v>3344</v>
      </c>
      <c r="G61" t="s">
        <v>3346</v>
      </c>
      <c r="H61" t="s">
        <v>3469</v>
      </c>
      <c r="I61" t="s">
        <v>1516</v>
      </c>
      <c r="J61" t="s">
        <v>1660</v>
      </c>
      <c r="L61" t="s">
        <v>1396</v>
      </c>
      <c r="N61" t="s">
        <v>1319</v>
      </c>
      <c r="O61" t="s">
        <v>3487</v>
      </c>
      <c r="P61" t="s">
        <v>3488</v>
      </c>
    </row>
    <row r="62" spans="1:16" x14ac:dyDescent="0.25">
      <c r="A62" t="s">
        <v>2925</v>
      </c>
      <c r="B62" t="s">
        <v>1658</v>
      </c>
      <c r="C62" t="s">
        <v>3356</v>
      </c>
      <c r="D62" t="s">
        <v>3344</v>
      </c>
      <c r="E62" t="s">
        <v>3489</v>
      </c>
      <c r="F62" t="s">
        <v>3344</v>
      </c>
      <c r="G62" t="s">
        <v>3352</v>
      </c>
      <c r="H62" t="s">
        <v>3461</v>
      </c>
      <c r="I62" t="s">
        <v>1516</v>
      </c>
      <c r="J62" t="s">
        <v>1845</v>
      </c>
      <c r="L62" t="s">
        <v>1335</v>
      </c>
      <c r="N62" t="s">
        <v>1307</v>
      </c>
      <c r="O62" t="s">
        <v>3490</v>
      </c>
      <c r="P62" t="s">
        <v>3491</v>
      </c>
    </row>
    <row r="63" spans="1:16" x14ac:dyDescent="0.25">
      <c r="A63" t="s">
        <v>1661</v>
      </c>
      <c r="B63" t="s">
        <v>1658</v>
      </c>
      <c r="C63" t="s">
        <v>3329</v>
      </c>
      <c r="D63" t="s">
        <v>3344</v>
      </c>
      <c r="E63" t="s">
        <v>3492</v>
      </c>
      <c r="F63" t="s">
        <v>3344</v>
      </c>
      <c r="G63" t="s">
        <v>3346</v>
      </c>
      <c r="H63" t="s">
        <v>3337</v>
      </c>
      <c r="I63" t="s">
        <v>1516</v>
      </c>
      <c r="J63" t="s">
        <v>1668</v>
      </c>
      <c r="L63" t="s">
        <v>1335</v>
      </c>
      <c r="N63" t="s">
        <v>1319</v>
      </c>
      <c r="O63" t="s">
        <v>3493</v>
      </c>
      <c r="P63" t="s">
        <v>3494</v>
      </c>
    </row>
    <row r="64" spans="1:16" x14ac:dyDescent="0.25">
      <c r="A64" t="s">
        <v>1669</v>
      </c>
      <c r="B64" t="s">
        <v>1658</v>
      </c>
      <c r="C64" t="s">
        <v>3336</v>
      </c>
      <c r="D64" t="s">
        <v>3330</v>
      </c>
      <c r="H64" t="s">
        <v>3466</v>
      </c>
      <c r="I64" t="s">
        <v>1333</v>
      </c>
      <c r="J64" t="s">
        <v>1334</v>
      </c>
      <c r="L64" t="s">
        <v>1335</v>
      </c>
      <c r="N64" t="s">
        <v>1319</v>
      </c>
      <c r="O64" t="s">
        <v>3495</v>
      </c>
      <c r="P64" t="s">
        <v>3496</v>
      </c>
    </row>
    <row r="65" spans="1:16" x14ac:dyDescent="0.25">
      <c r="A65" t="s">
        <v>1674</v>
      </c>
      <c r="B65" t="s">
        <v>1658</v>
      </c>
      <c r="C65" t="s">
        <v>3333</v>
      </c>
      <c r="D65" t="s">
        <v>3344</v>
      </c>
      <c r="E65" t="s">
        <v>3497</v>
      </c>
      <c r="F65" t="s">
        <v>3344</v>
      </c>
      <c r="G65" t="s">
        <v>3346</v>
      </c>
      <c r="H65" t="s">
        <v>3362</v>
      </c>
      <c r="I65" t="s">
        <v>1516</v>
      </c>
      <c r="J65" t="s">
        <v>1668</v>
      </c>
      <c r="L65" t="s">
        <v>1575</v>
      </c>
      <c r="N65" t="s">
        <v>1319</v>
      </c>
      <c r="O65" t="s">
        <v>3498</v>
      </c>
      <c r="P65" t="s">
        <v>3340</v>
      </c>
    </row>
    <row r="66" spans="1:16" x14ac:dyDescent="0.25">
      <c r="A66" t="s">
        <v>1678</v>
      </c>
      <c r="B66" t="s">
        <v>1658</v>
      </c>
      <c r="C66" t="s">
        <v>3329</v>
      </c>
      <c r="D66" t="s">
        <v>3344</v>
      </c>
      <c r="E66" t="s">
        <v>3499</v>
      </c>
      <c r="F66" t="s">
        <v>3372</v>
      </c>
      <c r="G66" t="s">
        <v>3346</v>
      </c>
      <c r="H66" t="s">
        <v>3347</v>
      </c>
      <c r="I66" t="s">
        <v>1516</v>
      </c>
      <c r="J66" t="s">
        <v>1681</v>
      </c>
      <c r="L66" t="s">
        <v>1575</v>
      </c>
      <c r="N66" t="s">
        <v>1319</v>
      </c>
      <c r="O66" t="s">
        <v>3500</v>
      </c>
      <c r="P66" t="s">
        <v>3501</v>
      </c>
    </row>
    <row r="67" spans="1:16" x14ac:dyDescent="0.25">
      <c r="A67" t="s">
        <v>2932</v>
      </c>
      <c r="B67" t="s">
        <v>1991</v>
      </c>
      <c r="C67" t="s">
        <v>3333</v>
      </c>
      <c r="D67" t="s">
        <v>3344</v>
      </c>
      <c r="E67" t="s">
        <v>3504</v>
      </c>
      <c r="F67" t="s">
        <v>3372</v>
      </c>
      <c r="G67" t="s">
        <v>3346</v>
      </c>
      <c r="H67" t="s">
        <v>3448</v>
      </c>
      <c r="I67" t="s">
        <v>1516</v>
      </c>
      <c r="J67" t="s">
        <v>2916</v>
      </c>
      <c r="L67" t="s">
        <v>1396</v>
      </c>
      <c r="N67" t="s">
        <v>1307</v>
      </c>
      <c r="O67" t="s">
        <v>3505</v>
      </c>
      <c r="P67" t="s">
        <v>3506</v>
      </c>
    </row>
    <row r="68" spans="1:16" x14ac:dyDescent="0.25">
      <c r="A68" t="s">
        <v>1683</v>
      </c>
      <c r="B68" t="s">
        <v>1991</v>
      </c>
      <c r="C68" t="s">
        <v>3336</v>
      </c>
      <c r="D68" t="s">
        <v>3344</v>
      </c>
      <c r="E68" t="s">
        <v>3507</v>
      </c>
      <c r="F68" t="s">
        <v>3344</v>
      </c>
      <c r="G68" t="s">
        <v>3352</v>
      </c>
      <c r="H68" t="s">
        <v>3422</v>
      </c>
      <c r="I68" t="s">
        <v>1593</v>
      </c>
      <c r="J68" t="s">
        <v>1688</v>
      </c>
      <c r="L68" t="s">
        <v>1335</v>
      </c>
      <c r="N68" t="s">
        <v>1319</v>
      </c>
      <c r="O68" t="s">
        <v>3508</v>
      </c>
      <c r="P68" t="s">
        <v>3509</v>
      </c>
    </row>
    <row r="69" spans="1:16" x14ac:dyDescent="0.25">
      <c r="A69" t="s">
        <v>1689</v>
      </c>
      <c r="B69" t="s">
        <v>1991</v>
      </c>
      <c r="C69" t="s">
        <v>3356</v>
      </c>
      <c r="D69" t="s">
        <v>3344</v>
      </c>
      <c r="E69" t="s">
        <v>3510</v>
      </c>
      <c r="F69" t="s">
        <v>3344</v>
      </c>
      <c r="G69" t="s">
        <v>3346</v>
      </c>
      <c r="H69" t="s">
        <v>3357</v>
      </c>
      <c r="I69" t="s">
        <v>1333</v>
      </c>
      <c r="J69" t="s">
        <v>1334</v>
      </c>
      <c r="L69" t="s">
        <v>1575</v>
      </c>
      <c r="N69" t="s">
        <v>1319</v>
      </c>
      <c r="O69" t="s">
        <v>3511</v>
      </c>
      <c r="P69" t="s">
        <v>3512</v>
      </c>
    </row>
    <row r="70" spans="1:16" x14ac:dyDescent="0.25">
      <c r="A70" t="s">
        <v>1693</v>
      </c>
      <c r="B70" t="s">
        <v>1991</v>
      </c>
      <c r="C70" t="s">
        <v>3333</v>
      </c>
      <c r="D70" t="s">
        <v>3344</v>
      </c>
      <c r="E70" t="s">
        <v>3513</v>
      </c>
      <c r="F70" t="s">
        <v>3344</v>
      </c>
      <c r="G70" t="s">
        <v>3346</v>
      </c>
      <c r="H70" t="s">
        <v>3337</v>
      </c>
      <c r="I70" t="s">
        <v>1333</v>
      </c>
      <c r="J70" t="s">
        <v>1334</v>
      </c>
      <c r="L70" t="s">
        <v>1396</v>
      </c>
      <c r="N70" t="s">
        <v>1319</v>
      </c>
      <c r="O70" t="s">
        <v>3514</v>
      </c>
      <c r="P70" t="s">
        <v>3515</v>
      </c>
    </row>
    <row r="71" spans="1:16" x14ac:dyDescent="0.25">
      <c r="A71" t="s">
        <v>2936</v>
      </c>
      <c r="B71" t="s">
        <v>1991</v>
      </c>
      <c r="C71" t="s">
        <v>3336</v>
      </c>
      <c r="D71" t="s">
        <v>3344</v>
      </c>
      <c r="E71" t="s">
        <v>3516</v>
      </c>
      <c r="F71" t="s">
        <v>3344</v>
      </c>
      <c r="G71" t="s">
        <v>3361</v>
      </c>
      <c r="H71" t="s">
        <v>3378</v>
      </c>
      <c r="I71" t="s">
        <v>1333</v>
      </c>
      <c r="J71" t="s">
        <v>1334</v>
      </c>
      <c r="L71" t="s">
        <v>1396</v>
      </c>
      <c r="N71" t="s">
        <v>1307</v>
      </c>
      <c r="O71" t="s">
        <v>3517</v>
      </c>
      <c r="P71" t="s">
        <v>3518</v>
      </c>
    </row>
    <row r="72" spans="1:16" x14ac:dyDescent="0.25">
      <c r="A72" t="s">
        <v>1700</v>
      </c>
      <c r="B72" t="s">
        <v>1991</v>
      </c>
      <c r="C72" t="s">
        <v>3356</v>
      </c>
      <c r="D72" t="s">
        <v>3344</v>
      </c>
      <c r="E72" t="s">
        <v>3519</v>
      </c>
      <c r="F72" t="s">
        <v>3344</v>
      </c>
      <c r="G72" t="s">
        <v>3346</v>
      </c>
      <c r="H72" t="s">
        <v>3412</v>
      </c>
      <c r="I72" t="s">
        <v>1516</v>
      </c>
      <c r="J72" t="s">
        <v>1660</v>
      </c>
      <c r="L72" t="s">
        <v>1396</v>
      </c>
      <c r="N72" t="s">
        <v>1319</v>
      </c>
      <c r="O72" t="s">
        <v>3520</v>
      </c>
      <c r="P72" t="s">
        <v>3521</v>
      </c>
    </row>
    <row r="73" spans="1:16" x14ac:dyDescent="0.25">
      <c r="A73" t="s">
        <v>2938</v>
      </c>
      <c r="B73" t="s">
        <v>1991</v>
      </c>
      <c r="C73" t="s">
        <v>3350</v>
      </c>
      <c r="D73" t="s">
        <v>3330</v>
      </c>
      <c r="H73" t="s">
        <v>3334</v>
      </c>
      <c r="I73" t="s">
        <v>1711</v>
      </c>
      <c r="J73" t="s">
        <v>2945</v>
      </c>
      <c r="L73" t="s">
        <v>1335</v>
      </c>
      <c r="N73" t="s">
        <v>1307</v>
      </c>
      <c r="O73" t="s">
        <v>3522</v>
      </c>
      <c r="P73" t="s">
        <v>3523</v>
      </c>
    </row>
    <row r="74" spans="1:16" x14ac:dyDescent="0.25">
      <c r="A74" t="s">
        <v>1705</v>
      </c>
      <c r="B74" t="s">
        <v>1991</v>
      </c>
      <c r="C74" t="s">
        <v>3350</v>
      </c>
      <c r="D74" t="s">
        <v>3330</v>
      </c>
      <c r="H74" t="s">
        <v>3425</v>
      </c>
      <c r="I74" t="s">
        <v>1711</v>
      </c>
      <c r="J74" t="s">
        <v>1712</v>
      </c>
      <c r="L74" t="s">
        <v>1335</v>
      </c>
      <c r="N74" t="s">
        <v>1319</v>
      </c>
      <c r="O74" t="s">
        <v>3524</v>
      </c>
      <c r="P74" t="s">
        <v>3525</v>
      </c>
    </row>
    <row r="75" spans="1:16" x14ac:dyDescent="0.25">
      <c r="A75" t="s">
        <v>2946</v>
      </c>
      <c r="B75" t="s">
        <v>1991</v>
      </c>
      <c r="C75" t="s">
        <v>3350</v>
      </c>
      <c r="D75" t="s">
        <v>3330</v>
      </c>
      <c r="H75" t="s">
        <v>3387</v>
      </c>
      <c r="I75" t="s">
        <v>1711</v>
      </c>
      <c r="J75" t="s">
        <v>2953</v>
      </c>
      <c r="L75" t="s">
        <v>1335</v>
      </c>
      <c r="N75" t="s">
        <v>1307</v>
      </c>
      <c r="O75" t="s">
        <v>3526</v>
      </c>
      <c r="P75" t="s">
        <v>3527</v>
      </c>
    </row>
    <row r="76" spans="1:16" x14ac:dyDescent="0.25">
      <c r="A76" t="s">
        <v>1713</v>
      </c>
      <c r="B76" t="s">
        <v>1991</v>
      </c>
      <c r="C76" t="s">
        <v>3356</v>
      </c>
      <c r="D76" t="s">
        <v>3344</v>
      </c>
      <c r="E76" t="s">
        <v>3528</v>
      </c>
      <c r="F76" t="s">
        <v>3344</v>
      </c>
      <c r="G76" t="s">
        <v>3346</v>
      </c>
      <c r="H76" t="s">
        <v>3406</v>
      </c>
      <c r="I76" t="s">
        <v>1516</v>
      </c>
      <c r="J76" t="s">
        <v>1660</v>
      </c>
      <c r="L76" t="s">
        <v>1396</v>
      </c>
      <c r="N76" t="s">
        <v>1319</v>
      </c>
      <c r="O76" t="s">
        <v>3529</v>
      </c>
      <c r="P76" t="s">
        <v>3530</v>
      </c>
    </row>
    <row r="77" spans="1:16" x14ac:dyDescent="0.25">
      <c r="A77" t="s">
        <v>1719</v>
      </c>
      <c r="B77" t="s">
        <v>1991</v>
      </c>
      <c r="C77" t="s">
        <v>3336</v>
      </c>
      <c r="D77" t="s">
        <v>3344</v>
      </c>
      <c r="E77" t="s">
        <v>3531</v>
      </c>
      <c r="F77" t="s">
        <v>3471</v>
      </c>
      <c r="G77" t="s">
        <v>3346</v>
      </c>
      <c r="H77" t="s">
        <v>3353</v>
      </c>
      <c r="I77" t="s">
        <v>1721</v>
      </c>
      <c r="J77" t="s">
        <v>1722</v>
      </c>
      <c r="L77" t="s">
        <v>1335</v>
      </c>
      <c r="N77" t="s">
        <v>1319</v>
      </c>
      <c r="O77" t="s">
        <v>3532</v>
      </c>
      <c r="P77" t="s">
        <v>3533</v>
      </c>
    </row>
    <row r="78" spans="1:16" x14ac:dyDescent="0.25">
      <c r="A78" t="s">
        <v>2954</v>
      </c>
      <c r="B78" t="s">
        <v>1991</v>
      </c>
      <c r="C78" t="s">
        <v>3333</v>
      </c>
      <c r="D78" t="s">
        <v>3344</v>
      </c>
      <c r="E78" t="s">
        <v>3534</v>
      </c>
      <c r="F78" t="s">
        <v>3344</v>
      </c>
      <c r="G78" t="s">
        <v>3346</v>
      </c>
      <c r="H78" t="s">
        <v>3423</v>
      </c>
      <c r="I78" t="s">
        <v>1516</v>
      </c>
      <c r="J78" t="s">
        <v>2957</v>
      </c>
      <c r="L78" t="s">
        <v>1575</v>
      </c>
      <c r="N78" t="s">
        <v>1307</v>
      </c>
      <c r="O78" t="s">
        <v>3535</v>
      </c>
      <c r="P78" t="s">
        <v>3536</v>
      </c>
    </row>
    <row r="79" spans="1:16" x14ac:dyDescent="0.25">
      <c r="A79" t="s">
        <v>1723</v>
      </c>
      <c r="B79" t="s">
        <v>1991</v>
      </c>
      <c r="C79" t="s">
        <v>3356</v>
      </c>
      <c r="D79" t="s">
        <v>3344</v>
      </c>
      <c r="E79" t="s">
        <v>3537</v>
      </c>
      <c r="F79" t="s">
        <v>3344</v>
      </c>
      <c r="G79" t="s">
        <v>3346</v>
      </c>
      <c r="H79" t="s">
        <v>3465</v>
      </c>
      <c r="I79" t="s">
        <v>1333</v>
      </c>
      <c r="J79" t="s">
        <v>1334</v>
      </c>
      <c r="L79" t="s">
        <v>1396</v>
      </c>
      <c r="N79" t="s">
        <v>1319</v>
      </c>
      <c r="O79" t="s">
        <v>3538</v>
      </c>
      <c r="P79" t="s">
        <v>3539</v>
      </c>
    </row>
    <row r="80" spans="1:16" x14ac:dyDescent="0.25">
      <c r="A80" t="s">
        <v>1727</v>
      </c>
      <c r="B80" t="s">
        <v>1991</v>
      </c>
      <c r="C80" t="s">
        <v>3336</v>
      </c>
      <c r="D80" t="s">
        <v>3344</v>
      </c>
      <c r="E80" t="s">
        <v>3540</v>
      </c>
      <c r="F80" t="s">
        <v>3471</v>
      </c>
      <c r="G80" t="s">
        <v>3361</v>
      </c>
      <c r="H80" t="s">
        <v>3442</v>
      </c>
      <c r="I80" t="s">
        <v>1733</v>
      </c>
      <c r="J80" t="s">
        <v>1734</v>
      </c>
      <c r="L80" t="s">
        <v>1335</v>
      </c>
      <c r="N80" t="s">
        <v>1319</v>
      </c>
      <c r="O80" t="s">
        <v>3541</v>
      </c>
      <c r="P80" t="s">
        <v>3542</v>
      </c>
    </row>
    <row r="81" spans="1:16" x14ac:dyDescent="0.25">
      <c r="A81" t="s">
        <v>1735</v>
      </c>
      <c r="B81" t="s">
        <v>1991</v>
      </c>
      <c r="C81" t="s">
        <v>3329</v>
      </c>
      <c r="D81" t="s">
        <v>3330</v>
      </c>
      <c r="H81" t="s">
        <v>3448</v>
      </c>
      <c r="I81" t="s">
        <v>1366</v>
      </c>
      <c r="J81" t="s">
        <v>1741</v>
      </c>
      <c r="L81" t="s">
        <v>1335</v>
      </c>
      <c r="N81" t="s">
        <v>1319</v>
      </c>
      <c r="O81" t="s">
        <v>3543</v>
      </c>
      <c r="P81" t="s">
        <v>3544</v>
      </c>
    </row>
    <row r="82" spans="1:16" x14ac:dyDescent="0.25">
      <c r="A82" t="s">
        <v>1742</v>
      </c>
      <c r="B82" t="s">
        <v>1991</v>
      </c>
      <c r="C82" t="s">
        <v>3329</v>
      </c>
      <c r="D82" t="s">
        <v>3330</v>
      </c>
      <c r="H82" t="s">
        <v>3337</v>
      </c>
      <c r="I82" t="s">
        <v>1366</v>
      </c>
      <c r="J82" t="s">
        <v>1741</v>
      </c>
      <c r="L82" t="s">
        <v>1335</v>
      </c>
      <c r="N82" t="s">
        <v>1319</v>
      </c>
      <c r="O82" t="s">
        <v>3545</v>
      </c>
      <c r="P82" t="s">
        <v>3546</v>
      </c>
    </row>
    <row r="83" spans="1:16" x14ac:dyDescent="0.25">
      <c r="A83" t="s">
        <v>1748</v>
      </c>
      <c r="B83" t="s">
        <v>1991</v>
      </c>
      <c r="C83" t="s">
        <v>3329</v>
      </c>
      <c r="D83" t="s">
        <v>3330</v>
      </c>
      <c r="H83" t="s">
        <v>3398</v>
      </c>
      <c r="I83" t="s">
        <v>1366</v>
      </c>
      <c r="J83" t="s">
        <v>1741</v>
      </c>
      <c r="L83" t="s">
        <v>1335</v>
      </c>
      <c r="N83" t="s">
        <v>1319</v>
      </c>
      <c r="O83" t="s">
        <v>3547</v>
      </c>
      <c r="P83" t="s">
        <v>3548</v>
      </c>
    </row>
    <row r="84" spans="1:16" x14ac:dyDescent="0.25">
      <c r="A84" t="s">
        <v>1753</v>
      </c>
      <c r="B84" t="s">
        <v>1991</v>
      </c>
      <c r="C84" t="s">
        <v>3336</v>
      </c>
      <c r="D84" t="s">
        <v>3344</v>
      </c>
      <c r="E84" t="s">
        <v>3549</v>
      </c>
      <c r="F84" t="s">
        <v>3344</v>
      </c>
      <c r="G84" t="s">
        <v>3361</v>
      </c>
      <c r="H84" t="s">
        <v>3378</v>
      </c>
      <c r="I84" t="s">
        <v>1757</v>
      </c>
      <c r="J84" t="s">
        <v>1758</v>
      </c>
      <c r="L84" t="s">
        <v>1335</v>
      </c>
      <c r="N84" t="s">
        <v>1319</v>
      </c>
      <c r="O84" t="s">
        <v>3550</v>
      </c>
      <c r="P84" t="s">
        <v>3551</v>
      </c>
    </row>
    <row r="85" spans="1:16" x14ac:dyDescent="0.25">
      <c r="A85" t="s">
        <v>1759</v>
      </c>
      <c r="B85" t="s">
        <v>1991</v>
      </c>
      <c r="C85" t="s">
        <v>3356</v>
      </c>
      <c r="D85" t="s">
        <v>3344</v>
      </c>
      <c r="E85" t="s">
        <v>3552</v>
      </c>
      <c r="F85" t="s">
        <v>3344</v>
      </c>
      <c r="G85" t="s">
        <v>3346</v>
      </c>
      <c r="H85" t="s">
        <v>3357</v>
      </c>
      <c r="I85" t="s">
        <v>1333</v>
      </c>
      <c r="J85" t="s">
        <v>1334</v>
      </c>
      <c r="L85" t="s">
        <v>1396</v>
      </c>
      <c r="N85" t="s">
        <v>1319</v>
      </c>
      <c r="O85" t="s">
        <v>3553</v>
      </c>
      <c r="P85" t="s">
        <v>3554</v>
      </c>
    </row>
    <row r="86" spans="1:16" x14ac:dyDescent="0.25">
      <c r="A86" t="s">
        <v>1762</v>
      </c>
      <c r="B86" t="s">
        <v>1991</v>
      </c>
      <c r="C86" t="s">
        <v>3343</v>
      </c>
      <c r="D86" t="s">
        <v>3330</v>
      </c>
      <c r="H86" t="s">
        <v>3387</v>
      </c>
      <c r="I86" t="s">
        <v>1711</v>
      </c>
      <c r="J86" t="s">
        <v>1712</v>
      </c>
      <c r="L86" t="s">
        <v>1335</v>
      </c>
      <c r="N86" t="s">
        <v>1319</v>
      </c>
      <c r="O86" t="s">
        <v>3555</v>
      </c>
      <c r="P86" t="s">
        <v>3556</v>
      </c>
    </row>
    <row r="87" spans="1:16" x14ac:dyDescent="0.25">
      <c r="A87" t="s">
        <v>1765</v>
      </c>
      <c r="B87" t="s">
        <v>1991</v>
      </c>
      <c r="C87" t="s">
        <v>3343</v>
      </c>
      <c r="D87" t="s">
        <v>3330</v>
      </c>
      <c r="H87" t="s">
        <v>3437</v>
      </c>
      <c r="I87" t="s">
        <v>1711</v>
      </c>
      <c r="J87" t="s">
        <v>1712</v>
      </c>
      <c r="L87" t="s">
        <v>1335</v>
      </c>
      <c r="N87" t="s">
        <v>1319</v>
      </c>
      <c r="O87" t="s">
        <v>3557</v>
      </c>
      <c r="P87" t="s">
        <v>3558</v>
      </c>
    </row>
    <row r="88" spans="1:16" x14ac:dyDescent="0.25">
      <c r="A88" t="s">
        <v>1770</v>
      </c>
      <c r="B88" t="s">
        <v>1991</v>
      </c>
      <c r="C88" t="s">
        <v>3343</v>
      </c>
      <c r="D88" t="s">
        <v>3330</v>
      </c>
      <c r="H88" t="s">
        <v>3362</v>
      </c>
      <c r="I88" t="s">
        <v>1711</v>
      </c>
      <c r="J88" t="s">
        <v>1712</v>
      </c>
      <c r="L88" t="s">
        <v>1335</v>
      </c>
      <c r="N88" t="s">
        <v>1319</v>
      </c>
      <c r="O88" t="s">
        <v>3559</v>
      </c>
      <c r="P88" t="s">
        <v>3560</v>
      </c>
    </row>
    <row r="89" spans="1:16" x14ac:dyDescent="0.25">
      <c r="A89" t="s">
        <v>2958</v>
      </c>
      <c r="B89" t="s">
        <v>1991</v>
      </c>
      <c r="C89" t="s">
        <v>3333</v>
      </c>
      <c r="D89" t="s">
        <v>3344</v>
      </c>
      <c r="E89" t="s">
        <v>3502</v>
      </c>
      <c r="F89" t="s">
        <v>3372</v>
      </c>
      <c r="G89" t="s">
        <v>3346</v>
      </c>
      <c r="H89" t="s">
        <v>3406</v>
      </c>
      <c r="I89" t="s">
        <v>1567</v>
      </c>
      <c r="J89" t="s">
        <v>1568</v>
      </c>
      <c r="L89" t="s">
        <v>1396</v>
      </c>
      <c r="N89" t="s">
        <v>1307</v>
      </c>
      <c r="O89" t="s">
        <v>3561</v>
      </c>
      <c r="P89" t="s">
        <v>3562</v>
      </c>
    </row>
    <row r="90" spans="1:16" x14ac:dyDescent="0.25">
      <c r="A90" t="s">
        <v>1774</v>
      </c>
      <c r="B90" t="s">
        <v>2119</v>
      </c>
      <c r="C90" t="s">
        <v>3329</v>
      </c>
      <c r="D90" t="s">
        <v>3344</v>
      </c>
      <c r="E90" t="s">
        <v>3563</v>
      </c>
      <c r="F90" t="s">
        <v>3344</v>
      </c>
      <c r="G90" t="s">
        <v>3346</v>
      </c>
      <c r="H90" t="s">
        <v>3387</v>
      </c>
      <c r="I90" t="s">
        <v>1516</v>
      </c>
      <c r="J90" t="s">
        <v>1779</v>
      </c>
      <c r="L90" t="s">
        <v>1780</v>
      </c>
      <c r="N90" t="s">
        <v>1319</v>
      </c>
      <c r="O90" t="s">
        <v>3564</v>
      </c>
      <c r="P90" t="s">
        <v>3565</v>
      </c>
    </row>
    <row r="91" spans="1:16" x14ac:dyDescent="0.25">
      <c r="A91" t="s">
        <v>1781</v>
      </c>
      <c r="B91" t="s">
        <v>2119</v>
      </c>
      <c r="C91" t="s">
        <v>3333</v>
      </c>
      <c r="D91" t="s">
        <v>3344</v>
      </c>
      <c r="E91" t="s">
        <v>3566</v>
      </c>
      <c r="F91" t="s">
        <v>3344</v>
      </c>
      <c r="G91" t="s">
        <v>3346</v>
      </c>
      <c r="H91" t="s">
        <v>3378</v>
      </c>
      <c r="I91" t="s">
        <v>1516</v>
      </c>
      <c r="J91" t="s">
        <v>1785</v>
      </c>
      <c r="L91" t="s">
        <v>1575</v>
      </c>
      <c r="N91" t="s">
        <v>1319</v>
      </c>
      <c r="O91" t="s">
        <v>3567</v>
      </c>
      <c r="P91" t="s">
        <v>3568</v>
      </c>
    </row>
    <row r="92" spans="1:16" x14ac:dyDescent="0.25">
      <c r="A92" t="s">
        <v>1786</v>
      </c>
      <c r="B92" t="s">
        <v>2119</v>
      </c>
      <c r="C92" t="s">
        <v>3356</v>
      </c>
      <c r="D92" t="s">
        <v>3344</v>
      </c>
      <c r="E92" t="s">
        <v>3569</v>
      </c>
      <c r="F92" t="s">
        <v>3344</v>
      </c>
      <c r="G92" t="s">
        <v>3346</v>
      </c>
      <c r="H92" t="s">
        <v>3461</v>
      </c>
      <c r="I92" t="s">
        <v>1516</v>
      </c>
      <c r="J92" t="s">
        <v>1660</v>
      </c>
      <c r="L92" t="s">
        <v>1789</v>
      </c>
      <c r="N92" t="s">
        <v>1319</v>
      </c>
      <c r="O92" t="s">
        <v>3570</v>
      </c>
      <c r="P92" t="s">
        <v>3571</v>
      </c>
    </row>
    <row r="93" spans="1:16" x14ac:dyDescent="0.25">
      <c r="A93" t="s">
        <v>2960</v>
      </c>
      <c r="B93" t="s">
        <v>2119</v>
      </c>
      <c r="C93" t="s">
        <v>3329</v>
      </c>
      <c r="D93" t="s">
        <v>3344</v>
      </c>
      <c r="E93" t="s">
        <v>3572</v>
      </c>
      <c r="F93" t="s">
        <v>3372</v>
      </c>
      <c r="G93" t="s">
        <v>3346</v>
      </c>
      <c r="H93" t="s">
        <v>3331</v>
      </c>
      <c r="I93" t="s">
        <v>1711</v>
      </c>
      <c r="J93" t="s">
        <v>1712</v>
      </c>
      <c r="L93" t="s">
        <v>1396</v>
      </c>
      <c r="N93" t="s">
        <v>1307</v>
      </c>
      <c r="O93" t="s">
        <v>3573</v>
      </c>
      <c r="P93" t="s">
        <v>3574</v>
      </c>
    </row>
    <row r="94" spans="1:16" x14ac:dyDescent="0.25">
      <c r="A94" t="s">
        <v>1790</v>
      </c>
      <c r="B94" t="s">
        <v>2119</v>
      </c>
      <c r="C94" t="s">
        <v>3356</v>
      </c>
      <c r="D94" t="s">
        <v>3344</v>
      </c>
      <c r="E94" t="s">
        <v>3575</v>
      </c>
      <c r="F94" t="s">
        <v>3344</v>
      </c>
      <c r="G94" t="s">
        <v>3346</v>
      </c>
      <c r="H94" t="s">
        <v>3394</v>
      </c>
      <c r="I94" t="s">
        <v>1524</v>
      </c>
      <c r="J94" t="s">
        <v>1525</v>
      </c>
      <c r="L94" t="s">
        <v>1396</v>
      </c>
      <c r="N94" t="s">
        <v>1319</v>
      </c>
      <c r="O94" t="s">
        <v>3576</v>
      </c>
      <c r="P94" t="s">
        <v>3577</v>
      </c>
    </row>
    <row r="95" spans="1:16" x14ac:dyDescent="0.25">
      <c r="A95" t="s">
        <v>1794</v>
      </c>
      <c r="B95" t="s">
        <v>2119</v>
      </c>
      <c r="C95" t="s">
        <v>3336</v>
      </c>
      <c r="D95" t="s">
        <v>3344</v>
      </c>
      <c r="E95" t="s">
        <v>3578</v>
      </c>
      <c r="F95" t="s">
        <v>3344</v>
      </c>
      <c r="G95" t="s">
        <v>3346</v>
      </c>
      <c r="H95" t="s">
        <v>3362</v>
      </c>
      <c r="I95" t="s">
        <v>1524</v>
      </c>
      <c r="J95" t="s">
        <v>1525</v>
      </c>
      <c r="L95" t="s">
        <v>1396</v>
      </c>
      <c r="N95" t="s">
        <v>1319</v>
      </c>
      <c r="O95" t="s">
        <v>3579</v>
      </c>
      <c r="P95" t="s">
        <v>3580</v>
      </c>
    </row>
    <row r="96" spans="1:16" x14ac:dyDescent="0.25">
      <c r="A96" t="s">
        <v>2964</v>
      </c>
      <c r="B96" t="s">
        <v>2119</v>
      </c>
      <c r="C96" t="s">
        <v>3329</v>
      </c>
      <c r="D96" t="s">
        <v>3344</v>
      </c>
      <c r="E96" t="s">
        <v>3581</v>
      </c>
      <c r="F96" t="s">
        <v>3372</v>
      </c>
      <c r="G96" t="s">
        <v>3346</v>
      </c>
      <c r="H96" t="s">
        <v>3398</v>
      </c>
      <c r="I96" t="s">
        <v>1333</v>
      </c>
      <c r="J96" t="s">
        <v>1334</v>
      </c>
      <c r="L96" t="s">
        <v>1396</v>
      </c>
      <c r="N96" t="s">
        <v>1307</v>
      </c>
      <c r="O96" t="s">
        <v>3582</v>
      </c>
      <c r="P96" t="s">
        <v>3583</v>
      </c>
    </row>
    <row r="97" spans="1:16" x14ac:dyDescent="0.25">
      <c r="A97" t="s">
        <v>1797</v>
      </c>
      <c r="B97" t="s">
        <v>2119</v>
      </c>
      <c r="C97" t="s">
        <v>3333</v>
      </c>
      <c r="D97" t="s">
        <v>3344</v>
      </c>
      <c r="E97" t="s">
        <v>3584</v>
      </c>
      <c r="F97" t="s">
        <v>3344</v>
      </c>
      <c r="G97" t="s">
        <v>3346</v>
      </c>
      <c r="H97" t="s">
        <v>3331</v>
      </c>
      <c r="I97" t="s">
        <v>1333</v>
      </c>
      <c r="J97" t="s">
        <v>1334</v>
      </c>
      <c r="L97" t="s">
        <v>1396</v>
      </c>
      <c r="N97" t="s">
        <v>1319</v>
      </c>
      <c r="O97" t="s">
        <v>3585</v>
      </c>
      <c r="P97" t="s">
        <v>3586</v>
      </c>
    </row>
    <row r="98" spans="1:16" x14ac:dyDescent="0.25">
      <c r="A98" t="s">
        <v>1800</v>
      </c>
      <c r="B98" t="s">
        <v>2119</v>
      </c>
      <c r="C98" t="s">
        <v>3356</v>
      </c>
      <c r="D98" t="s">
        <v>3344</v>
      </c>
      <c r="E98" t="s">
        <v>3587</v>
      </c>
      <c r="F98" t="s">
        <v>3344</v>
      </c>
      <c r="G98" t="s">
        <v>3346</v>
      </c>
      <c r="H98" t="s">
        <v>3381</v>
      </c>
      <c r="I98" t="s">
        <v>1333</v>
      </c>
      <c r="J98" t="s">
        <v>1334</v>
      </c>
      <c r="L98" t="s">
        <v>1575</v>
      </c>
      <c r="N98" t="s">
        <v>1319</v>
      </c>
      <c r="O98" t="s">
        <v>3588</v>
      </c>
      <c r="P98" t="s">
        <v>3589</v>
      </c>
    </row>
    <row r="99" spans="1:16" x14ac:dyDescent="0.25">
      <c r="A99" t="s">
        <v>1805</v>
      </c>
      <c r="B99" t="s">
        <v>2119</v>
      </c>
      <c r="C99" t="s">
        <v>3336</v>
      </c>
      <c r="D99" t="s">
        <v>3344</v>
      </c>
      <c r="E99" t="s">
        <v>3590</v>
      </c>
      <c r="F99" t="s">
        <v>3344</v>
      </c>
      <c r="G99" t="s">
        <v>3346</v>
      </c>
      <c r="H99" t="s">
        <v>3347</v>
      </c>
      <c r="I99" t="s">
        <v>1516</v>
      </c>
      <c r="J99" t="s">
        <v>1660</v>
      </c>
      <c r="L99" t="s">
        <v>1335</v>
      </c>
      <c r="N99" t="s">
        <v>1319</v>
      </c>
      <c r="O99" t="s">
        <v>3591</v>
      </c>
      <c r="P99" t="s">
        <v>3592</v>
      </c>
    </row>
    <row r="100" spans="1:16" x14ac:dyDescent="0.25">
      <c r="A100" t="s">
        <v>1808</v>
      </c>
      <c r="B100" t="s">
        <v>2119</v>
      </c>
      <c r="C100" t="s">
        <v>3329</v>
      </c>
      <c r="D100" t="s">
        <v>3344</v>
      </c>
      <c r="E100" t="s">
        <v>3593</v>
      </c>
      <c r="F100" t="s">
        <v>3372</v>
      </c>
      <c r="G100" t="s">
        <v>3346</v>
      </c>
      <c r="H100" t="s">
        <v>3446</v>
      </c>
      <c r="I100" t="s">
        <v>1524</v>
      </c>
      <c r="J100" t="s">
        <v>1525</v>
      </c>
      <c r="L100" t="s">
        <v>1396</v>
      </c>
      <c r="N100" t="s">
        <v>1319</v>
      </c>
      <c r="O100" t="s">
        <v>3594</v>
      </c>
      <c r="P100" t="s">
        <v>3595</v>
      </c>
    </row>
    <row r="101" spans="1:16" x14ac:dyDescent="0.25">
      <c r="A101" t="s">
        <v>1811</v>
      </c>
      <c r="B101" t="s">
        <v>2119</v>
      </c>
      <c r="C101" t="s">
        <v>3333</v>
      </c>
      <c r="D101" t="s">
        <v>3344</v>
      </c>
      <c r="E101" t="s">
        <v>3596</v>
      </c>
      <c r="F101" t="s">
        <v>3344</v>
      </c>
      <c r="G101" t="s">
        <v>3346</v>
      </c>
      <c r="H101" t="s">
        <v>3419</v>
      </c>
      <c r="I101" t="s">
        <v>1815</v>
      </c>
      <c r="J101" t="s">
        <v>1816</v>
      </c>
      <c r="L101" t="s">
        <v>1575</v>
      </c>
      <c r="N101" t="s">
        <v>1319</v>
      </c>
      <c r="O101" t="s">
        <v>3597</v>
      </c>
      <c r="P101" t="s">
        <v>3598</v>
      </c>
    </row>
    <row r="102" spans="1:16" x14ac:dyDescent="0.25">
      <c r="A102" t="s">
        <v>1817</v>
      </c>
      <c r="B102" t="s">
        <v>2119</v>
      </c>
      <c r="C102" t="s">
        <v>3336</v>
      </c>
      <c r="D102" t="s">
        <v>3344</v>
      </c>
      <c r="E102" t="s">
        <v>3599</v>
      </c>
      <c r="F102" t="s">
        <v>3471</v>
      </c>
      <c r="G102" t="s">
        <v>3346</v>
      </c>
      <c r="H102" t="s">
        <v>3334</v>
      </c>
      <c r="I102" t="s">
        <v>1333</v>
      </c>
      <c r="J102" t="s">
        <v>1334</v>
      </c>
      <c r="L102" t="s">
        <v>1335</v>
      </c>
      <c r="N102" t="s">
        <v>1319</v>
      </c>
      <c r="O102" t="s">
        <v>3600</v>
      </c>
      <c r="P102" t="s">
        <v>3601</v>
      </c>
    </row>
    <row r="103" spans="1:16" x14ac:dyDescent="0.25">
      <c r="A103" t="s">
        <v>1820</v>
      </c>
      <c r="B103" t="s">
        <v>2119</v>
      </c>
      <c r="C103" t="s">
        <v>3329</v>
      </c>
      <c r="D103" t="s">
        <v>3344</v>
      </c>
      <c r="E103" t="s">
        <v>3602</v>
      </c>
      <c r="F103" t="s">
        <v>3372</v>
      </c>
      <c r="G103" t="s">
        <v>3346</v>
      </c>
      <c r="H103" t="s">
        <v>3373</v>
      </c>
      <c r="I103" t="s">
        <v>1333</v>
      </c>
      <c r="J103" t="s">
        <v>1334</v>
      </c>
      <c r="L103" t="s">
        <v>1396</v>
      </c>
      <c r="N103" t="s">
        <v>1319</v>
      </c>
      <c r="O103" t="s">
        <v>3603</v>
      </c>
      <c r="P103" t="s">
        <v>3604</v>
      </c>
    </row>
    <row r="104" spans="1:16" x14ac:dyDescent="0.25">
      <c r="A104" t="s">
        <v>1825</v>
      </c>
      <c r="B104" t="s">
        <v>2119</v>
      </c>
      <c r="C104" t="s">
        <v>3356</v>
      </c>
      <c r="D104" t="s">
        <v>3344</v>
      </c>
      <c r="E104" t="s">
        <v>3605</v>
      </c>
      <c r="F104" t="s">
        <v>3344</v>
      </c>
      <c r="G104" t="s">
        <v>3346</v>
      </c>
      <c r="H104" t="s">
        <v>3606</v>
      </c>
      <c r="I104" t="s">
        <v>1516</v>
      </c>
      <c r="J104" t="s">
        <v>1660</v>
      </c>
      <c r="L104" t="s">
        <v>1575</v>
      </c>
      <c r="N104" t="s">
        <v>1319</v>
      </c>
      <c r="O104" t="s">
        <v>3607</v>
      </c>
      <c r="P104" t="s">
        <v>3608</v>
      </c>
    </row>
    <row r="105" spans="1:16" x14ac:dyDescent="0.25">
      <c r="A105" t="s">
        <v>1829</v>
      </c>
      <c r="B105" t="s">
        <v>2119</v>
      </c>
      <c r="C105" t="s">
        <v>3336</v>
      </c>
      <c r="D105" t="s">
        <v>3344</v>
      </c>
      <c r="E105" t="s">
        <v>3609</v>
      </c>
      <c r="F105" t="s">
        <v>3344</v>
      </c>
      <c r="G105" t="s">
        <v>3346</v>
      </c>
      <c r="H105" t="s">
        <v>3390</v>
      </c>
      <c r="I105" t="s">
        <v>1721</v>
      </c>
      <c r="J105" t="s">
        <v>1831</v>
      </c>
      <c r="L105" t="s">
        <v>1335</v>
      </c>
      <c r="N105" t="s">
        <v>1319</v>
      </c>
      <c r="O105" t="s">
        <v>3610</v>
      </c>
      <c r="P105" t="s">
        <v>3611</v>
      </c>
    </row>
    <row r="106" spans="1:16" x14ac:dyDescent="0.25">
      <c r="A106" t="s">
        <v>1832</v>
      </c>
      <c r="B106" t="s">
        <v>2119</v>
      </c>
      <c r="C106" t="s">
        <v>3329</v>
      </c>
      <c r="D106" t="s">
        <v>3344</v>
      </c>
      <c r="E106" t="s">
        <v>3612</v>
      </c>
      <c r="F106" t="s">
        <v>3372</v>
      </c>
      <c r="G106" t="s">
        <v>3346</v>
      </c>
      <c r="H106" t="s">
        <v>3365</v>
      </c>
      <c r="I106" t="s">
        <v>1333</v>
      </c>
      <c r="J106" t="s">
        <v>1334</v>
      </c>
      <c r="L106" t="s">
        <v>1335</v>
      </c>
      <c r="N106" t="s">
        <v>1319</v>
      </c>
      <c r="O106" t="s">
        <v>3613</v>
      </c>
      <c r="P106" t="s">
        <v>3614</v>
      </c>
    </row>
    <row r="107" spans="1:16" x14ac:dyDescent="0.25">
      <c r="A107" t="s">
        <v>1835</v>
      </c>
      <c r="B107" t="s">
        <v>2119</v>
      </c>
      <c r="C107" t="s">
        <v>3356</v>
      </c>
      <c r="D107" t="s">
        <v>3344</v>
      </c>
      <c r="E107" t="s">
        <v>3615</v>
      </c>
      <c r="F107" t="s">
        <v>3344</v>
      </c>
      <c r="G107" t="s">
        <v>3346</v>
      </c>
      <c r="H107" t="s">
        <v>3331</v>
      </c>
      <c r="I107" t="s">
        <v>1516</v>
      </c>
      <c r="J107" t="s">
        <v>1839</v>
      </c>
      <c r="L107" t="s">
        <v>1575</v>
      </c>
      <c r="N107" t="s">
        <v>1319</v>
      </c>
      <c r="O107" t="s">
        <v>3616</v>
      </c>
      <c r="P107" t="s">
        <v>3617</v>
      </c>
    </row>
    <row r="108" spans="1:16" x14ac:dyDescent="0.25">
      <c r="A108" t="s">
        <v>1840</v>
      </c>
      <c r="B108" t="s">
        <v>2119</v>
      </c>
      <c r="C108" t="s">
        <v>3333</v>
      </c>
      <c r="D108" t="s">
        <v>3344</v>
      </c>
      <c r="E108" t="s">
        <v>3618</v>
      </c>
      <c r="F108" t="s">
        <v>3344</v>
      </c>
      <c r="G108" t="s">
        <v>3346</v>
      </c>
      <c r="H108" t="s">
        <v>3406</v>
      </c>
      <c r="I108" t="s">
        <v>1333</v>
      </c>
      <c r="J108" t="s">
        <v>1334</v>
      </c>
      <c r="L108" t="s">
        <v>1396</v>
      </c>
      <c r="N108" t="s">
        <v>1319</v>
      </c>
      <c r="O108" t="s">
        <v>3619</v>
      </c>
      <c r="P108" t="s">
        <v>3620</v>
      </c>
    </row>
    <row r="109" spans="1:16" x14ac:dyDescent="0.25">
      <c r="A109" t="s">
        <v>1843</v>
      </c>
      <c r="B109" t="s">
        <v>2119</v>
      </c>
      <c r="C109" t="s">
        <v>3336</v>
      </c>
      <c r="D109" t="s">
        <v>3344</v>
      </c>
      <c r="E109" t="s">
        <v>3621</v>
      </c>
      <c r="F109" t="s">
        <v>3344</v>
      </c>
      <c r="G109" t="s">
        <v>3361</v>
      </c>
      <c r="H109" t="s">
        <v>3418</v>
      </c>
      <c r="I109" t="s">
        <v>1516</v>
      </c>
      <c r="J109" t="s">
        <v>1845</v>
      </c>
      <c r="L109" t="s">
        <v>1335</v>
      </c>
      <c r="N109" t="s">
        <v>1319</v>
      </c>
      <c r="O109" t="s">
        <v>3622</v>
      </c>
      <c r="P109" t="s">
        <v>3623</v>
      </c>
    </row>
    <row r="110" spans="1:16" x14ac:dyDescent="0.25">
      <c r="A110" t="s">
        <v>1846</v>
      </c>
      <c r="B110" t="s">
        <v>2119</v>
      </c>
      <c r="C110" t="s">
        <v>3343</v>
      </c>
      <c r="D110" t="s">
        <v>3330</v>
      </c>
      <c r="H110" t="s">
        <v>3368</v>
      </c>
      <c r="I110" t="s">
        <v>1516</v>
      </c>
      <c r="J110" t="s">
        <v>1849</v>
      </c>
      <c r="L110" t="s">
        <v>1335</v>
      </c>
      <c r="N110" t="s">
        <v>1319</v>
      </c>
      <c r="O110" t="s">
        <v>3624</v>
      </c>
      <c r="P110" t="s">
        <v>3625</v>
      </c>
    </row>
    <row r="111" spans="1:16" x14ac:dyDescent="0.25">
      <c r="A111" t="s">
        <v>1850</v>
      </c>
      <c r="B111" t="s">
        <v>2119</v>
      </c>
      <c r="C111" t="s">
        <v>3343</v>
      </c>
      <c r="D111" t="s">
        <v>3330</v>
      </c>
      <c r="H111" t="s">
        <v>3412</v>
      </c>
      <c r="I111" t="s">
        <v>1516</v>
      </c>
      <c r="J111" t="s">
        <v>1849</v>
      </c>
      <c r="L111" t="s">
        <v>1335</v>
      </c>
      <c r="N111" t="s">
        <v>1319</v>
      </c>
      <c r="O111" t="s">
        <v>3626</v>
      </c>
      <c r="P111" t="s">
        <v>3627</v>
      </c>
    </row>
    <row r="112" spans="1:16" x14ac:dyDescent="0.25">
      <c r="A112" t="s">
        <v>1852</v>
      </c>
      <c r="B112" t="s">
        <v>2119</v>
      </c>
      <c r="C112" t="s">
        <v>3343</v>
      </c>
      <c r="D112" t="s">
        <v>3330</v>
      </c>
      <c r="H112" t="s">
        <v>3466</v>
      </c>
      <c r="I112" t="s">
        <v>1516</v>
      </c>
      <c r="J112" t="s">
        <v>1855</v>
      </c>
      <c r="L112" t="s">
        <v>1335</v>
      </c>
      <c r="N112" t="s">
        <v>1319</v>
      </c>
      <c r="O112" t="s">
        <v>3628</v>
      </c>
      <c r="P112" t="s">
        <v>3629</v>
      </c>
    </row>
    <row r="113" spans="1:16" x14ac:dyDescent="0.25">
      <c r="A113" t="s">
        <v>1856</v>
      </c>
      <c r="B113" t="s">
        <v>2119</v>
      </c>
      <c r="C113" t="s">
        <v>3343</v>
      </c>
      <c r="D113" t="s">
        <v>3330</v>
      </c>
      <c r="H113" t="s">
        <v>3437</v>
      </c>
      <c r="I113" t="s">
        <v>1516</v>
      </c>
      <c r="J113" t="s">
        <v>1855</v>
      </c>
      <c r="L113" t="s">
        <v>1335</v>
      </c>
      <c r="N113" t="s">
        <v>1319</v>
      </c>
      <c r="O113" t="s">
        <v>3630</v>
      </c>
      <c r="P113" t="s">
        <v>3631</v>
      </c>
    </row>
    <row r="114" spans="1:16" x14ac:dyDescent="0.25">
      <c r="A114" t="s">
        <v>1860</v>
      </c>
      <c r="B114" t="s">
        <v>2119</v>
      </c>
      <c r="C114" t="s">
        <v>3333</v>
      </c>
      <c r="D114" t="s">
        <v>3344</v>
      </c>
      <c r="E114" t="s">
        <v>3632</v>
      </c>
      <c r="F114" t="s">
        <v>3344</v>
      </c>
      <c r="G114" t="s">
        <v>3346</v>
      </c>
      <c r="H114" t="s">
        <v>3448</v>
      </c>
      <c r="I114" t="s">
        <v>1333</v>
      </c>
      <c r="J114" t="s">
        <v>1334</v>
      </c>
      <c r="L114" t="s">
        <v>1396</v>
      </c>
      <c r="N114" t="s">
        <v>1319</v>
      </c>
      <c r="O114" t="s">
        <v>3633</v>
      </c>
      <c r="P114" t="s">
        <v>3634</v>
      </c>
    </row>
    <row r="115" spans="1:16" x14ac:dyDescent="0.25">
      <c r="A115" t="s">
        <v>1862</v>
      </c>
      <c r="B115" t="s">
        <v>2119</v>
      </c>
      <c r="C115" t="s">
        <v>3350</v>
      </c>
      <c r="D115" t="s">
        <v>3330</v>
      </c>
      <c r="H115" t="s">
        <v>3448</v>
      </c>
      <c r="I115" t="s">
        <v>1516</v>
      </c>
      <c r="J115" t="s">
        <v>1849</v>
      </c>
      <c r="L115" t="s">
        <v>1335</v>
      </c>
      <c r="N115" t="s">
        <v>1319</v>
      </c>
      <c r="O115" t="s">
        <v>3635</v>
      </c>
      <c r="P115" t="s">
        <v>3636</v>
      </c>
    </row>
    <row r="116" spans="1:16" x14ac:dyDescent="0.25">
      <c r="A116" t="s">
        <v>2967</v>
      </c>
      <c r="B116" t="s">
        <v>2119</v>
      </c>
      <c r="C116" t="s">
        <v>3350</v>
      </c>
      <c r="D116" t="s">
        <v>3330</v>
      </c>
      <c r="H116" t="s">
        <v>3405</v>
      </c>
      <c r="I116" t="s">
        <v>1815</v>
      </c>
      <c r="J116" t="s">
        <v>2973</v>
      </c>
      <c r="L116" t="s">
        <v>1335</v>
      </c>
      <c r="N116" t="s">
        <v>1307</v>
      </c>
      <c r="O116" t="s">
        <v>3637</v>
      </c>
      <c r="P116" t="s">
        <v>3638</v>
      </c>
    </row>
    <row r="117" spans="1:16" x14ac:dyDescent="0.25">
      <c r="A117" t="s">
        <v>2974</v>
      </c>
      <c r="B117" t="s">
        <v>2119</v>
      </c>
      <c r="C117" t="s">
        <v>3350</v>
      </c>
      <c r="D117" t="s">
        <v>3330</v>
      </c>
      <c r="H117" t="s">
        <v>3416</v>
      </c>
      <c r="I117" t="s">
        <v>1516</v>
      </c>
      <c r="J117" t="s">
        <v>1849</v>
      </c>
      <c r="L117" t="s">
        <v>1335</v>
      </c>
      <c r="N117" t="s">
        <v>1307</v>
      </c>
      <c r="O117" t="s">
        <v>3639</v>
      </c>
      <c r="P117" t="s">
        <v>3640</v>
      </c>
    </row>
    <row r="118" spans="1:16" x14ac:dyDescent="0.25">
      <c r="A118" t="s">
        <v>2977</v>
      </c>
      <c r="B118" t="s">
        <v>2119</v>
      </c>
      <c r="C118" t="s">
        <v>3350</v>
      </c>
      <c r="D118" t="s">
        <v>3330</v>
      </c>
      <c r="H118" t="s">
        <v>3398</v>
      </c>
      <c r="I118" t="s">
        <v>1333</v>
      </c>
      <c r="J118" t="s">
        <v>1334</v>
      </c>
      <c r="L118" t="s">
        <v>1396</v>
      </c>
      <c r="N118" t="s">
        <v>1307</v>
      </c>
      <c r="O118" t="s">
        <v>3641</v>
      </c>
      <c r="P118" t="s">
        <v>3642</v>
      </c>
    </row>
    <row r="119" spans="1:16" x14ac:dyDescent="0.25">
      <c r="A119" t="s">
        <v>2981</v>
      </c>
      <c r="B119" t="s">
        <v>1984</v>
      </c>
      <c r="C119" t="s">
        <v>3329</v>
      </c>
      <c r="D119" t="s">
        <v>3344</v>
      </c>
      <c r="E119" t="s">
        <v>3643</v>
      </c>
      <c r="F119" t="s">
        <v>3344</v>
      </c>
      <c r="G119" t="s">
        <v>3346</v>
      </c>
      <c r="H119" t="s">
        <v>3416</v>
      </c>
      <c r="I119" t="s">
        <v>1516</v>
      </c>
      <c r="J119" t="s">
        <v>1660</v>
      </c>
      <c r="L119" t="s">
        <v>1575</v>
      </c>
      <c r="N119" t="s">
        <v>1307</v>
      </c>
      <c r="O119" t="s">
        <v>3644</v>
      </c>
      <c r="P119" t="s">
        <v>3645</v>
      </c>
    </row>
    <row r="120" spans="1:16" x14ac:dyDescent="0.25">
      <c r="A120" t="s">
        <v>1865</v>
      </c>
      <c r="B120" t="s">
        <v>1984</v>
      </c>
      <c r="C120" t="s">
        <v>3329</v>
      </c>
      <c r="D120" t="s">
        <v>3344</v>
      </c>
      <c r="E120" t="s">
        <v>3646</v>
      </c>
      <c r="F120" t="s">
        <v>3344</v>
      </c>
      <c r="G120" t="s">
        <v>3346</v>
      </c>
      <c r="H120" t="s">
        <v>3373</v>
      </c>
      <c r="I120" t="s">
        <v>1721</v>
      </c>
      <c r="J120" t="s">
        <v>1871</v>
      </c>
      <c r="L120" t="s">
        <v>1575</v>
      </c>
      <c r="N120" t="s">
        <v>1319</v>
      </c>
      <c r="O120" t="s">
        <v>3647</v>
      </c>
      <c r="P120" t="s">
        <v>3648</v>
      </c>
    </row>
    <row r="121" spans="1:16" x14ac:dyDescent="0.25">
      <c r="A121" t="s">
        <v>1872</v>
      </c>
      <c r="B121" t="s">
        <v>1984</v>
      </c>
      <c r="C121" t="s">
        <v>3356</v>
      </c>
      <c r="D121" t="s">
        <v>3344</v>
      </c>
      <c r="E121" t="s">
        <v>3649</v>
      </c>
      <c r="F121" t="s">
        <v>3344</v>
      </c>
      <c r="G121" t="s">
        <v>3346</v>
      </c>
      <c r="H121" t="s">
        <v>3412</v>
      </c>
      <c r="I121" t="s">
        <v>1333</v>
      </c>
      <c r="J121" t="s">
        <v>1334</v>
      </c>
      <c r="L121" t="s">
        <v>1396</v>
      </c>
      <c r="N121" t="s">
        <v>1319</v>
      </c>
      <c r="O121" t="s">
        <v>3650</v>
      </c>
      <c r="P121" t="s">
        <v>3651</v>
      </c>
    </row>
    <row r="122" spans="1:16" x14ac:dyDescent="0.25">
      <c r="A122" t="s">
        <v>2983</v>
      </c>
      <c r="B122" t="s">
        <v>1984</v>
      </c>
      <c r="C122" t="s">
        <v>3333</v>
      </c>
      <c r="D122" t="s">
        <v>3344</v>
      </c>
      <c r="E122" t="s">
        <v>3652</v>
      </c>
      <c r="F122" t="s">
        <v>3344</v>
      </c>
      <c r="G122" t="s">
        <v>3346</v>
      </c>
      <c r="H122" t="s">
        <v>3606</v>
      </c>
      <c r="I122" t="s">
        <v>2230</v>
      </c>
      <c r="J122" t="s">
        <v>2231</v>
      </c>
      <c r="L122" t="s">
        <v>1575</v>
      </c>
      <c r="N122" t="s">
        <v>1307</v>
      </c>
      <c r="O122" t="s">
        <v>3653</v>
      </c>
      <c r="P122" t="s">
        <v>3654</v>
      </c>
    </row>
    <row r="123" spans="1:16" x14ac:dyDescent="0.25">
      <c r="A123" t="s">
        <v>1874</v>
      </c>
      <c r="B123" t="s">
        <v>1984</v>
      </c>
      <c r="C123" t="s">
        <v>3329</v>
      </c>
      <c r="D123" t="s">
        <v>3344</v>
      </c>
      <c r="E123" t="s">
        <v>3655</v>
      </c>
      <c r="F123" t="s">
        <v>3344</v>
      </c>
      <c r="G123" t="s">
        <v>3361</v>
      </c>
      <c r="H123" t="s">
        <v>3466</v>
      </c>
      <c r="I123" t="s">
        <v>1366</v>
      </c>
      <c r="J123" t="s">
        <v>1741</v>
      </c>
      <c r="L123" t="s">
        <v>1335</v>
      </c>
      <c r="N123" t="s">
        <v>1319</v>
      </c>
      <c r="O123" t="s">
        <v>3656</v>
      </c>
      <c r="P123" t="s">
        <v>3657</v>
      </c>
    </row>
    <row r="124" spans="1:16" x14ac:dyDescent="0.25">
      <c r="A124" t="s">
        <v>1877</v>
      </c>
      <c r="B124" t="s">
        <v>1984</v>
      </c>
      <c r="C124" t="s">
        <v>3336</v>
      </c>
      <c r="D124" t="s">
        <v>3344</v>
      </c>
      <c r="E124" t="s">
        <v>3658</v>
      </c>
      <c r="F124" t="s">
        <v>3344</v>
      </c>
      <c r="G124" t="s">
        <v>3346</v>
      </c>
      <c r="H124" t="s">
        <v>3414</v>
      </c>
      <c r="I124" t="s">
        <v>1721</v>
      </c>
      <c r="J124" t="s">
        <v>1722</v>
      </c>
      <c r="L124" t="s">
        <v>1396</v>
      </c>
      <c r="N124" t="s">
        <v>1319</v>
      </c>
      <c r="O124" t="s">
        <v>3659</v>
      </c>
      <c r="P124" t="s">
        <v>3660</v>
      </c>
    </row>
    <row r="125" spans="1:16" x14ac:dyDescent="0.25">
      <c r="A125" t="s">
        <v>1880</v>
      </c>
      <c r="B125" t="s">
        <v>1984</v>
      </c>
      <c r="C125" t="s">
        <v>3336</v>
      </c>
      <c r="D125" t="s">
        <v>3344</v>
      </c>
      <c r="E125" t="s">
        <v>3661</v>
      </c>
      <c r="F125" t="s">
        <v>3344</v>
      </c>
      <c r="G125" t="s">
        <v>3346</v>
      </c>
      <c r="H125" t="s">
        <v>3437</v>
      </c>
      <c r="I125" t="s">
        <v>1333</v>
      </c>
      <c r="J125" t="s">
        <v>1334</v>
      </c>
      <c r="L125" t="s">
        <v>1396</v>
      </c>
      <c r="N125" t="s">
        <v>1319</v>
      </c>
      <c r="O125" t="s">
        <v>3662</v>
      </c>
      <c r="P125" t="s">
        <v>3663</v>
      </c>
    </row>
    <row r="126" spans="1:16" x14ac:dyDescent="0.25">
      <c r="A126" t="s">
        <v>1883</v>
      </c>
      <c r="B126" t="s">
        <v>1984</v>
      </c>
      <c r="C126" t="s">
        <v>3329</v>
      </c>
      <c r="D126" t="s">
        <v>3344</v>
      </c>
      <c r="E126" t="s">
        <v>3664</v>
      </c>
      <c r="F126" t="s">
        <v>3344</v>
      </c>
      <c r="G126" t="s">
        <v>3346</v>
      </c>
      <c r="H126" t="s">
        <v>3357</v>
      </c>
      <c r="I126" t="s">
        <v>1887</v>
      </c>
      <c r="J126" t="s">
        <v>1888</v>
      </c>
      <c r="L126" t="s">
        <v>1575</v>
      </c>
      <c r="N126" t="s">
        <v>1319</v>
      </c>
      <c r="O126" t="s">
        <v>3665</v>
      </c>
      <c r="P126" t="s">
        <v>3666</v>
      </c>
    </row>
    <row r="127" spans="1:16" x14ac:dyDescent="0.25">
      <c r="A127" t="s">
        <v>1889</v>
      </c>
      <c r="B127" t="s">
        <v>1984</v>
      </c>
      <c r="C127" t="s">
        <v>3333</v>
      </c>
      <c r="D127" t="s">
        <v>3344</v>
      </c>
      <c r="E127" t="s">
        <v>3667</v>
      </c>
      <c r="F127" t="s">
        <v>3344</v>
      </c>
      <c r="G127" t="s">
        <v>3346</v>
      </c>
      <c r="H127" t="s">
        <v>3418</v>
      </c>
      <c r="I127" t="s">
        <v>1516</v>
      </c>
      <c r="J127" t="s">
        <v>1660</v>
      </c>
      <c r="L127" t="s">
        <v>1575</v>
      </c>
      <c r="N127" t="s">
        <v>1319</v>
      </c>
      <c r="O127" t="s">
        <v>3668</v>
      </c>
      <c r="P127" t="s">
        <v>3669</v>
      </c>
    </row>
    <row r="128" spans="1:16" x14ac:dyDescent="0.25">
      <c r="A128" t="s">
        <v>1893</v>
      </c>
      <c r="B128" t="s">
        <v>1984</v>
      </c>
      <c r="C128" t="s">
        <v>3356</v>
      </c>
      <c r="D128" t="s">
        <v>3344</v>
      </c>
      <c r="E128" t="s">
        <v>3670</v>
      </c>
      <c r="F128" t="s">
        <v>3372</v>
      </c>
      <c r="G128" t="s">
        <v>3346</v>
      </c>
      <c r="H128" t="s">
        <v>3422</v>
      </c>
      <c r="I128" t="s">
        <v>1333</v>
      </c>
      <c r="J128" t="s">
        <v>1334</v>
      </c>
      <c r="L128" t="s">
        <v>1396</v>
      </c>
      <c r="N128" t="s">
        <v>1319</v>
      </c>
      <c r="O128" t="s">
        <v>3671</v>
      </c>
      <c r="P128" t="s">
        <v>3672</v>
      </c>
    </row>
    <row r="129" spans="1:16" x14ac:dyDescent="0.25">
      <c r="A129" t="s">
        <v>1896</v>
      </c>
      <c r="B129" t="s">
        <v>1984</v>
      </c>
      <c r="C129" t="s">
        <v>3336</v>
      </c>
      <c r="D129" t="s">
        <v>3344</v>
      </c>
      <c r="E129" t="s">
        <v>3673</v>
      </c>
      <c r="F129" t="s">
        <v>3344</v>
      </c>
      <c r="G129" t="s">
        <v>3346</v>
      </c>
      <c r="H129" t="s">
        <v>3448</v>
      </c>
      <c r="I129" t="s">
        <v>1711</v>
      </c>
      <c r="J129" t="s">
        <v>1712</v>
      </c>
      <c r="L129" t="s">
        <v>1396</v>
      </c>
      <c r="N129" t="s">
        <v>1319</v>
      </c>
      <c r="O129" t="s">
        <v>3674</v>
      </c>
      <c r="P129" t="s">
        <v>3675</v>
      </c>
    </row>
    <row r="130" spans="1:16" x14ac:dyDescent="0.25">
      <c r="A130" t="s">
        <v>2986</v>
      </c>
      <c r="B130" t="s">
        <v>1984</v>
      </c>
      <c r="C130" t="s">
        <v>3333</v>
      </c>
      <c r="D130" t="s">
        <v>3344</v>
      </c>
      <c r="E130" t="s">
        <v>3676</v>
      </c>
      <c r="F130" t="s">
        <v>3344</v>
      </c>
      <c r="G130" t="s">
        <v>3346</v>
      </c>
      <c r="H130" t="s">
        <v>3347</v>
      </c>
      <c r="I130" t="s">
        <v>1333</v>
      </c>
      <c r="J130" t="s">
        <v>1334</v>
      </c>
      <c r="L130" t="s">
        <v>1396</v>
      </c>
      <c r="N130" t="s">
        <v>1307</v>
      </c>
      <c r="O130" t="s">
        <v>3677</v>
      </c>
      <c r="P130" t="s">
        <v>3678</v>
      </c>
    </row>
    <row r="131" spans="1:16" x14ac:dyDescent="0.25">
      <c r="A131" t="s">
        <v>2988</v>
      </c>
      <c r="B131" t="s">
        <v>1984</v>
      </c>
      <c r="C131" t="s">
        <v>3329</v>
      </c>
      <c r="D131" t="s">
        <v>3344</v>
      </c>
      <c r="E131" t="s">
        <v>3679</v>
      </c>
      <c r="F131" t="s">
        <v>3471</v>
      </c>
      <c r="G131" t="s">
        <v>3346</v>
      </c>
      <c r="H131" t="s">
        <v>3442</v>
      </c>
      <c r="I131" t="s">
        <v>1333</v>
      </c>
      <c r="J131" t="s">
        <v>1334</v>
      </c>
      <c r="L131" t="s">
        <v>1396</v>
      </c>
      <c r="N131" t="s">
        <v>1307</v>
      </c>
      <c r="O131" t="s">
        <v>3680</v>
      </c>
      <c r="P131" t="s">
        <v>3681</v>
      </c>
    </row>
    <row r="132" spans="1:16" x14ac:dyDescent="0.25">
      <c r="A132" t="s">
        <v>1898</v>
      </c>
      <c r="B132" t="s">
        <v>1984</v>
      </c>
      <c r="C132" t="s">
        <v>3336</v>
      </c>
      <c r="D132" t="s">
        <v>3344</v>
      </c>
      <c r="E132" t="s">
        <v>3682</v>
      </c>
      <c r="F132" t="s">
        <v>3683</v>
      </c>
      <c r="G132" t="s">
        <v>3361</v>
      </c>
      <c r="H132" t="s">
        <v>3331</v>
      </c>
      <c r="I132" t="s">
        <v>1333</v>
      </c>
      <c r="J132" t="s">
        <v>1334</v>
      </c>
      <c r="L132" t="s">
        <v>1396</v>
      </c>
      <c r="N132" t="s">
        <v>1319</v>
      </c>
      <c r="O132" t="s">
        <v>3684</v>
      </c>
      <c r="P132" t="s">
        <v>3685</v>
      </c>
    </row>
    <row r="133" spans="1:16" x14ac:dyDescent="0.25">
      <c r="A133" t="s">
        <v>1900</v>
      </c>
      <c r="B133" t="s">
        <v>1984</v>
      </c>
      <c r="C133" t="s">
        <v>3329</v>
      </c>
      <c r="D133" t="s">
        <v>3344</v>
      </c>
      <c r="E133" t="s">
        <v>3686</v>
      </c>
      <c r="F133" t="s">
        <v>3372</v>
      </c>
      <c r="G133" t="s">
        <v>3346</v>
      </c>
      <c r="H133" t="s">
        <v>3422</v>
      </c>
      <c r="I133" t="s">
        <v>1524</v>
      </c>
      <c r="J133" t="s">
        <v>1525</v>
      </c>
      <c r="L133" t="s">
        <v>1335</v>
      </c>
      <c r="N133" t="s">
        <v>1319</v>
      </c>
      <c r="O133" t="s">
        <v>3687</v>
      </c>
      <c r="P133" t="s">
        <v>3688</v>
      </c>
    </row>
    <row r="134" spans="1:16" x14ac:dyDescent="0.25">
      <c r="A134" t="s">
        <v>1906</v>
      </c>
      <c r="B134" t="s">
        <v>1984</v>
      </c>
      <c r="C134" t="s">
        <v>3333</v>
      </c>
      <c r="D134" t="s">
        <v>3344</v>
      </c>
      <c r="E134" t="s">
        <v>3689</v>
      </c>
      <c r="F134" t="s">
        <v>3344</v>
      </c>
      <c r="G134" t="s">
        <v>3346</v>
      </c>
      <c r="H134" t="s">
        <v>3480</v>
      </c>
      <c r="I134" t="s">
        <v>1721</v>
      </c>
      <c r="J134" t="s">
        <v>1908</v>
      </c>
      <c r="L134" t="s">
        <v>1575</v>
      </c>
      <c r="N134" t="s">
        <v>1319</v>
      </c>
      <c r="O134" t="s">
        <v>3690</v>
      </c>
      <c r="P134" t="s">
        <v>3691</v>
      </c>
    </row>
    <row r="135" spans="1:16" x14ac:dyDescent="0.25">
      <c r="A135" t="s">
        <v>1909</v>
      </c>
      <c r="B135" t="s">
        <v>1984</v>
      </c>
      <c r="C135" t="s">
        <v>3356</v>
      </c>
      <c r="D135" t="s">
        <v>3344</v>
      </c>
      <c r="E135" t="s">
        <v>3692</v>
      </c>
      <c r="F135" t="s">
        <v>3344</v>
      </c>
      <c r="G135" t="s">
        <v>3346</v>
      </c>
      <c r="H135" t="s">
        <v>3521</v>
      </c>
      <c r="I135" t="s">
        <v>1721</v>
      </c>
      <c r="J135" t="s">
        <v>1908</v>
      </c>
      <c r="L135" t="s">
        <v>1335</v>
      </c>
      <c r="N135" t="s">
        <v>1319</v>
      </c>
      <c r="O135" t="s">
        <v>3693</v>
      </c>
      <c r="P135" t="s">
        <v>3694</v>
      </c>
    </row>
    <row r="136" spans="1:16" x14ac:dyDescent="0.25">
      <c r="A136" t="s">
        <v>1913</v>
      </c>
      <c r="B136" t="s">
        <v>1984</v>
      </c>
      <c r="C136" t="s">
        <v>3333</v>
      </c>
      <c r="D136" t="s">
        <v>3344</v>
      </c>
      <c r="E136" t="s">
        <v>3695</v>
      </c>
      <c r="F136" t="s">
        <v>3372</v>
      </c>
      <c r="G136" t="s">
        <v>3352</v>
      </c>
      <c r="H136" t="s">
        <v>3357</v>
      </c>
      <c r="I136" t="s">
        <v>1524</v>
      </c>
      <c r="J136" t="s">
        <v>1525</v>
      </c>
      <c r="L136" t="s">
        <v>1396</v>
      </c>
      <c r="N136" t="s">
        <v>1319</v>
      </c>
      <c r="O136" t="s">
        <v>3696</v>
      </c>
      <c r="P136" t="s">
        <v>3697</v>
      </c>
    </row>
    <row r="137" spans="1:16" x14ac:dyDescent="0.25">
      <c r="A137" t="s">
        <v>1916</v>
      </c>
      <c r="B137" t="s">
        <v>1984</v>
      </c>
      <c r="C137" t="s">
        <v>3356</v>
      </c>
      <c r="D137" t="s">
        <v>3344</v>
      </c>
      <c r="E137" t="s">
        <v>3698</v>
      </c>
      <c r="F137" t="s">
        <v>3372</v>
      </c>
      <c r="G137" t="s">
        <v>3346</v>
      </c>
      <c r="H137" t="s">
        <v>3466</v>
      </c>
      <c r="I137" t="s">
        <v>1333</v>
      </c>
      <c r="J137" t="s">
        <v>1334</v>
      </c>
      <c r="L137" t="s">
        <v>1396</v>
      </c>
      <c r="N137" t="s">
        <v>1319</v>
      </c>
      <c r="O137" t="s">
        <v>3699</v>
      </c>
      <c r="P137" t="s">
        <v>3700</v>
      </c>
    </row>
    <row r="138" spans="1:16" x14ac:dyDescent="0.25">
      <c r="A138" t="s">
        <v>1919</v>
      </c>
      <c r="B138" t="s">
        <v>1984</v>
      </c>
      <c r="C138" t="s">
        <v>3336</v>
      </c>
      <c r="D138" t="s">
        <v>3344</v>
      </c>
      <c r="E138" t="s">
        <v>3701</v>
      </c>
      <c r="F138" t="s">
        <v>3344</v>
      </c>
      <c r="G138" t="s">
        <v>3346</v>
      </c>
      <c r="H138" t="s">
        <v>3458</v>
      </c>
      <c r="I138" t="s">
        <v>1516</v>
      </c>
      <c r="J138" t="s">
        <v>1660</v>
      </c>
      <c r="L138" t="s">
        <v>1396</v>
      </c>
      <c r="N138" t="s">
        <v>1319</v>
      </c>
      <c r="O138" t="s">
        <v>3702</v>
      </c>
      <c r="P138" t="s">
        <v>3703</v>
      </c>
    </row>
    <row r="139" spans="1:16" x14ac:dyDescent="0.25">
      <c r="A139" t="s">
        <v>1922</v>
      </c>
      <c r="B139" t="s">
        <v>1984</v>
      </c>
      <c r="C139" t="s">
        <v>3343</v>
      </c>
      <c r="D139" t="s">
        <v>3330</v>
      </c>
      <c r="H139" t="s">
        <v>3353</v>
      </c>
      <c r="I139" t="s">
        <v>1926</v>
      </c>
      <c r="J139" t="s">
        <v>1927</v>
      </c>
      <c r="L139" t="s">
        <v>1335</v>
      </c>
      <c r="N139" t="s">
        <v>1319</v>
      </c>
      <c r="O139" t="s">
        <v>3704</v>
      </c>
      <c r="P139" t="s">
        <v>3705</v>
      </c>
    </row>
    <row r="140" spans="1:16" x14ac:dyDescent="0.25">
      <c r="A140" t="s">
        <v>2990</v>
      </c>
      <c r="B140" t="s">
        <v>1984</v>
      </c>
      <c r="C140" t="s">
        <v>3343</v>
      </c>
      <c r="D140" t="s">
        <v>3330</v>
      </c>
      <c r="H140" t="s">
        <v>3416</v>
      </c>
      <c r="I140" t="s">
        <v>1926</v>
      </c>
      <c r="J140" t="s">
        <v>1927</v>
      </c>
      <c r="L140" t="s">
        <v>1335</v>
      </c>
      <c r="N140" t="s">
        <v>1307</v>
      </c>
      <c r="O140" t="s">
        <v>3706</v>
      </c>
      <c r="P140" t="s">
        <v>3707</v>
      </c>
    </row>
    <row r="141" spans="1:16" x14ac:dyDescent="0.25">
      <c r="A141" t="s">
        <v>1928</v>
      </c>
      <c r="B141" t="s">
        <v>1984</v>
      </c>
      <c r="C141" t="s">
        <v>3343</v>
      </c>
      <c r="D141" t="s">
        <v>3330</v>
      </c>
      <c r="H141" t="s">
        <v>3365</v>
      </c>
      <c r="I141" t="s">
        <v>1926</v>
      </c>
      <c r="J141" t="s">
        <v>1933</v>
      </c>
      <c r="L141" t="s">
        <v>1335</v>
      </c>
      <c r="N141" t="s">
        <v>1319</v>
      </c>
      <c r="O141" t="s">
        <v>3708</v>
      </c>
      <c r="P141" t="s">
        <v>3709</v>
      </c>
    </row>
    <row r="142" spans="1:16" x14ac:dyDescent="0.25">
      <c r="A142" t="s">
        <v>1934</v>
      </c>
      <c r="B142" t="s">
        <v>1984</v>
      </c>
      <c r="C142" t="s">
        <v>3343</v>
      </c>
      <c r="D142" t="s">
        <v>3330</v>
      </c>
      <c r="H142" t="s">
        <v>3347</v>
      </c>
      <c r="I142" t="s">
        <v>1926</v>
      </c>
      <c r="J142" t="s">
        <v>1933</v>
      </c>
      <c r="L142" t="s">
        <v>1396</v>
      </c>
      <c r="N142" t="s">
        <v>1319</v>
      </c>
      <c r="O142" t="s">
        <v>3710</v>
      </c>
      <c r="P142" t="s">
        <v>3711</v>
      </c>
    </row>
    <row r="143" spans="1:16" x14ac:dyDescent="0.25">
      <c r="A143" t="s">
        <v>1940</v>
      </c>
      <c r="B143" t="s">
        <v>1984</v>
      </c>
      <c r="C143" t="s">
        <v>3350</v>
      </c>
      <c r="D143" t="s">
        <v>3330</v>
      </c>
      <c r="H143" t="s">
        <v>3425</v>
      </c>
      <c r="I143" t="s">
        <v>1926</v>
      </c>
      <c r="J143" t="s">
        <v>1927</v>
      </c>
      <c r="L143" t="s">
        <v>1335</v>
      </c>
      <c r="N143" t="s">
        <v>1319</v>
      </c>
      <c r="O143" t="s">
        <v>3712</v>
      </c>
      <c r="P143" t="s">
        <v>3713</v>
      </c>
    </row>
    <row r="144" spans="1:16" x14ac:dyDescent="0.25">
      <c r="A144" t="s">
        <v>2992</v>
      </c>
      <c r="B144" t="s">
        <v>1984</v>
      </c>
      <c r="C144" t="s">
        <v>3350</v>
      </c>
      <c r="D144" t="s">
        <v>3330</v>
      </c>
      <c r="H144" t="s">
        <v>3334</v>
      </c>
      <c r="I144" t="s">
        <v>1926</v>
      </c>
      <c r="J144" t="s">
        <v>1933</v>
      </c>
      <c r="L144" t="s">
        <v>1335</v>
      </c>
      <c r="N144" t="s">
        <v>1307</v>
      </c>
      <c r="O144" t="s">
        <v>3714</v>
      </c>
      <c r="P144" t="s">
        <v>3715</v>
      </c>
    </row>
    <row r="145" spans="1:16" x14ac:dyDescent="0.25">
      <c r="A145" t="s">
        <v>1946</v>
      </c>
      <c r="B145" t="s">
        <v>1984</v>
      </c>
      <c r="C145" t="s">
        <v>3350</v>
      </c>
      <c r="D145" t="s">
        <v>3330</v>
      </c>
      <c r="H145" t="s">
        <v>3463</v>
      </c>
      <c r="I145" t="s">
        <v>1926</v>
      </c>
      <c r="J145" t="s">
        <v>1933</v>
      </c>
      <c r="L145" t="s">
        <v>1575</v>
      </c>
      <c r="N145" t="s">
        <v>1319</v>
      </c>
      <c r="O145" t="s">
        <v>3716</v>
      </c>
      <c r="P145" t="s">
        <v>3717</v>
      </c>
    </row>
    <row r="146" spans="1:16" x14ac:dyDescent="0.25">
      <c r="A146" t="s">
        <v>2998</v>
      </c>
      <c r="B146" t="s">
        <v>1984</v>
      </c>
      <c r="C146" t="s">
        <v>3350</v>
      </c>
      <c r="D146" t="s">
        <v>3330</v>
      </c>
      <c r="H146" t="s">
        <v>3406</v>
      </c>
      <c r="I146" t="s">
        <v>1926</v>
      </c>
      <c r="J146" t="s">
        <v>1927</v>
      </c>
      <c r="L146" t="s">
        <v>1335</v>
      </c>
      <c r="N146" t="s">
        <v>1307</v>
      </c>
      <c r="O146" t="s">
        <v>3718</v>
      </c>
      <c r="P146" t="s">
        <v>3719</v>
      </c>
    </row>
    <row r="147" spans="1:16" x14ac:dyDescent="0.25">
      <c r="A147" t="s">
        <v>1951</v>
      </c>
      <c r="B147" t="s">
        <v>3720</v>
      </c>
      <c r="C147" t="s">
        <v>3329</v>
      </c>
      <c r="D147" t="s">
        <v>3344</v>
      </c>
      <c r="E147" t="s">
        <v>3721</v>
      </c>
      <c r="F147" t="s">
        <v>3344</v>
      </c>
      <c r="G147" t="s">
        <v>3346</v>
      </c>
      <c r="H147" t="s">
        <v>3425</v>
      </c>
      <c r="I147" t="s">
        <v>1516</v>
      </c>
      <c r="J147" t="s">
        <v>1660</v>
      </c>
      <c r="L147" t="s">
        <v>1396</v>
      </c>
      <c r="N147" t="s">
        <v>1319</v>
      </c>
      <c r="O147" t="s">
        <v>3722</v>
      </c>
      <c r="P147" t="s">
        <v>3723</v>
      </c>
    </row>
    <row r="148" spans="1:16" x14ac:dyDescent="0.25">
      <c r="A148" t="s">
        <v>3000</v>
      </c>
      <c r="B148" t="s">
        <v>3720</v>
      </c>
      <c r="C148" t="s">
        <v>3333</v>
      </c>
      <c r="D148" t="s">
        <v>3344</v>
      </c>
      <c r="E148" t="s">
        <v>3724</v>
      </c>
      <c r="F148" t="s">
        <v>3372</v>
      </c>
      <c r="G148" t="s">
        <v>3346</v>
      </c>
      <c r="H148" t="s">
        <v>3469</v>
      </c>
      <c r="I148" t="s">
        <v>1721</v>
      </c>
      <c r="J148" t="s">
        <v>1908</v>
      </c>
      <c r="L148" t="s">
        <v>1575</v>
      </c>
      <c r="N148" t="s">
        <v>1307</v>
      </c>
      <c r="O148" t="s">
        <v>3725</v>
      </c>
      <c r="P148" t="s">
        <v>3726</v>
      </c>
    </row>
    <row r="149" spans="1:16" x14ac:dyDescent="0.25">
      <c r="A149" t="s">
        <v>3003</v>
      </c>
      <c r="B149" t="s">
        <v>3720</v>
      </c>
      <c r="C149" t="s">
        <v>3333</v>
      </c>
      <c r="D149" t="s">
        <v>3344</v>
      </c>
      <c r="E149" t="s">
        <v>3727</v>
      </c>
      <c r="F149" t="s">
        <v>3344</v>
      </c>
      <c r="G149" t="s">
        <v>3346</v>
      </c>
      <c r="H149" t="s">
        <v>3390</v>
      </c>
      <c r="I149" t="s">
        <v>1524</v>
      </c>
      <c r="J149" t="s">
        <v>1525</v>
      </c>
      <c r="L149" t="s">
        <v>1396</v>
      </c>
      <c r="N149" t="s">
        <v>1307</v>
      </c>
      <c r="O149" t="s">
        <v>3728</v>
      </c>
      <c r="P149" t="s">
        <v>3729</v>
      </c>
    </row>
    <row r="150" spans="1:16" x14ac:dyDescent="0.25">
      <c r="A150" t="s">
        <v>3007</v>
      </c>
      <c r="B150" t="s">
        <v>3720</v>
      </c>
      <c r="C150" t="s">
        <v>3329</v>
      </c>
      <c r="D150" t="s">
        <v>3344</v>
      </c>
      <c r="E150" t="s">
        <v>3730</v>
      </c>
      <c r="F150" t="s">
        <v>3344</v>
      </c>
      <c r="G150" t="s">
        <v>3346</v>
      </c>
      <c r="H150" t="s">
        <v>3378</v>
      </c>
      <c r="I150" t="s">
        <v>1333</v>
      </c>
      <c r="J150" t="s">
        <v>1334</v>
      </c>
      <c r="L150" t="s">
        <v>1396</v>
      </c>
      <c r="N150" t="s">
        <v>1307</v>
      </c>
      <c r="O150" t="s">
        <v>3731</v>
      </c>
      <c r="P150" t="s">
        <v>3732</v>
      </c>
    </row>
    <row r="151" spans="1:16" x14ac:dyDescent="0.25">
      <c r="A151" t="s">
        <v>1956</v>
      </c>
      <c r="B151" t="s">
        <v>3720</v>
      </c>
      <c r="C151" t="s">
        <v>3336</v>
      </c>
      <c r="D151" t="s">
        <v>3330</v>
      </c>
      <c r="H151" t="s">
        <v>3466</v>
      </c>
      <c r="I151" t="s">
        <v>1711</v>
      </c>
      <c r="J151" t="s">
        <v>1712</v>
      </c>
      <c r="L151" t="s">
        <v>1335</v>
      </c>
      <c r="N151" t="s">
        <v>1319</v>
      </c>
      <c r="O151" t="s">
        <v>3733</v>
      </c>
      <c r="P151" t="s">
        <v>3734</v>
      </c>
    </row>
    <row r="152" spans="1:16" x14ac:dyDescent="0.25">
      <c r="A152" t="s">
        <v>1959</v>
      </c>
      <c r="B152" t="s">
        <v>3720</v>
      </c>
      <c r="C152" t="s">
        <v>3356</v>
      </c>
      <c r="D152" t="s">
        <v>3330</v>
      </c>
      <c r="H152" t="s">
        <v>3334</v>
      </c>
      <c r="I152" t="s">
        <v>1711</v>
      </c>
      <c r="J152" t="s">
        <v>1712</v>
      </c>
      <c r="L152" t="s">
        <v>1335</v>
      </c>
      <c r="N152" t="s">
        <v>1319</v>
      </c>
      <c r="O152" t="s">
        <v>3735</v>
      </c>
      <c r="P152" t="s">
        <v>3736</v>
      </c>
    </row>
    <row r="153" spans="1:16" x14ac:dyDescent="0.25">
      <c r="A153" t="s">
        <v>3013</v>
      </c>
      <c r="B153" t="s">
        <v>3720</v>
      </c>
      <c r="C153" t="s">
        <v>3336</v>
      </c>
      <c r="D153" t="s">
        <v>3330</v>
      </c>
      <c r="H153" t="s">
        <v>3331</v>
      </c>
      <c r="I153" t="s">
        <v>1711</v>
      </c>
      <c r="J153" t="s">
        <v>1712</v>
      </c>
      <c r="L153" t="s">
        <v>1335</v>
      </c>
      <c r="N153" t="s">
        <v>1307</v>
      </c>
      <c r="O153" t="s">
        <v>3737</v>
      </c>
      <c r="P153" t="s">
        <v>3738</v>
      </c>
    </row>
    <row r="154" spans="1:16" x14ac:dyDescent="0.25">
      <c r="A154" t="s">
        <v>1964</v>
      </c>
      <c r="B154" t="s">
        <v>3720</v>
      </c>
      <c r="C154" t="s">
        <v>3356</v>
      </c>
      <c r="D154" t="s">
        <v>3330</v>
      </c>
      <c r="H154" t="s">
        <v>3478</v>
      </c>
      <c r="I154" t="s">
        <v>1711</v>
      </c>
      <c r="J154" t="s">
        <v>1712</v>
      </c>
      <c r="L154" t="s">
        <v>1335</v>
      </c>
      <c r="N154" t="s">
        <v>1319</v>
      </c>
      <c r="O154" t="s">
        <v>3739</v>
      </c>
      <c r="P154" t="s">
        <v>3740</v>
      </c>
    </row>
    <row r="155" spans="1:16" x14ac:dyDescent="0.25">
      <c r="A155" t="s">
        <v>3015</v>
      </c>
      <c r="B155" t="s">
        <v>3720</v>
      </c>
      <c r="C155" t="s">
        <v>3333</v>
      </c>
      <c r="D155" t="s">
        <v>3344</v>
      </c>
      <c r="E155" t="s">
        <v>3741</v>
      </c>
      <c r="F155" t="s">
        <v>3471</v>
      </c>
      <c r="G155" t="s">
        <v>3346</v>
      </c>
      <c r="H155" t="s">
        <v>3422</v>
      </c>
      <c r="I155" t="s">
        <v>1516</v>
      </c>
      <c r="J155" t="s">
        <v>2916</v>
      </c>
      <c r="L155" t="s">
        <v>1396</v>
      </c>
      <c r="N155" t="s">
        <v>1307</v>
      </c>
      <c r="O155" t="s">
        <v>3742</v>
      </c>
      <c r="P155" t="s">
        <v>3743</v>
      </c>
    </row>
    <row r="156" spans="1:16" x14ac:dyDescent="0.25">
      <c r="A156" t="s">
        <v>1968</v>
      </c>
      <c r="B156" t="s">
        <v>3720</v>
      </c>
      <c r="C156" t="s">
        <v>3343</v>
      </c>
      <c r="D156" t="s">
        <v>3330</v>
      </c>
      <c r="H156" t="s">
        <v>3466</v>
      </c>
      <c r="I156" t="s">
        <v>1757</v>
      </c>
      <c r="J156" t="s">
        <v>1971</v>
      </c>
      <c r="L156" t="s">
        <v>1335</v>
      </c>
      <c r="N156" t="s">
        <v>1319</v>
      </c>
      <c r="O156" t="s">
        <v>3744</v>
      </c>
      <c r="P156" t="s">
        <v>3745</v>
      </c>
    </row>
    <row r="157" spans="1:16" x14ac:dyDescent="0.25">
      <c r="A157" t="s">
        <v>1972</v>
      </c>
      <c r="B157" t="s">
        <v>3720</v>
      </c>
      <c r="C157" t="s">
        <v>3343</v>
      </c>
      <c r="D157" t="s">
        <v>3330</v>
      </c>
      <c r="H157" t="s">
        <v>3347</v>
      </c>
      <c r="I157" t="s">
        <v>1757</v>
      </c>
      <c r="J157" t="s">
        <v>1971</v>
      </c>
      <c r="L157" t="s">
        <v>1335</v>
      </c>
      <c r="N157" t="s">
        <v>1319</v>
      </c>
      <c r="O157" t="s">
        <v>3746</v>
      </c>
      <c r="P157" t="s">
        <v>3747</v>
      </c>
    </row>
    <row r="158" spans="1:16" x14ac:dyDescent="0.25">
      <c r="A158" t="s">
        <v>3019</v>
      </c>
      <c r="B158" t="s">
        <v>3720</v>
      </c>
      <c r="C158" t="s">
        <v>3343</v>
      </c>
      <c r="D158" t="s">
        <v>3330</v>
      </c>
      <c r="H158" t="s">
        <v>3403</v>
      </c>
      <c r="I158" t="s">
        <v>1757</v>
      </c>
      <c r="J158" t="s">
        <v>1971</v>
      </c>
      <c r="L158" t="s">
        <v>1335</v>
      </c>
      <c r="N158" t="s">
        <v>1307</v>
      </c>
      <c r="O158" t="s">
        <v>3748</v>
      </c>
      <c r="P158" t="s">
        <v>3749</v>
      </c>
    </row>
    <row r="159" spans="1:16" x14ac:dyDescent="0.25">
      <c r="A159" t="s">
        <v>1977</v>
      </c>
      <c r="B159" t="s">
        <v>3720</v>
      </c>
      <c r="C159" t="s">
        <v>3343</v>
      </c>
      <c r="D159" t="s">
        <v>3330</v>
      </c>
      <c r="H159" t="s">
        <v>3434</v>
      </c>
      <c r="I159" t="s">
        <v>1757</v>
      </c>
      <c r="J159" t="s">
        <v>1971</v>
      </c>
      <c r="L159" t="s">
        <v>1335</v>
      </c>
      <c r="N159" t="s">
        <v>1319</v>
      </c>
      <c r="O159" t="s">
        <v>3750</v>
      </c>
      <c r="P159" t="s">
        <v>3751</v>
      </c>
    </row>
    <row r="160" spans="1:16" x14ac:dyDescent="0.25">
      <c r="A160" t="s">
        <v>1981</v>
      </c>
      <c r="B160" t="s">
        <v>3720</v>
      </c>
      <c r="C160" t="s">
        <v>3356</v>
      </c>
      <c r="D160" t="s">
        <v>3330</v>
      </c>
      <c r="H160" t="s">
        <v>3465</v>
      </c>
      <c r="I160" t="s">
        <v>1711</v>
      </c>
      <c r="J160" t="s">
        <v>1712</v>
      </c>
      <c r="L160" t="s">
        <v>1335</v>
      </c>
      <c r="N160" t="s">
        <v>1319</v>
      </c>
      <c r="O160" t="s">
        <v>3752</v>
      </c>
      <c r="P160" t="s">
        <v>3753</v>
      </c>
    </row>
    <row r="161" spans="1:16" x14ac:dyDescent="0.25">
      <c r="A161" t="s">
        <v>1988</v>
      </c>
      <c r="B161" t="s">
        <v>3720</v>
      </c>
      <c r="C161" t="s">
        <v>3336</v>
      </c>
      <c r="D161" t="s">
        <v>3330</v>
      </c>
      <c r="H161" t="s">
        <v>3373</v>
      </c>
      <c r="I161" t="s">
        <v>1711</v>
      </c>
      <c r="J161" t="s">
        <v>1712</v>
      </c>
      <c r="L161" t="s">
        <v>1335</v>
      </c>
      <c r="N161" t="s">
        <v>1319</v>
      </c>
      <c r="O161" t="s">
        <v>3754</v>
      </c>
      <c r="P161" t="s">
        <v>3755</v>
      </c>
    </row>
    <row r="162" spans="1:16" x14ac:dyDescent="0.25">
      <c r="A162" t="s">
        <v>3021</v>
      </c>
      <c r="B162" t="s">
        <v>3720</v>
      </c>
      <c r="C162" t="s">
        <v>3329</v>
      </c>
      <c r="D162" t="s">
        <v>3344</v>
      </c>
      <c r="E162" t="s">
        <v>3756</v>
      </c>
      <c r="F162" t="s">
        <v>3344</v>
      </c>
      <c r="G162" t="s">
        <v>3346</v>
      </c>
      <c r="H162" t="s">
        <v>3365</v>
      </c>
      <c r="I162" t="s">
        <v>1567</v>
      </c>
      <c r="J162" t="s">
        <v>1568</v>
      </c>
      <c r="L162" t="s">
        <v>1575</v>
      </c>
      <c r="N162" t="s">
        <v>1307</v>
      </c>
      <c r="O162" t="s">
        <v>3757</v>
      </c>
      <c r="P162" t="s">
        <v>3758</v>
      </c>
    </row>
    <row r="163" spans="1:16" x14ac:dyDescent="0.25">
      <c r="A163" t="s">
        <v>1992</v>
      </c>
      <c r="B163" t="s">
        <v>3720</v>
      </c>
      <c r="C163" t="s">
        <v>3356</v>
      </c>
      <c r="D163" t="s">
        <v>3330</v>
      </c>
      <c r="H163" t="s">
        <v>3368</v>
      </c>
      <c r="I163" t="s">
        <v>1711</v>
      </c>
      <c r="J163" t="s">
        <v>1712</v>
      </c>
      <c r="L163" t="s">
        <v>1335</v>
      </c>
      <c r="N163" t="s">
        <v>1319</v>
      </c>
      <c r="O163" t="s">
        <v>3759</v>
      </c>
      <c r="P163" t="s">
        <v>3760</v>
      </c>
    </row>
    <row r="164" spans="1:16" x14ac:dyDescent="0.25">
      <c r="A164" t="s">
        <v>1998</v>
      </c>
      <c r="B164" t="s">
        <v>3720</v>
      </c>
      <c r="C164" t="s">
        <v>3336</v>
      </c>
      <c r="D164" t="s">
        <v>3330</v>
      </c>
      <c r="H164" t="s">
        <v>3394</v>
      </c>
      <c r="I164" t="s">
        <v>1711</v>
      </c>
      <c r="J164" t="s">
        <v>1712</v>
      </c>
      <c r="L164" t="s">
        <v>1335</v>
      </c>
      <c r="N164" t="s">
        <v>1319</v>
      </c>
      <c r="O164" t="s">
        <v>3761</v>
      </c>
      <c r="P164" t="s">
        <v>3762</v>
      </c>
    </row>
    <row r="165" spans="1:16" x14ac:dyDescent="0.25">
      <c r="A165" t="s">
        <v>3025</v>
      </c>
      <c r="B165" t="s">
        <v>3720</v>
      </c>
      <c r="C165" t="s">
        <v>3356</v>
      </c>
      <c r="D165" t="s">
        <v>3330</v>
      </c>
      <c r="H165" t="s">
        <v>3331</v>
      </c>
      <c r="I165" t="s">
        <v>1711</v>
      </c>
      <c r="J165" t="s">
        <v>1712</v>
      </c>
      <c r="L165" t="s">
        <v>1335</v>
      </c>
      <c r="N165" t="s">
        <v>1307</v>
      </c>
      <c r="O165" t="s">
        <v>3763</v>
      </c>
      <c r="P165" t="s">
        <v>3764</v>
      </c>
    </row>
    <row r="166" spans="1:16" x14ac:dyDescent="0.25">
      <c r="A166" t="s">
        <v>2000</v>
      </c>
      <c r="B166" t="s">
        <v>3720</v>
      </c>
      <c r="C166" t="s">
        <v>3333</v>
      </c>
      <c r="D166" t="s">
        <v>3344</v>
      </c>
      <c r="E166" t="s">
        <v>3765</v>
      </c>
      <c r="F166" t="s">
        <v>3344</v>
      </c>
      <c r="G166" t="s">
        <v>3346</v>
      </c>
      <c r="H166" t="s">
        <v>3766</v>
      </c>
      <c r="I166" t="s">
        <v>1394</v>
      </c>
      <c r="J166" t="s">
        <v>1496</v>
      </c>
      <c r="L166" t="s">
        <v>1396</v>
      </c>
      <c r="N166" t="s">
        <v>1319</v>
      </c>
      <c r="O166" t="s">
        <v>3767</v>
      </c>
      <c r="P166" t="s">
        <v>3768</v>
      </c>
    </row>
    <row r="167" spans="1:16" x14ac:dyDescent="0.25">
      <c r="A167" t="s">
        <v>2003</v>
      </c>
      <c r="B167" t="s">
        <v>3720</v>
      </c>
      <c r="C167" t="s">
        <v>3329</v>
      </c>
      <c r="D167" t="s">
        <v>3344</v>
      </c>
      <c r="E167" t="s">
        <v>3769</v>
      </c>
      <c r="F167" t="s">
        <v>3344</v>
      </c>
      <c r="G167" t="s">
        <v>3346</v>
      </c>
      <c r="H167" t="s">
        <v>3390</v>
      </c>
      <c r="I167" t="s">
        <v>1524</v>
      </c>
      <c r="J167" t="s">
        <v>1525</v>
      </c>
      <c r="L167" t="s">
        <v>1396</v>
      </c>
      <c r="N167" t="s">
        <v>1319</v>
      </c>
      <c r="O167" t="s">
        <v>3770</v>
      </c>
      <c r="P167" t="s">
        <v>3771</v>
      </c>
    </row>
    <row r="168" spans="1:16" x14ac:dyDescent="0.25">
      <c r="A168" t="s">
        <v>3031</v>
      </c>
      <c r="B168" t="s">
        <v>3720</v>
      </c>
      <c r="C168" t="s">
        <v>3333</v>
      </c>
      <c r="D168" t="s">
        <v>3344</v>
      </c>
      <c r="E168" t="s">
        <v>3772</v>
      </c>
      <c r="F168" t="s">
        <v>3344</v>
      </c>
      <c r="G168" t="s">
        <v>3346</v>
      </c>
      <c r="H168" t="s">
        <v>3365</v>
      </c>
      <c r="I168" t="s">
        <v>2230</v>
      </c>
      <c r="J168" t="s">
        <v>3033</v>
      </c>
      <c r="L168" t="s">
        <v>1575</v>
      </c>
      <c r="N168" t="s">
        <v>1307</v>
      </c>
      <c r="O168" t="s">
        <v>3773</v>
      </c>
      <c r="P168" t="s">
        <v>3774</v>
      </c>
    </row>
    <row r="169" spans="1:16" x14ac:dyDescent="0.25">
      <c r="A169" t="s">
        <v>3034</v>
      </c>
      <c r="B169" t="s">
        <v>3720</v>
      </c>
      <c r="C169" t="s">
        <v>3333</v>
      </c>
      <c r="D169" t="s">
        <v>3344</v>
      </c>
      <c r="E169" t="s">
        <v>3775</v>
      </c>
      <c r="F169" t="s">
        <v>3344</v>
      </c>
      <c r="G169" t="s">
        <v>3346</v>
      </c>
      <c r="H169" t="s">
        <v>3334</v>
      </c>
      <c r="I169" t="s">
        <v>1333</v>
      </c>
      <c r="J169" t="s">
        <v>1334</v>
      </c>
      <c r="L169" t="s">
        <v>1396</v>
      </c>
      <c r="N169" t="s">
        <v>1307</v>
      </c>
      <c r="O169" t="s">
        <v>3776</v>
      </c>
      <c r="P169" t="s">
        <v>3777</v>
      </c>
    </row>
    <row r="170" spans="1:16" x14ac:dyDescent="0.25">
      <c r="A170" t="s">
        <v>2006</v>
      </c>
      <c r="B170" t="s">
        <v>3720</v>
      </c>
      <c r="C170" t="s">
        <v>3329</v>
      </c>
      <c r="D170" t="s">
        <v>3344</v>
      </c>
      <c r="E170" t="s">
        <v>3778</v>
      </c>
      <c r="F170" t="s">
        <v>3344</v>
      </c>
      <c r="G170" t="s">
        <v>3346</v>
      </c>
      <c r="H170" t="s">
        <v>3448</v>
      </c>
      <c r="I170" t="s">
        <v>1394</v>
      </c>
      <c r="J170" t="s">
        <v>2009</v>
      </c>
      <c r="L170" t="s">
        <v>1396</v>
      </c>
      <c r="N170" t="s">
        <v>1319</v>
      </c>
      <c r="O170" t="s">
        <v>3779</v>
      </c>
      <c r="P170" t="s">
        <v>3780</v>
      </c>
    </row>
    <row r="171" spans="1:16" x14ac:dyDescent="0.25">
      <c r="A171" t="s">
        <v>2010</v>
      </c>
      <c r="B171" t="s">
        <v>3720</v>
      </c>
      <c r="C171" t="s">
        <v>3350</v>
      </c>
      <c r="D171" t="s">
        <v>3330</v>
      </c>
      <c r="H171" t="s">
        <v>3387</v>
      </c>
      <c r="I171" t="s">
        <v>1333</v>
      </c>
      <c r="J171" t="s">
        <v>2016</v>
      </c>
      <c r="L171" t="s">
        <v>1335</v>
      </c>
      <c r="N171" t="s">
        <v>1319</v>
      </c>
      <c r="O171" t="s">
        <v>3781</v>
      </c>
      <c r="P171" t="s">
        <v>3782</v>
      </c>
    </row>
    <row r="172" spans="1:16" x14ac:dyDescent="0.25">
      <c r="A172" t="s">
        <v>2017</v>
      </c>
      <c r="B172" t="s">
        <v>3720</v>
      </c>
      <c r="C172" t="s">
        <v>3350</v>
      </c>
      <c r="D172" t="s">
        <v>3330</v>
      </c>
      <c r="H172" t="s">
        <v>3434</v>
      </c>
      <c r="I172" t="s">
        <v>1333</v>
      </c>
      <c r="J172" t="s">
        <v>2016</v>
      </c>
      <c r="L172" t="s">
        <v>1335</v>
      </c>
      <c r="N172" t="s">
        <v>1319</v>
      </c>
      <c r="O172" t="s">
        <v>3783</v>
      </c>
      <c r="P172" t="s">
        <v>3784</v>
      </c>
    </row>
    <row r="173" spans="1:16" x14ac:dyDescent="0.25">
      <c r="A173" t="s">
        <v>3037</v>
      </c>
      <c r="B173" t="s">
        <v>3720</v>
      </c>
      <c r="C173" t="s">
        <v>3350</v>
      </c>
      <c r="D173" t="s">
        <v>3330</v>
      </c>
      <c r="H173" t="s">
        <v>3357</v>
      </c>
      <c r="I173" t="s">
        <v>1333</v>
      </c>
      <c r="J173" t="s">
        <v>3041</v>
      </c>
      <c r="L173" t="s">
        <v>1335</v>
      </c>
      <c r="N173" t="s">
        <v>1307</v>
      </c>
      <c r="O173" t="s">
        <v>3785</v>
      </c>
      <c r="P173" t="s">
        <v>3786</v>
      </c>
    </row>
    <row r="174" spans="1:16" x14ac:dyDescent="0.25">
      <c r="A174" t="s">
        <v>3042</v>
      </c>
      <c r="B174" t="s">
        <v>3720</v>
      </c>
      <c r="C174" t="s">
        <v>3350</v>
      </c>
      <c r="D174" t="s">
        <v>3330</v>
      </c>
      <c r="H174" t="s">
        <v>3403</v>
      </c>
      <c r="I174" t="s">
        <v>1333</v>
      </c>
      <c r="J174" t="s">
        <v>1334</v>
      </c>
      <c r="L174" t="s">
        <v>1396</v>
      </c>
      <c r="N174" t="s">
        <v>1307</v>
      </c>
      <c r="O174" t="s">
        <v>3787</v>
      </c>
      <c r="P174" t="s">
        <v>3788</v>
      </c>
    </row>
    <row r="175" spans="1:16" x14ac:dyDescent="0.25">
      <c r="A175" t="s">
        <v>3045</v>
      </c>
      <c r="B175" t="s">
        <v>3720</v>
      </c>
      <c r="C175" t="s">
        <v>3350</v>
      </c>
      <c r="D175" t="s">
        <v>3330</v>
      </c>
      <c r="H175" t="s">
        <v>3412</v>
      </c>
      <c r="I175" t="s">
        <v>1333</v>
      </c>
      <c r="J175" t="s">
        <v>1334</v>
      </c>
      <c r="L175" t="s">
        <v>1335</v>
      </c>
      <c r="N175" t="s">
        <v>1307</v>
      </c>
      <c r="O175" t="s">
        <v>3789</v>
      </c>
      <c r="P175" t="s">
        <v>3790</v>
      </c>
    </row>
    <row r="176" spans="1:16" x14ac:dyDescent="0.25">
      <c r="A176" t="s">
        <v>3047</v>
      </c>
      <c r="B176" t="s">
        <v>3791</v>
      </c>
      <c r="C176" t="s">
        <v>3356</v>
      </c>
      <c r="D176" t="s">
        <v>3344</v>
      </c>
      <c r="E176" t="s">
        <v>3792</v>
      </c>
      <c r="F176" t="s">
        <v>3344</v>
      </c>
      <c r="G176" t="s">
        <v>3346</v>
      </c>
      <c r="H176" t="s">
        <v>3425</v>
      </c>
      <c r="I176" t="s">
        <v>1394</v>
      </c>
      <c r="J176" t="s">
        <v>2009</v>
      </c>
      <c r="L176" t="s">
        <v>1396</v>
      </c>
      <c r="N176" t="s">
        <v>1307</v>
      </c>
      <c r="O176" t="s">
        <v>3793</v>
      </c>
      <c r="P176" t="s">
        <v>3794</v>
      </c>
    </row>
    <row r="177" spans="1:16" x14ac:dyDescent="0.25">
      <c r="A177" t="s">
        <v>2020</v>
      </c>
      <c r="B177" t="s">
        <v>3791</v>
      </c>
      <c r="C177" t="s">
        <v>3356</v>
      </c>
      <c r="D177" t="s">
        <v>3344</v>
      </c>
      <c r="E177" t="s">
        <v>3795</v>
      </c>
      <c r="F177" t="s">
        <v>3372</v>
      </c>
      <c r="G177" t="s">
        <v>3346</v>
      </c>
      <c r="H177" t="s">
        <v>3394</v>
      </c>
      <c r="I177" t="s">
        <v>1524</v>
      </c>
      <c r="J177" t="s">
        <v>1525</v>
      </c>
      <c r="L177" t="s">
        <v>1335</v>
      </c>
      <c r="N177" t="s">
        <v>1319</v>
      </c>
      <c r="O177" t="s">
        <v>3796</v>
      </c>
      <c r="P177" t="s">
        <v>3797</v>
      </c>
    </row>
    <row r="178" spans="1:16" x14ac:dyDescent="0.25">
      <c r="A178" t="s">
        <v>3049</v>
      </c>
      <c r="B178" t="s">
        <v>3791</v>
      </c>
      <c r="C178" t="s">
        <v>3333</v>
      </c>
      <c r="D178" t="s">
        <v>3344</v>
      </c>
      <c r="E178" t="s">
        <v>3798</v>
      </c>
      <c r="F178" t="s">
        <v>3372</v>
      </c>
      <c r="G178" t="s">
        <v>3346</v>
      </c>
      <c r="H178" t="s">
        <v>3337</v>
      </c>
      <c r="I178" t="s">
        <v>1333</v>
      </c>
      <c r="J178" t="s">
        <v>1334</v>
      </c>
      <c r="L178" t="s">
        <v>1396</v>
      </c>
      <c r="N178" t="s">
        <v>1307</v>
      </c>
      <c r="O178" t="s">
        <v>3799</v>
      </c>
      <c r="P178" t="s">
        <v>3800</v>
      </c>
    </row>
    <row r="179" spans="1:16" x14ac:dyDescent="0.25">
      <c r="A179" t="s">
        <v>3052</v>
      </c>
      <c r="B179" t="s">
        <v>3791</v>
      </c>
      <c r="C179" t="s">
        <v>3336</v>
      </c>
      <c r="D179" t="s">
        <v>3330</v>
      </c>
      <c r="H179" t="s">
        <v>3331</v>
      </c>
      <c r="I179" t="s">
        <v>1711</v>
      </c>
      <c r="J179" t="s">
        <v>2030</v>
      </c>
      <c r="L179" t="s">
        <v>1335</v>
      </c>
      <c r="N179" t="s">
        <v>1307</v>
      </c>
      <c r="O179" t="s">
        <v>3801</v>
      </c>
      <c r="P179" t="s">
        <v>3802</v>
      </c>
    </row>
    <row r="180" spans="1:16" x14ac:dyDescent="0.25">
      <c r="A180" t="s">
        <v>2024</v>
      </c>
      <c r="B180" t="s">
        <v>3791</v>
      </c>
      <c r="C180" t="s">
        <v>3333</v>
      </c>
      <c r="D180" t="s">
        <v>3344</v>
      </c>
      <c r="E180" t="s">
        <v>3803</v>
      </c>
      <c r="F180" t="s">
        <v>3471</v>
      </c>
      <c r="G180" t="s">
        <v>3346</v>
      </c>
      <c r="H180" t="s">
        <v>3406</v>
      </c>
      <c r="I180" t="s">
        <v>1524</v>
      </c>
      <c r="J180" t="s">
        <v>1525</v>
      </c>
      <c r="L180" t="s">
        <v>1396</v>
      </c>
      <c r="N180" t="s">
        <v>1319</v>
      </c>
      <c r="O180" t="s">
        <v>3804</v>
      </c>
      <c r="P180" t="s">
        <v>3805</v>
      </c>
    </row>
    <row r="181" spans="1:16" x14ac:dyDescent="0.25">
      <c r="A181" t="s">
        <v>2028</v>
      </c>
      <c r="B181" t="s">
        <v>3791</v>
      </c>
      <c r="C181" t="s">
        <v>3336</v>
      </c>
      <c r="D181" t="s">
        <v>3330</v>
      </c>
      <c r="H181" t="s">
        <v>3509</v>
      </c>
      <c r="I181" t="s">
        <v>1711</v>
      </c>
      <c r="J181" t="s">
        <v>2030</v>
      </c>
      <c r="L181" t="s">
        <v>1335</v>
      </c>
      <c r="N181" t="s">
        <v>1319</v>
      </c>
      <c r="O181" t="s">
        <v>3806</v>
      </c>
      <c r="P181" t="s">
        <v>3807</v>
      </c>
    </row>
    <row r="182" spans="1:16" x14ac:dyDescent="0.25">
      <c r="A182" t="s">
        <v>3055</v>
      </c>
      <c r="B182" t="s">
        <v>3791</v>
      </c>
      <c r="C182" t="s">
        <v>3333</v>
      </c>
      <c r="D182" t="s">
        <v>3344</v>
      </c>
      <c r="E182" t="s">
        <v>3808</v>
      </c>
      <c r="F182" t="s">
        <v>3344</v>
      </c>
      <c r="G182" t="s">
        <v>3346</v>
      </c>
      <c r="H182" t="s">
        <v>3398</v>
      </c>
      <c r="I182" t="s">
        <v>1567</v>
      </c>
      <c r="J182" t="s">
        <v>1568</v>
      </c>
      <c r="L182" t="s">
        <v>1396</v>
      </c>
      <c r="N182" t="s">
        <v>1307</v>
      </c>
      <c r="O182" t="s">
        <v>3809</v>
      </c>
      <c r="P182" t="s">
        <v>3810</v>
      </c>
    </row>
    <row r="183" spans="1:16" x14ac:dyDescent="0.25">
      <c r="A183" t="s">
        <v>3058</v>
      </c>
      <c r="B183" t="s">
        <v>3791</v>
      </c>
      <c r="C183" t="s">
        <v>3333</v>
      </c>
      <c r="D183" t="s">
        <v>3344</v>
      </c>
      <c r="E183" t="s">
        <v>3811</v>
      </c>
      <c r="F183" t="s">
        <v>3683</v>
      </c>
      <c r="G183" t="s">
        <v>3346</v>
      </c>
      <c r="H183" t="s">
        <v>3362</v>
      </c>
      <c r="I183" t="s">
        <v>1333</v>
      </c>
      <c r="J183" t="s">
        <v>1334</v>
      </c>
      <c r="L183" t="s">
        <v>1575</v>
      </c>
      <c r="N183" t="s">
        <v>1307</v>
      </c>
      <c r="O183" t="s">
        <v>3812</v>
      </c>
      <c r="P183" t="s">
        <v>3813</v>
      </c>
    </row>
    <row r="184" spans="1:16" x14ac:dyDescent="0.25">
      <c r="A184" t="s">
        <v>2031</v>
      </c>
      <c r="B184" t="s">
        <v>3791</v>
      </c>
      <c r="C184" t="s">
        <v>3336</v>
      </c>
      <c r="D184" t="s">
        <v>3330</v>
      </c>
      <c r="H184" t="s">
        <v>3390</v>
      </c>
      <c r="I184" t="s">
        <v>1711</v>
      </c>
      <c r="J184" t="s">
        <v>2030</v>
      </c>
      <c r="L184" t="s">
        <v>1335</v>
      </c>
      <c r="N184" t="s">
        <v>1319</v>
      </c>
      <c r="O184" t="s">
        <v>3814</v>
      </c>
      <c r="P184" t="s">
        <v>3815</v>
      </c>
    </row>
    <row r="185" spans="1:16" x14ac:dyDescent="0.25">
      <c r="A185" t="s">
        <v>2033</v>
      </c>
      <c r="B185" t="s">
        <v>3791</v>
      </c>
      <c r="C185" t="s">
        <v>3333</v>
      </c>
      <c r="D185" t="s">
        <v>3344</v>
      </c>
      <c r="E185" t="s">
        <v>3816</v>
      </c>
      <c r="F185" t="s">
        <v>3344</v>
      </c>
      <c r="G185" t="s">
        <v>3346</v>
      </c>
      <c r="H185" t="s">
        <v>3469</v>
      </c>
      <c r="I185" t="s">
        <v>1333</v>
      </c>
      <c r="J185" t="s">
        <v>1334</v>
      </c>
      <c r="L185" t="s">
        <v>1575</v>
      </c>
      <c r="N185" t="s">
        <v>1319</v>
      </c>
      <c r="O185" t="s">
        <v>3817</v>
      </c>
      <c r="P185" t="s">
        <v>3818</v>
      </c>
    </row>
    <row r="186" spans="1:16" x14ac:dyDescent="0.25">
      <c r="A186" t="s">
        <v>3062</v>
      </c>
      <c r="B186" t="s">
        <v>3791</v>
      </c>
      <c r="C186" t="s">
        <v>3356</v>
      </c>
      <c r="D186" t="s">
        <v>3344</v>
      </c>
      <c r="E186" t="s">
        <v>3819</v>
      </c>
      <c r="F186" t="s">
        <v>3344</v>
      </c>
      <c r="G186" t="s">
        <v>3346</v>
      </c>
      <c r="H186" t="s">
        <v>3452</v>
      </c>
      <c r="I186" t="s">
        <v>1333</v>
      </c>
      <c r="J186" t="s">
        <v>1334</v>
      </c>
      <c r="L186" t="s">
        <v>1575</v>
      </c>
      <c r="N186" t="s">
        <v>1307</v>
      </c>
      <c r="O186" t="s">
        <v>3820</v>
      </c>
      <c r="P186" t="s">
        <v>3821</v>
      </c>
    </row>
    <row r="187" spans="1:16" x14ac:dyDescent="0.25">
      <c r="A187" t="s">
        <v>3065</v>
      </c>
      <c r="B187" t="s">
        <v>3791</v>
      </c>
      <c r="C187" t="s">
        <v>3333</v>
      </c>
      <c r="D187" t="s">
        <v>3344</v>
      </c>
      <c r="E187" t="s">
        <v>3822</v>
      </c>
      <c r="F187" t="s">
        <v>3344</v>
      </c>
      <c r="G187" t="s">
        <v>3346</v>
      </c>
      <c r="H187" t="s">
        <v>3394</v>
      </c>
      <c r="I187" t="s">
        <v>1516</v>
      </c>
      <c r="J187" t="s">
        <v>2916</v>
      </c>
      <c r="L187" t="s">
        <v>1396</v>
      </c>
      <c r="N187" t="s">
        <v>1307</v>
      </c>
      <c r="O187" t="s">
        <v>3823</v>
      </c>
      <c r="P187" t="s">
        <v>3824</v>
      </c>
    </row>
    <row r="188" spans="1:16" x14ac:dyDescent="0.25">
      <c r="A188" t="s">
        <v>2037</v>
      </c>
      <c r="B188" t="s">
        <v>3791</v>
      </c>
      <c r="C188" t="s">
        <v>3356</v>
      </c>
      <c r="D188" t="s">
        <v>3344</v>
      </c>
      <c r="E188" t="s">
        <v>3825</v>
      </c>
      <c r="F188" t="s">
        <v>3344</v>
      </c>
      <c r="G188" t="s">
        <v>3346</v>
      </c>
      <c r="H188" t="s">
        <v>3373</v>
      </c>
      <c r="I188" t="s">
        <v>2042</v>
      </c>
      <c r="J188" t="s">
        <v>2043</v>
      </c>
      <c r="L188" t="s">
        <v>1396</v>
      </c>
      <c r="N188" t="s">
        <v>1319</v>
      </c>
      <c r="O188" t="s">
        <v>3826</v>
      </c>
      <c r="P188" t="s">
        <v>3827</v>
      </c>
    </row>
    <row r="189" spans="1:16" x14ac:dyDescent="0.25">
      <c r="A189" t="s">
        <v>2044</v>
      </c>
      <c r="B189" t="s">
        <v>3791</v>
      </c>
      <c r="C189" t="s">
        <v>3350</v>
      </c>
      <c r="D189" t="s">
        <v>3330</v>
      </c>
      <c r="H189" t="s">
        <v>3494</v>
      </c>
      <c r="I189" t="s">
        <v>1333</v>
      </c>
      <c r="J189" t="s">
        <v>2048</v>
      </c>
      <c r="L189" t="s">
        <v>1335</v>
      </c>
      <c r="N189" t="s">
        <v>1319</v>
      </c>
      <c r="O189" t="s">
        <v>3828</v>
      </c>
      <c r="P189" t="s">
        <v>3829</v>
      </c>
    </row>
    <row r="190" spans="1:16" x14ac:dyDescent="0.25">
      <c r="A190" t="s">
        <v>3067</v>
      </c>
      <c r="B190" t="s">
        <v>3791</v>
      </c>
      <c r="C190" t="s">
        <v>3350</v>
      </c>
      <c r="D190" t="s">
        <v>3330</v>
      </c>
      <c r="H190" t="s">
        <v>3830</v>
      </c>
      <c r="I190" t="s">
        <v>1333</v>
      </c>
      <c r="J190" t="s">
        <v>2048</v>
      </c>
      <c r="L190" t="s">
        <v>1335</v>
      </c>
      <c r="N190" t="s">
        <v>1307</v>
      </c>
      <c r="O190" t="s">
        <v>3831</v>
      </c>
      <c r="P190" t="s">
        <v>3832</v>
      </c>
    </row>
    <row r="191" spans="1:16" x14ac:dyDescent="0.25">
      <c r="A191" t="s">
        <v>2049</v>
      </c>
      <c r="B191" t="s">
        <v>3791</v>
      </c>
      <c r="C191" t="s">
        <v>3350</v>
      </c>
      <c r="D191" t="s">
        <v>3330</v>
      </c>
      <c r="H191" t="s">
        <v>3416</v>
      </c>
      <c r="I191" t="s">
        <v>2051</v>
      </c>
      <c r="J191" t="s">
        <v>2052</v>
      </c>
      <c r="L191" t="s">
        <v>1335</v>
      </c>
      <c r="N191" t="s">
        <v>1319</v>
      </c>
      <c r="O191" t="s">
        <v>3833</v>
      </c>
      <c r="P191" t="s">
        <v>3834</v>
      </c>
    </row>
    <row r="192" spans="1:16" x14ac:dyDescent="0.25">
      <c r="A192" t="s">
        <v>2053</v>
      </c>
      <c r="B192" t="s">
        <v>3791</v>
      </c>
      <c r="C192" t="s">
        <v>3350</v>
      </c>
      <c r="D192" t="s">
        <v>3330</v>
      </c>
      <c r="H192" t="s">
        <v>3387</v>
      </c>
      <c r="I192" t="s">
        <v>1333</v>
      </c>
      <c r="J192" t="s">
        <v>1334</v>
      </c>
      <c r="L192" t="s">
        <v>1335</v>
      </c>
      <c r="N192" t="s">
        <v>1319</v>
      </c>
      <c r="O192" t="s">
        <v>3835</v>
      </c>
      <c r="P192" t="s">
        <v>3836</v>
      </c>
    </row>
    <row r="193" spans="1:16" x14ac:dyDescent="0.25">
      <c r="A193" t="s">
        <v>3069</v>
      </c>
      <c r="B193" t="s">
        <v>3791</v>
      </c>
      <c r="C193" t="s">
        <v>3356</v>
      </c>
      <c r="D193" t="s">
        <v>3344</v>
      </c>
      <c r="E193" t="s">
        <v>3837</v>
      </c>
      <c r="F193" t="s">
        <v>3344</v>
      </c>
      <c r="G193" t="s">
        <v>3346</v>
      </c>
      <c r="H193" t="s">
        <v>3437</v>
      </c>
      <c r="I193" t="s">
        <v>1333</v>
      </c>
      <c r="J193" t="s">
        <v>1334</v>
      </c>
      <c r="L193" t="s">
        <v>1789</v>
      </c>
      <c r="N193" t="s">
        <v>1307</v>
      </c>
      <c r="O193" t="s">
        <v>3838</v>
      </c>
      <c r="P193" t="s">
        <v>3839</v>
      </c>
    </row>
    <row r="194" spans="1:16" x14ac:dyDescent="0.25">
      <c r="A194" t="s">
        <v>2057</v>
      </c>
      <c r="B194" t="s">
        <v>3791</v>
      </c>
      <c r="C194" t="s">
        <v>3343</v>
      </c>
      <c r="D194" t="s">
        <v>3330</v>
      </c>
      <c r="H194" t="s">
        <v>3478</v>
      </c>
      <c r="I194" t="s">
        <v>2061</v>
      </c>
      <c r="J194" t="s">
        <v>2062</v>
      </c>
      <c r="L194" t="s">
        <v>1335</v>
      </c>
      <c r="N194" t="s">
        <v>1319</v>
      </c>
      <c r="O194" t="s">
        <v>3840</v>
      </c>
      <c r="P194" t="s">
        <v>3841</v>
      </c>
    </row>
    <row r="195" spans="1:16" x14ac:dyDescent="0.25">
      <c r="A195" t="s">
        <v>2063</v>
      </c>
      <c r="B195" t="s">
        <v>3791</v>
      </c>
      <c r="C195" t="s">
        <v>3343</v>
      </c>
      <c r="D195" t="s">
        <v>3330</v>
      </c>
      <c r="H195" t="s">
        <v>3491</v>
      </c>
      <c r="I195" t="s">
        <v>2061</v>
      </c>
      <c r="J195" t="s">
        <v>1698</v>
      </c>
      <c r="K195" t="s">
        <v>3842</v>
      </c>
      <c r="L195" t="s">
        <v>1335</v>
      </c>
      <c r="N195" t="s">
        <v>1319</v>
      </c>
      <c r="O195" t="s">
        <v>3843</v>
      </c>
      <c r="P195" t="s">
        <v>3844</v>
      </c>
    </row>
    <row r="196" spans="1:16" x14ac:dyDescent="0.25">
      <c r="A196" t="s">
        <v>2066</v>
      </c>
      <c r="B196" t="s">
        <v>3791</v>
      </c>
      <c r="C196" t="s">
        <v>3343</v>
      </c>
      <c r="D196" t="s">
        <v>3330</v>
      </c>
      <c r="H196" t="s">
        <v>3437</v>
      </c>
      <c r="I196" t="s">
        <v>2061</v>
      </c>
      <c r="J196" t="s">
        <v>1698</v>
      </c>
      <c r="K196" t="s">
        <v>3845</v>
      </c>
      <c r="L196" t="s">
        <v>1335</v>
      </c>
      <c r="N196" t="s">
        <v>1319</v>
      </c>
      <c r="O196" t="s">
        <v>3846</v>
      </c>
      <c r="P196" t="s">
        <v>3847</v>
      </c>
    </row>
    <row r="197" spans="1:16" x14ac:dyDescent="0.25">
      <c r="A197" t="s">
        <v>2071</v>
      </c>
      <c r="B197" t="s">
        <v>3791</v>
      </c>
      <c r="C197" t="s">
        <v>3343</v>
      </c>
      <c r="D197" t="s">
        <v>3330</v>
      </c>
      <c r="H197" t="s">
        <v>3381</v>
      </c>
      <c r="I197" t="s">
        <v>2061</v>
      </c>
      <c r="J197" t="s">
        <v>2062</v>
      </c>
      <c r="L197" t="s">
        <v>1335</v>
      </c>
      <c r="N197" t="s">
        <v>1319</v>
      </c>
      <c r="O197" t="s">
        <v>3848</v>
      </c>
      <c r="P197" t="s">
        <v>3849</v>
      </c>
    </row>
    <row r="198" spans="1:16" x14ac:dyDescent="0.25">
      <c r="A198" t="s">
        <v>2074</v>
      </c>
      <c r="B198" t="s">
        <v>3850</v>
      </c>
      <c r="C198" t="s">
        <v>3333</v>
      </c>
      <c r="D198" t="s">
        <v>3330</v>
      </c>
      <c r="H198" t="s">
        <v>3606</v>
      </c>
      <c r="I198" t="s">
        <v>2076</v>
      </c>
      <c r="J198" t="s">
        <v>2077</v>
      </c>
      <c r="L198" t="s">
        <v>1335</v>
      </c>
      <c r="N198" t="s">
        <v>1319</v>
      </c>
      <c r="O198" t="s">
        <v>3851</v>
      </c>
      <c r="P198" t="s">
        <v>3852</v>
      </c>
    </row>
    <row r="199" spans="1:16" x14ac:dyDescent="0.25">
      <c r="A199" t="s">
        <v>2078</v>
      </c>
      <c r="B199" t="s">
        <v>3850</v>
      </c>
      <c r="C199" t="s">
        <v>3343</v>
      </c>
      <c r="D199" t="s">
        <v>3344</v>
      </c>
      <c r="E199" t="s">
        <v>3853</v>
      </c>
      <c r="F199" t="s">
        <v>3372</v>
      </c>
      <c r="G199" t="s">
        <v>3346</v>
      </c>
      <c r="H199" t="s">
        <v>3442</v>
      </c>
      <c r="I199" t="s">
        <v>1333</v>
      </c>
      <c r="J199" t="s">
        <v>1334</v>
      </c>
      <c r="L199" t="s">
        <v>1396</v>
      </c>
      <c r="N199" t="s">
        <v>1319</v>
      </c>
      <c r="O199" t="s">
        <v>3854</v>
      </c>
      <c r="P199" t="s">
        <v>3855</v>
      </c>
    </row>
    <row r="200" spans="1:16" x14ac:dyDescent="0.25">
      <c r="A200" t="s">
        <v>2084</v>
      </c>
      <c r="B200" t="s">
        <v>3850</v>
      </c>
      <c r="C200" t="s">
        <v>3350</v>
      </c>
      <c r="D200" t="s">
        <v>3344</v>
      </c>
      <c r="E200" t="s">
        <v>3856</v>
      </c>
      <c r="F200" t="s">
        <v>3344</v>
      </c>
      <c r="G200" t="s">
        <v>3361</v>
      </c>
      <c r="H200" t="s">
        <v>3437</v>
      </c>
      <c r="I200" t="s">
        <v>1524</v>
      </c>
      <c r="J200" t="s">
        <v>1525</v>
      </c>
      <c r="L200" t="s">
        <v>1335</v>
      </c>
      <c r="N200" t="s">
        <v>1319</v>
      </c>
      <c r="O200" t="s">
        <v>3857</v>
      </c>
      <c r="P200" t="s">
        <v>3858</v>
      </c>
    </row>
    <row r="201" spans="1:16" x14ac:dyDescent="0.25">
      <c r="A201" t="s">
        <v>3072</v>
      </c>
      <c r="B201" t="s">
        <v>3850</v>
      </c>
      <c r="C201" t="s">
        <v>3333</v>
      </c>
      <c r="D201" t="s">
        <v>3330</v>
      </c>
      <c r="H201" t="s">
        <v>3398</v>
      </c>
      <c r="I201" t="s">
        <v>2076</v>
      </c>
      <c r="J201" t="s">
        <v>2077</v>
      </c>
      <c r="L201" t="s">
        <v>1335</v>
      </c>
      <c r="N201" t="s">
        <v>1307</v>
      </c>
      <c r="O201" t="s">
        <v>3859</v>
      </c>
      <c r="P201" t="s">
        <v>3860</v>
      </c>
    </row>
    <row r="202" spans="1:16" x14ac:dyDescent="0.25">
      <c r="A202" t="s">
        <v>2089</v>
      </c>
      <c r="B202" t="s">
        <v>3850</v>
      </c>
      <c r="C202" t="s">
        <v>3336</v>
      </c>
      <c r="D202" t="s">
        <v>3330</v>
      </c>
      <c r="H202" t="s">
        <v>3357</v>
      </c>
      <c r="I202" t="s">
        <v>2092</v>
      </c>
      <c r="J202" t="s">
        <v>2093</v>
      </c>
      <c r="L202" t="s">
        <v>1396</v>
      </c>
      <c r="N202" t="s">
        <v>1319</v>
      </c>
      <c r="O202" t="s">
        <v>3861</v>
      </c>
      <c r="P202" t="s">
        <v>3862</v>
      </c>
    </row>
    <row r="203" spans="1:16" x14ac:dyDescent="0.25">
      <c r="A203" t="s">
        <v>2094</v>
      </c>
      <c r="B203" t="s">
        <v>3850</v>
      </c>
      <c r="C203" t="s">
        <v>3343</v>
      </c>
      <c r="D203" t="s">
        <v>3344</v>
      </c>
      <c r="E203" t="s">
        <v>3863</v>
      </c>
      <c r="F203" t="s">
        <v>3344</v>
      </c>
      <c r="G203" t="s">
        <v>3346</v>
      </c>
      <c r="H203" t="s">
        <v>3416</v>
      </c>
      <c r="I203" t="s">
        <v>1333</v>
      </c>
      <c r="J203" t="s">
        <v>1334</v>
      </c>
      <c r="L203" t="s">
        <v>1396</v>
      </c>
      <c r="N203" t="s">
        <v>1319</v>
      </c>
      <c r="O203" t="s">
        <v>3864</v>
      </c>
      <c r="P203" t="s">
        <v>3865</v>
      </c>
    </row>
    <row r="204" spans="1:16" x14ac:dyDescent="0.25">
      <c r="A204" t="s">
        <v>3078</v>
      </c>
      <c r="B204" t="s">
        <v>3850</v>
      </c>
      <c r="C204" t="s">
        <v>3333</v>
      </c>
      <c r="D204" t="s">
        <v>3330</v>
      </c>
      <c r="H204" t="s">
        <v>3357</v>
      </c>
      <c r="I204" t="s">
        <v>2076</v>
      </c>
      <c r="J204" t="s">
        <v>2077</v>
      </c>
      <c r="L204" t="s">
        <v>1396</v>
      </c>
      <c r="N204" t="s">
        <v>1307</v>
      </c>
      <c r="O204" t="s">
        <v>3866</v>
      </c>
      <c r="P204" t="s">
        <v>3867</v>
      </c>
    </row>
    <row r="205" spans="1:16" x14ac:dyDescent="0.25">
      <c r="A205" t="s">
        <v>2097</v>
      </c>
      <c r="B205" t="s">
        <v>3850</v>
      </c>
      <c r="C205" t="s">
        <v>3336</v>
      </c>
      <c r="D205" t="s">
        <v>3330</v>
      </c>
      <c r="H205" t="s">
        <v>3466</v>
      </c>
      <c r="I205" t="s">
        <v>2092</v>
      </c>
      <c r="J205" t="s">
        <v>2093</v>
      </c>
      <c r="L205" t="s">
        <v>1335</v>
      </c>
      <c r="N205" t="s">
        <v>1319</v>
      </c>
      <c r="O205" t="s">
        <v>3868</v>
      </c>
      <c r="P205" t="s">
        <v>3869</v>
      </c>
    </row>
    <row r="206" spans="1:16" x14ac:dyDescent="0.25">
      <c r="A206" t="s">
        <v>3082</v>
      </c>
      <c r="B206" t="s">
        <v>3850</v>
      </c>
      <c r="C206" t="s">
        <v>3356</v>
      </c>
      <c r="D206" t="s">
        <v>3330</v>
      </c>
      <c r="H206" t="s">
        <v>3353</v>
      </c>
      <c r="I206" t="s">
        <v>2061</v>
      </c>
      <c r="J206" t="s">
        <v>2116</v>
      </c>
      <c r="L206" t="s">
        <v>1335</v>
      </c>
      <c r="N206" t="s">
        <v>1307</v>
      </c>
      <c r="O206" t="s">
        <v>3870</v>
      </c>
      <c r="P206" t="s">
        <v>3871</v>
      </c>
    </row>
    <row r="207" spans="1:16" x14ac:dyDescent="0.25">
      <c r="A207" t="s">
        <v>2101</v>
      </c>
      <c r="B207" t="s">
        <v>3850</v>
      </c>
      <c r="C207" t="s">
        <v>3343</v>
      </c>
      <c r="D207" t="s">
        <v>3344</v>
      </c>
      <c r="E207" t="s">
        <v>3872</v>
      </c>
      <c r="F207" t="s">
        <v>3344</v>
      </c>
      <c r="G207" t="s">
        <v>3346</v>
      </c>
      <c r="H207" t="s">
        <v>3337</v>
      </c>
      <c r="I207" t="s">
        <v>1733</v>
      </c>
      <c r="J207" t="s">
        <v>2103</v>
      </c>
      <c r="L207" t="s">
        <v>1789</v>
      </c>
      <c r="N207" t="s">
        <v>1319</v>
      </c>
      <c r="O207" t="s">
        <v>3873</v>
      </c>
      <c r="P207" t="s">
        <v>3874</v>
      </c>
    </row>
    <row r="208" spans="1:16" x14ac:dyDescent="0.25">
      <c r="A208" t="s">
        <v>2104</v>
      </c>
      <c r="B208" t="s">
        <v>3850</v>
      </c>
      <c r="C208" t="s">
        <v>3333</v>
      </c>
      <c r="D208" t="s">
        <v>3330</v>
      </c>
      <c r="H208" t="s">
        <v>3398</v>
      </c>
      <c r="I208" t="s">
        <v>2076</v>
      </c>
      <c r="J208" t="s">
        <v>2077</v>
      </c>
      <c r="L208" t="s">
        <v>1396</v>
      </c>
      <c r="N208" t="s">
        <v>1319</v>
      </c>
      <c r="O208" t="s">
        <v>3875</v>
      </c>
      <c r="P208" t="s">
        <v>3876</v>
      </c>
    </row>
    <row r="209" spans="1:16" x14ac:dyDescent="0.25">
      <c r="A209" t="s">
        <v>2108</v>
      </c>
      <c r="B209" t="s">
        <v>3850</v>
      </c>
      <c r="C209" t="s">
        <v>3350</v>
      </c>
      <c r="D209" t="s">
        <v>3344</v>
      </c>
      <c r="E209" t="s">
        <v>3877</v>
      </c>
      <c r="F209" t="s">
        <v>3344</v>
      </c>
      <c r="G209" t="s">
        <v>3361</v>
      </c>
      <c r="H209" t="s">
        <v>3434</v>
      </c>
      <c r="I209" t="s">
        <v>2061</v>
      </c>
      <c r="J209" t="s">
        <v>2111</v>
      </c>
      <c r="L209" t="s">
        <v>1780</v>
      </c>
      <c r="N209" t="s">
        <v>1319</v>
      </c>
      <c r="O209" t="s">
        <v>3878</v>
      </c>
      <c r="P209" t="s">
        <v>3879</v>
      </c>
    </row>
    <row r="210" spans="1:16" x14ac:dyDescent="0.25">
      <c r="A210" t="s">
        <v>2112</v>
      </c>
      <c r="B210" t="s">
        <v>3850</v>
      </c>
      <c r="C210" t="s">
        <v>3356</v>
      </c>
      <c r="D210" t="s">
        <v>3330</v>
      </c>
      <c r="H210" t="s">
        <v>3494</v>
      </c>
      <c r="I210" t="s">
        <v>2061</v>
      </c>
      <c r="J210" t="s">
        <v>2116</v>
      </c>
      <c r="L210" t="s">
        <v>1335</v>
      </c>
      <c r="N210" t="s">
        <v>1319</v>
      </c>
      <c r="O210" t="s">
        <v>3880</v>
      </c>
      <c r="P210" t="s">
        <v>3881</v>
      </c>
    </row>
    <row r="211" spans="1:16" x14ac:dyDescent="0.25">
      <c r="A211" t="s">
        <v>3085</v>
      </c>
      <c r="B211" t="s">
        <v>3850</v>
      </c>
      <c r="C211" t="s">
        <v>3350</v>
      </c>
      <c r="D211" t="s">
        <v>3344</v>
      </c>
      <c r="E211" t="s">
        <v>3882</v>
      </c>
      <c r="F211" t="s">
        <v>3344</v>
      </c>
      <c r="G211" t="s">
        <v>3361</v>
      </c>
      <c r="H211" t="s">
        <v>3606</v>
      </c>
      <c r="I211" t="s">
        <v>1516</v>
      </c>
      <c r="J211" t="s">
        <v>1849</v>
      </c>
      <c r="L211" t="s">
        <v>1335</v>
      </c>
      <c r="N211" t="s">
        <v>1307</v>
      </c>
      <c r="O211" t="s">
        <v>3883</v>
      </c>
      <c r="P211" t="s">
        <v>3884</v>
      </c>
    </row>
    <row r="212" spans="1:16" x14ac:dyDescent="0.25">
      <c r="A212" t="s">
        <v>3088</v>
      </c>
      <c r="B212" t="s">
        <v>3850</v>
      </c>
      <c r="C212" t="s">
        <v>3343</v>
      </c>
      <c r="D212" t="s">
        <v>3344</v>
      </c>
      <c r="E212" t="s">
        <v>3885</v>
      </c>
      <c r="F212" t="s">
        <v>3344</v>
      </c>
      <c r="G212" t="s">
        <v>3346</v>
      </c>
      <c r="H212" t="s">
        <v>3357</v>
      </c>
      <c r="I212" t="s">
        <v>1333</v>
      </c>
      <c r="J212" t="s">
        <v>1334</v>
      </c>
      <c r="L212" t="s">
        <v>1396</v>
      </c>
      <c r="N212" t="s">
        <v>1307</v>
      </c>
      <c r="O212" t="s">
        <v>3886</v>
      </c>
      <c r="P212" t="s">
        <v>3887</v>
      </c>
    </row>
    <row r="213" spans="1:16" x14ac:dyDescent="0.25">
      <c r="A213" t="s">
        <v>2117</v>
      </c>
      <c r="B213" t="s">
        <v>3850</v>
      </c>
      <c r="C213" t="s">
        <v>3336</v>
      </c>
      <c r="D213" t="s">
        <v>3330</v>
      </c>
      <c r="H213" t="s">
        <v>3416</v>
      </c>
      <c r="I213" t="s">
        <v>2092</v>
      </c>
      <c r="J213" t="s">
        <v>2121</v>
      </c>
      <c r="L213" t="s">
        <v>1396</v>
      </c>
      <c r="N213" t="s">
        <v>1319</v>
      </c>
      <c r="O213" t="s">
        <v>3888</v>
      </c>
      <c r="P213" t="s">
        <v>3889</v>
      </c>
    </row>
    <row r="214" spans="1:16" x14ac:dyDescent="0.25">
      <c r="A214" t="s">
        <v>2122</v>
      </c>
      <c r="B214" t="s">
        <v>3850</v>
      </c>
      <c r="C214" t="s">
        <v>3356</v>
      </c>
      <c r="D214" t="s">
        <v>3330</v>
      </c>
      <c r="H214" t="s">
        <v>3334</v>
      </c>
      <c r="I214" t="s">
        <v>2061</v>
      </c>
      <c r="J214" t="s">
        <v>2116</v>
      </c>
      <c r="L214" t="s">
        <v>1335</v>
      </c>
      <c r="N214" t="s">
        <v>1319</v>
      </c>
      <c r="O214" t="s">
        <v>3890</v>
      </c>
      <c r="P214" t="s">
        <v>3891</v>
      </c>
    </row>
    <row r="215" spans="1:16" x14ac:dyDescent="0.25">
      <c r="A215" t="s">
        <v>2126</v>
      </c>
      <c r="B215" t="s">
        <v>3850</v>
      </c>
      <c r="C215" t="s">
        <v>3356</v>
      </c>
      <c r="D215" t="s">
        <v>3330</v>
      </c>
      <c r="H215" t="s">
        <v>3480</v>
      </c>
      <c r="I215" t="s">
        <v>2061</v>
      </c>
      <c r="J215" t="s">
        <v>2116</v>
      </c>
      <c r="L215" t="s">
        <v>1335</v>
      </c>
      <c r="N215" t="s">
        <v>1319</v>
      </c>
      <c r="O215" t="s">
        <v>3892</v>
      </c>
      <c r="P215" t="s">
        <v>3893</v>
      </c>
    </row>
    <row r="216" spans="1:16" x14ac:dyDescent="0.25">
      <c r="A216" t="s">
        <v>3090</v>
      </c>
      <c r="B216" t="s">
        <v>3850</v>
      </c>
      <c r="C216" t="s">
        <v>3343</v>
      </c>
      <c r="D216" t="s">
        <v>3344</v>
      </c>
      <c r="E216" t="s">
        <v>3894</v>
      </c>
      <c r="F216" t="s">
        <v>3344</v>
      </c>
      <c r="G216" t="s">
        <v>3346</v>
      </c>
      <c r="H216" t="s">
        <v>3422</v>
      </c>
      <c r="I216" t="s">
        <v>1524</v>
      </c>
      <c r="J216" t="s">
        <v>1525</v>
      </c>
      <c r="L216" t="s">
        <v>1396</v>
      </c>
      <c r="N216" t="s">
        <v>1307</v>
      </c>
      <c r="O216" t="s">
        <v>3895</v>
      </c>
      <c r="P216" t="s">
        <v>3896</v>
      </c>
    </row>
    <row r="217" spans="1:16" x14ac:dyDescent="0.25">
      <c r="A217" t="s">
        <v>3093</v>
      </c>
      <c r="B217" t="s">
        <v>3850</v>
      </c>
      <c r="C217" t="s">
        <v>3350</v>
      </c>
      <c r="D217" t="s">
        <v>3344</v>
      </c>
      <c r="E217" t="s">
        <v>3897</v>
      </c>
      <c r="F217" t="s">
        <v>3344</v>
      </c>
      <c r="G217" t="s">
        <v>3352</v>
      </c>
      <c r="H217" t="s">
        <v>3381</v>
      </c>
      <c r="I217" t="s">
        <v>3095</v>
      </c>
      <c r="J217" t="s">
        <v>3096</v>
      </c>
      <c r="L217" t="s">
        <v>1780</v>
      </c>
      <c r="N217" t="s">
        <v>1307</v>
      </c>
      <c r="O217" t="s">
        <v>3898</v>
      </c>
      <c r="P217" t="s">
        <v>3899</v>
      </c>
    </row>
    <row r="218" spans="1:16" x14ac:dyDescent="0.25">
      <c r="A218" t="s">
        <v>3097</v>
      </c>
      <c r="B218" t="s">
        <v>3850</v>
      </c>
      <c r="C218" t="s">
        <v>3336</v>
      </c>
      <c r="D218" t="s">
        <v>3330</v>
      </c>
      <c r="H218" t="s">
        <v>3425</v>
      </c>
      <c r="I218" t="s">
        <v>2092</v>
      </c>
      <c r="J218" t="s">
        <v>2093</v>
      </c>
      <c r="L218" t="s">
        <v>1575</v>
      </c>
      <c r="N218" t="s">
        <v>1307</v>
      </c>
      <c r="O218" t="s">
        <v>3900</v>
      </c>
      <c r="P218" t="s">
        <v>3901</v>
      </c>
    </row>
    <row r="219" spans="1:16" x14ac:dyDescent="0.25">
      <c r="A219" t="s">
        <v>3100</v>
      </c>
      <c r="B219" t="s">
        <v>3850</v>
      </c>
      <c r="C219" t="s">
        <v>3356</v>
      </c>
      <c r="D219" t="s">
        <v>3330</v>
      </c>
      <c r="H219" t="s">
        <v>3442</v>
      </c>
      <c r="I219" t="s">
        <v>2061</v>
      </c>
      <c r="J219" t="s">
        <v>2116</v>
      </c>
      <c r="L219" t="s">
        <v>1396</v>
      </c>
      <c r="N219" t="s">
        <v>1307</v>
      </c>
      <c r="O219" t="s">
        <v>3902</v>
      </c>
      <c r="P219" t="s">
        <v>3903</v>
      </c>
    </row>
    <row r="220" spans="1:16" x14ac:dyDescent="0.25">
      <c r="A220" t="s">
        <v>2130</v>
      </c>
      <c r="B220" t="s">
        <v>3850</v>
      </c>
      <c r="C220" t="s">
        <v>3343</v>
      </c>
      <c r="D220" t="s">
        <v>3344</v>
      </c>
      <c r="E220" t="s">
        <v>3904</v>
      </c>
      <c r="F220" t="s">
        <v>3344</v>
      </c>
      <c r="G220" t="s">
        <v>3346</v>
      </c>
      <c r="H220" t="s">
        <v>3331</v>
      </c>
      <c r="I220" t="s">
        <v>1333</v>
      </c>
      <c r="J220" t="s">
        <v>1334</v>
      </c>
      <c r="L220" t="s">
        <v>1396</v>
      </c>
      <c r="N220" t="s">
        <v>1319</v>
      </c>
      <c r="O220" t="s">
        <v>3905</v>
      </c>
      <c r="P220" t="s">
        <v>3906</v>
      </c>
    </row>
    <row r="221" spans="1:16" x14ac:dyDescent="0.25">
      <c r="A221" t="s">
        <v>2133</v>
      </c>
      <c r="B221" t="s">
        <v>3850</v>
      </c>
      <c r="C221" t="s">
        <v>3350</v>
      </c>
      <c r="D221" t="s">
        <v>3344</v>
      </c>
      <c r="E221" t="s">
        <v>3907</v>
      </c>
      <c r="F221" t="s">
        <v>3344</v>
      </c>
      <c r="G221" t="s">
        <v>3352</v>
      </c>
      <c r="H221" t="s">
        <v>3422</v>
      </c>
      <c r="I221" t="s">
        <v>1733</v>
      </c>
      <c r="J221" t="s">
        <v>1734</v>
      </c>
      <c r="L221" t="s">
        <v>1396</v>
      </c>
      <c r="N221" t="s">
        <v>1319</v>
      </c>
      <c r="O221" t="s">
        <v>3908</v>
      </c>
      <c r="P221" t="s">
        <v>3909</v>
      </c>
    </row>
    <row r="222" spans="1:16" x14ac:dyDescent="0.25">
      <c r="A222" t="s">
        <v>2137</v>
      </c>
      <c r="B222" t="s">
        <v>3850</v>
      </c>
      <c r="C222" t="s">
        <v>3343</v>
      </c>
      <c r="D222" t="s">
        <v>3344</v>
      </c>
      <c r="E222" t="s">
        <v>3910</v>
      </c>
      <c r="F222" t="s">
        <v>3344</v>
      </c>
      <c r="G222" t="s">
        <v>3346</v>
      </c>
      <c r="H222" t="s">
        <v>3422</v>
      </c>
      <c r="I222" t="s">
        <v>1333</v>
      </c>
      <c r="J222" t="s">
        <v>1334</v>
      </c>
      <c r="L222" t="s">
        <v>1396</v>
      </c>
      <c r="N222" t="s">
        <v>1319</v>
      </c>
      <c r="O222" t="s">
        <v>3911</v>
      </c>
      <c r="P222" t="s">
        <v>3912</v>
      </c>
    </row>
    <row r="223" spans="1:16" x14ac:dyDescent="0.25">
      <c r="A223" t="s">
        <v>3106</v>
      </c>
      <c r="B223" t="s">
        <v>3850</v>
      </c>
      <c r="C223" t="s">
        <v>3329</v>
      </c>
      <c r="D223" t="s">
        <v>3344</v>
      </c>
      <c r="E223" t="s">
        <v>3913</v>
      </c>
      <c r="F223" t="s">
        <v>3372</v>
      </c>
      <c r="G223" t="s">
        <v>3346</v>
      </c>
      <c r="H223" t="s">
        <v>3416</v>
      </c>
      <c r="I223" t="s">
        <v>1333</v>
      </c>
      <c r="J223" t="s">
        <v>1334</v>
      </c>
      <c r="L223" t="s">
        <v>1396</v>
      </c>
      <c r="N223" t="s">
        <v>1307</v>
      </c>
      <c r="O223" t="s">
        <v>3914</v>
      </c>
      <c r="P223" t="s">
        <v>3915</v>
      </c>
    </row>
    <row r="224" spans="1:16" x14ac:dyDescent="0.25">
      <c r="A224" t="s">
        <v>3110</v>
      </c>
      <c r="B224" t="s">
        <v>3850</v>
      </c>
      <c r="C224" t="s">
        <v>3343</v>
      </c>
      <c r="D224" t="s">
        <v>3344</v>
      </c>
      <c r="E224" t="s">
        <v>3916</v>
      </c>
      <c r="F224" t="s">
        <v>3344</v>
      </c>
      <c r="G224" t="s">
        <v>3346</v>
      </c>
      <c r="H224" t="s">
        <v>3337</v>
      </c>
      <c r="I224" t="s">
        <v>1333</v>
      </c>
      <c r="J224" t="s">
        <v>1334</v>
      </c>
      <c r="L224" t="s">
        <v>1396</v>
      </c>
      <c r="N224" t="s">
        <v>1307</v>
      </c>
      <c r="O224" t="s">
        <v>3917</v>
      </c>
      <c r="P224" t="s">
        <v>3918</v>
      </c>
    </row>
    <row r="225" spans="1:16" x14ac:dyDescent="0.25">
      <c r="A225" t="s">
        <v>3112</v>
      </c>
      <c r="B225" t="s">
        <v>3850</v>
      </c>
      <c r="C225" t="s">
        <v>3350</v>
      </c>
      <c r="D225" t="s">
        <v>3344</v>
      </c>
      <c r="E225" t="s">
        <v>3919</v>
      </c>
      <c r="F225" t="s">
        <v>3344</v>
      </c>
      <c r="G225" t="s">
        <v>3346</v>
      </c>
      <c r="H225" t="s">
        <v>3362</v>
      </c>
      <c r="I225" t="s">
        <v>1524</v>
      </c>
      <c r="J225" t="s">
        <v>1525</v>
      </c>
      <c r="L225" t="s">
        <v>1396</v>
      </c>
      <c r="N225" t="s">
        <v>1307</v>
      </c>
      <c r="O225" t="s">
        <v>3920</v>
      </c>
      <c r="P225" t="s">
        <v>3921</v>
      </c>
    </row>
    <row r="226" spans="1:16" x14ac:dyDescent="0.25">
      <c r="A226" t="s">
        <v>2140</v>
      </c>
      <c r="B226" t="s">
        <v>3850</v>
      </c>
      <c r="C226" t="s">
        <v>3329</v>
      </c>
      <c r="D226" t="s">
        <v>3330</v>
      </c>
      <c r="H226" t="s">
        <v>3425</v>
      </c>
      <c r="I226" t="s">
        <v>2092</v>
      </c>
      <c r="J226" t="s">
        <v>2093</v>
      </c>
      <c r="L226" t="s">
        <v>1575</v>
      </c>
      <c r="N226" t="s">
        <v>1319</v>
      </c>
      <c r="O226" t="s">
        <v>3922</v>
      </c>
      <c r="P226" t="s">
        <v>3923</v>
      </c>
    </row>
    <row r="227" spans="1:16" x14ac:dyDescent="0.25">
      <c r="A227" t="s">
        <v>3115</v>
      </c>
      <c r="B227" t="s">
        <v>3850</v>
      </c>
      <c r="C227" t="s">
        <v>3329</v>
      </c>
      <c r="D227" t="s">
        <v>3330</v>
      </c>
      <c r="H227" t="s">
        <v>3416</v>
      </c>
      <c r="I227" t="s">
        <v>2092</v>
      </c>
      <c r="J227" t="s">
        <v>2093</v>
      </c>
      <c r="L227" t="s">
        <v>1396</v>
      </c>
      <c r="N227" t="s">
        <v>1307</v>
      </c>
      <c r="O227" t="s">
        <v>3924</v>
      </c>
      <c r="P227" t="s">
        <v>3925</v>
      </c>
    </row>
    <row r="228" spans="1:16" x14ac:dyDescent="0.25">
      <c r="A228" t="s">
        <v>3119</v>
      </c>
      <c r="B228" t="s">
        <v>3850</v>
      </c>
      <c r="C228" t="s">
        <v>3329</v>
      </c>
      <c r="D228" t="s">
        <v>3330</v>
      </c>
      <c r="H228" t="s">
        <v>3337</v>
      </c>
      <c r="I228" t="s">
        <v>2092</v>
      </c>
      <c r="J228" t="s">
        <v>2093</v>
      </c>
      <c r="L228" t="s">
        <v>1396</v>
      </c>
      <c r="N228" t="s">
        <v>1307</v>
      </c>
      <c r="O228" t="s">
        <v>3926</v>
      </c>
      <c r="P228" t="s">
        <v>3927</v>
      </c>
    </row>
    <row r="229" spans="1:16" x14ac:dyDescent="0.25">
      <c r="A229" t="s">
        <v>2144</v>
      </c>
      <c r="B229" t="s">
        <v>3850</v>
      </c>
      <c r="C229" t="s">
        <v>3329</v>
      </c>
      <c r="D229" t="s">
        <v>3330</v>
      </c>
      <c r="H229" t="s">
        <v>3466</v>
      </c>
      <c r="I229" t="s">
        <v>2092</v>
      </c>
      <c r="J229" t="s">
        <v>2149</v>
      </c>
      <c r="L229" t="s">
        <v>1575</v>
      </c>
      <c r="N229" t="s">
        <v>1319</v>
      </c>
      <c r="O229" t="s">
        <v>3928</v>
      </c>
      <c r="P229" t="s">
        <v>3929</v>
      </c>
    </row>
    <row r="230" spans="1:16" x14ac:dyDescent="0.25">
      <c r="A230" t="s">
        <v>2150</v>
      </c>
      <c r="B230" t="s">
        <v>3850</v>
      </c>
      <c r="C230" t="s">
        <v>3336</v>
      </c>
      <c r="D230" t="s">
        <v>3344</v>
      </c>
      <c r="E230" t="s">
        <v>3930</v>
      </c>
      <c r="F230" t="s">
        <v>3344</v>
      </c>
      <c r="G230" t="s">
        <v>3346</v>
      </c>
      <c r="H230" t="s">
        <v>3416</v>
      </c>
      <c r="I230" t="s">
        <v>1394</v>
      </c>
      <c r="J230" t="s">
        <v>1496</v>
      </c>
      <c r="L230" t="s">
        <v>1396</v>
      </c>
      <c r="N230" t="s">
        <v>1319</v>
      </c>
      <c r="O230" t="s">
        <v>3931</v>
      </c>
      <c r="P230" t="s">
        <v>3932</v>
      </c>
    </row>
    <row r="231" spans="1:16" x14ac:dyDescent="0.25">
      <c r="A231" t="s">
        <v>2153</v>
      </c>
      <c r="B231" t="s">
        <v>3850</v>
      </c>
      <c r="C231" t="s">
        <v>3329</v>
      </c>
      <c r="D231" t="s">
        <v>3344</v>
      </c>
      <c r="E231" t="s">
        <v>3933</v>
      </c>
      <c r="F231" t="s">
        <v>3344</v>
      </c>
      <c r="G231" t="s">
        <v>3346</v>
      </c>
      <c r="H231" t="s">
        <v>3390</v>
      </c>
      <c r="I231" t="s">
        <v>1333</v>
      </c>
      <c r="J231" t="s">
        <v>1334</v>
      </c>
      <c r="L231" t="s">
        <v>1396</v>
      </c>
      <c r="N231" t="s">
        <v>1319</v>
      </c>
      <c r="O231" t="s">
        <v>3934</v>
      </c>
      <c r="P231" t="s">
        <v>3935</v>
      </c>
    </row>
    <row r="232" spans="1:16" x14ac:dyDescent="0.25">
      <c r="A232" t="s">
        <v>2155</v>
      </c>
      <c r="B232" t="s">
        <v>3936</v>
      </c>
      <c r="C232" t="s">
        <v>3343</v>
      </c>
      <c r="D232" t="s">
        <v>3344</v>
      </c>
      <c r="E232" t="s">
        <v>3937</v>
      </c>
      <c r="F232" t="s">
        <v>3344</v>
      </c>
      <c r="G232" t="s">
        <v>3346</v>
      </c>
      <c r="H232" t="s">
        <v>3419</v>
      </c>
      <c r="I232" t="s">
        <v>2158</v>
      </c>
      <c r="J232" t="s">
        <v>1698</v>
      </c>
      <c r="K232" t="s">
        <v>3938</v>
      </c>
      <c r="L232" t="s">
        <v>1575</v>
      </c>
      <c r="N232" t="s">
        <v>1319</v>
      </c>
      <c r="O232" t="s">
        <v>3939</v>
      </c>
      <c r="P232" t="s">
        <v>3940</v>
      </c>
    </row>
    <row r="233" spans="1:16" x14ac:dyDescent="0.25">
      <c r="A233" t="s">
        <v>2159</v>
      </c>
      <c r="B233" t="s">
        <v>3936</v>
      </c>
      <c r="C233" t="s">
        <v>3350</v>
      </c>
      <c r="D233" t="s">
        <v>3344</v>
      </c>
      <c r="E233" t="s">
        <v>3941</v>
      </c>
      <c r="F233" t="s">
        <v>3344</v>
      </c>
      <c r="G233" t="s">
        <v>3346</v>
      </c>
      <c r="H233" t="s">
        <v>3362</v>
      </c>
      <c r="I233" t="s">
        <v>1333</v>
      </c>
      <c r="J233" t="s">
        <v>1334</v>
      </c>
      <c r="L233" t="s">
        <v>1396</v>
      </c>
      <c r="N233" t="s">
        <v>1319</v>
      </c>
      <c r="O233" t="s">
        <v>3942</v>
      </c>
      <c r="P233" t="s">
        <v>3943</v>
      </c>
    </row>
    <row r="234" spans="1:16" x14ac:dyDescent="0.25">
      <c r="A234" t="s">
        <v>3123</v>
      </c>
      <c r="B234" t="s">
        <v>3936</v>
      </c>
      <c r="C234" t="s">
        <v>3343</v>
      </c>
      <c r="D234" t="s">
        <v>3344</v>
      </c>
      <c r="E234" t="s">
        <v>3944</v>
      </c>
      <c r="F234" t="s">
        <v>3344</v>
      </c>
      <c r="G234" t="s">
        <v>3346</v>
      </c>
      <c r="H234" t="s">
        <v>3475</v>
      </c>
      <c r="I234" t="s">
        <v>1567</v>
      </c>
      <c r="J234" t="s">
        <v>1568</v>
      </c>
      <c r="L234" t="s">
        <v>1335</v>
      </c>
      <c r="N234" t="s">
        <v>1307</v>
      </c>
      <c r="O234" t="s">
        <v>3945</v>
      </c>
      <c r="P234" t="s">
        <v>3946</v>
      </c>
    </row>
    <row r="235" spans="1:16" x14ac:dyDescent="0.25">
      <c r="A235" t="s">
        <v>2163</v>
      </c>
      <c r="B235" t="s">
        <v>3936</v>
      </c>
      <c r="C235" t="s">
        <v>3350</v>
      </c>
      <c r="D235" t="s">
        <v>3344</v>
      </c>
      <c r="E235" t="s">
        <v>3947</v>
      </c>
      <c r="F235" t="s">
        <v>3344</v>
      </c>
      <c r="G235" t="s">
        <v>3346</v>
      </c>
      <c r="H235" t="s">
        <v>3368</v>
      </c>
      <c r="I235" t="s">
        <v>2092</v>
      </c>
      <c r="J235" t="s">
        <v>2093</v>
      </c>
      <c r="L235" t="s">
        <v>1396</v>
      </c>
      <c r="N235" t="s">
        <v>1319</v>
      </c>
      <c r="O235" t="s">
        <v>3948</v>
      </c>
      <c r="P235" t="s">
        <v>3949</v>
      </c>
    </row>
    <row r="236" spans="1:16" x14ac:dyDescent="0.25">
      <c r="A236" t="s">
        <v>2166</v>
      </c>
      <c r="B236" t="s">
        <v>3936</v>
      </c>
      <c r="C236" t="s">
        <v>3350</v>
      </c>
      <c r="D236" t="s">
        <v>3344</v>
      </c>
      <c r="E236" t="s">
        <v>3950</v>
      </c>
      <c r="F236" t="s">
        <v>3344</v>
      </c>
      <c r="G236" t="s">
        <v>3346</v>
      </c>
      <c r="H236" t="s">
        <v>3437</v>
      </c>
      <c r="I236" t="s">
        <v>1333</v>
      </c>
      <c r="J236" t="s">
        <v>1334</v>
      </c>
      <c r="L236" t="s">
        <v>1396</v>
      </c>
      <c r="N236" t="s">
        <v>1319</v>
      </c>
      <c r="O236" t="s">
        <v>3951</v>
      </c>
      <c r="P236" t="s">
        <v>3952</v>
      </c>
    </row>
    <row r="237" spans="1:16" x14ac:dyDescent="0.25">
      <c r="A237" t="s">
        <v>2170</v>
      </c>
      <c r="B237" t="s">
        <v>3936</v>
      </c>
      <c r="C237" t="s">
        <v>3343</v>
      </c>
      <c r="D237" t="s">
        <v>3344</v>
      </c>
      <c r="E237" t="s">
        <v>3953</v>
      </c>
      <c r="F237" t="s">
        <v>3372</v>
      </c>
      <c r="G237" t="s">
        <v>3346</v>
      </c>
      <c r="H237" t="s">
        <v>3357</v>
      </c>
      <c r="I237" t="s">
        <v>1333</v>
      </c>
      <c r="J237" t="s">
        <v>1334</v>
      </c>
      <c r="L237" t="s">
        <v>1396</v>
      </c>
      <c r="N237" t="s">
        <v>1319</v>
      </c>
      <c r="O237" t="s">
        <v>3954</v>
      </c>
      <c r="P237" t="s">
        <v>3955</v>
      </c>
    </row>
    <row r="238" spans="1:16" x14ac:dyDescent="0.25">
      <c r="A238" t="s">
        <v>2173</v>
      </c>
      <c r="B238" t="s">
        <v>3936</v>
      </c>
      <c r="C238" t="s">
        <v>3333</v>
      </c>
      <c r="D238" t="s">
        <v>3330</v>
      </c>
      <c r="H238" t="s">
        <v>3373</v>
      </c>
      <c r="I238" t="s">
        <v>2076</v>
      </c>
      <c r="J238" t="s">
        <v>2077</v>
      </c>
      <c r="L238" t="s">
        <v>1396</v>
      </c>
      <c r="N238" t="s">
        <v>1319</v>
      </c>
      <c r="O238" t="s">
        <v>3956</v>
      </c>
      <c r="P238" t="s">
        <v>3957</v>
      </c>
    </row>
    <row r="239" spans="1:16" x14ac:dyDescent="0.25">
      <c r="A239" t="s">
        <v>2176</v>
      </c>
      <c r="B239" t="s">
        <v>3936</v>
      </c>
      <c r="C239" t="s">
        <v>3343</v>
      </c>
      <c r="D239" t="s">
        <v>3344</v>
      </c>
      <c r="E239" t="s">
        <v>3958</v>
      </c>
      <c r="F239" t="s">
        <v>3344</v>
      </c>
      <c r="G239" t="s">
        <v>3346</v>
      </c>
      <c r="H239" t="s">
        <v>3442</v>
      </c>
      <c r="I239" t="s">
        <v>1333</v>
      </c>
      <c r="J239" t="s">
        <v>1334</v>
      </c>
      <c r="L239" t="s">
        <v>1396</v>
      </c>
      <c r="N239" t="s">
        <v>1319</v>
      </c>
      <c r="O239" t="s">
        <v>3959</v>
      </c>
      <c r="P239" t="s">
        <v>3960</v>
      </c>
    </row>
    <row r="240" spans="1:16" x14ac:dyDescent="0.25">
      <c r="A240" t="s">
        <v>2178</v>
      </c>
      <c r="B240" t="s">
        <v>3936</v>
      </c>
      <c r="C240" t="s">
        <v>3350</v>
      </c>
      <c r="D240" t="s">
        <v>3344</v>
      </c>
      <c r="E240" t="s">
        <v>3961</v>
      </c>
      <c r="F240" t="s">
        <v>3344</v>
      </c>
      <c r="G240" t="s">
        <v>3346</v>
      </c>
      <c r="H240" t="s">
        <v>3387</v>
      </c>
      <c r="I240" t="s">
        <v>1333</v>
      </c>
      <c r="J240" t="s">
        <v>1334</v>
      </c>
      <c r="L240" t="s">
        <v>1396</v>
      </c>
      <c r="N240" t="s">
        <v>1319</v>
      </c>
      <c r="O240" t="s">
        <v>3962</v>
      </c>
      <c r="P240" t="s">
        <v>3963</v>
      </c>
    </row>
    <row r="241" spans="1:16" x14ac:dyDescent="0.25">
      <c r="A241" t="s">
        <v>2182</v>
      </c>
      <c r="B241" t="s">
        <v>3936</v>
      </c>
      <c r="C241" t="s">
        <v>3356</v>
      </c>
      <c r="D241" t="s">
        <v>3330</v>
      </c>
      <c r="H241" t="s">
        <v>3491</v>
      </c>
      <c r="I241" t="s">
        <v>2061</v>
      </c>
      <c r="J241" t="s">
        <v>2186</v>
      </c>
      <c r="L241" t="s">
        <v>1335</v>
      </c>
      <c r="N241" t="s">
        <v>1319</v>
      </c>
      <c r="O241" t="s">
        <v>3964</v>
      </c>
      <c r="P241" t="s">
        <v>3965</v>
      </c>
    </row>
    <row r="242" spans="1:16" x14ac:dyDescent="0.25">
      <c r="A242" t="s">
        <v>2187</v>
      </c>
      <c r="B242" t="s">
        <v>3936</v>
      </c>
      <c r="C242" t="s">
        <v>3333</v>
      </c>
      <c r="D242" t="s">
        <v>3330</v>
      </c>
      <c r="H242" t="s">
        <v>3494</v>
      </c>
      <c r="I242" t="s">
        <v>2076</v>
      </c>
      <c r="J242" t="s">
        <v>2077</v>
      </c>
      <c r="L242" t="s">
        <v>1335</v>
      </c>
      <c r="N242" t="s">
        <v>1319</v>
      </c>
      <c r="O242" t="s">
        <v>3966</v>
      </c>
      <c r="P242" t="s">
        <v>3967</v>
      </c>
    </row>
    <row r="243" spans="1:16" x14ac:dyDescent="0.25">
      <c r="A243" t="s">
        <v>2190</v>
      </c>
      <c r="B243" t="s">
        <v>3936</v>
      </c>
      <c r="C243" t="s">
        <v>3356</v>
      </c>
      <c r="D243" t="s">
        <v>3330</v>
      </c>
      <c r="H243" t="s">
        <v>3463</v>
      </c>
      <c r="I243" t="s">
        <v>2061</v>
      </c>
      <c r="J243" t="s">
        <v>2186</v>
      </c>
      <c r="L243" t="s">
        <v>1335</v>
      </c>
      <c r="N243" t="s">
        <v>1319</v>
      </c>
      <c r="O243" t="s">
        <v>3968</v>
      </c>
      <c r="P243" t="s">
        <v>3969</v>
      </c>
    </row>
    <row r="244" spans="1:16" x14ac:dyDescent="0.25">
      <c r="A244" t="s">
        <v>2194</v>
      </c>
      <c r="B244" t="s">
        <v>3936</v>
      </c>
      <c r="C244" t="s">
        <v>3336</v>
      </c>
      <c r="D244" t="s">
        <v>3330</v>
      </c>
      <c r="H244" t="s">
        <v>3337</v>
      </c>
      <c r="I244" t="s">
        <v>2092</v>
      </c>
      <c r="J244" t="s">
        <v>2196</v>
      </c>
      <c r="L244" t="s">
        <v>1335</v>
      </c>
      <c r="N244" t="s">
        <v>1319</v>
      </c>
      <c r="O244" t="s">
        <v>3970</v>
      </c>
      <c r="P244" t="s">
        <v>3971</v>
      </c>
    </row>
    <row r="245" spans="1:16" x14ac:dyDescent="0.25">
      <c r="A245" t="s">
        <v>2197</v>
      </c>
      <c r="B245" t="s">
        <v>3936</v>
      </c>
      <c r="C245" t="s">
        <v>3333</v>
      </c>
      <c r="D245" t="s">
        <v>3330</v>
      </c>
      <c r="H245" t="s">
        <v>3434</v>
      </c>
      <c r="I245" t="s">
        <v>2076</v>
      </c>
      <c r="J245" t="s">
        <v>1698</v>
      </c>
      <c r="K245" t="s">
        <v>3972</v>
      </c>
      <c r="L245" t="s">
        <v>1335</v>
      </c>
      <c r="N245" t="s">
        <v>1319</v>
      </c>
      <c r="O245" t="s">
        <v>3973</v>
      </c>
      <c r="P245" t="s">
        <v>3974</v>
      </c>
    </row>
    <row r="246" spans="1:16" x14ac:dyDescent="0.25">
      <c r="A246" t="s">
        <v>3127</v>
      </c>
      <c r="B246" t="s">
        <v>3936</v>
      </c>
      <c r="C246" t="s">
        <v>3356</v>
      </c>
      <c r="D246" t="s">
        <v>3330</v>
      </c>
      <c r="H246" t="s">
        <v>3347</v>
      </c>
      <c r="I246" t="s">
        <v>2061</v>
      </c>
      <c r="J246" t="s">
        <v>3132</v>
      </c>
      <c r="L246" t="s">
        <v>1335</v>
      </c>
      <c r="N246" t="s">
        <v>1307</v>
      </c>
      <c r="O246" t="s">
        <v>3975</v>
      </c>
      <c r="P246" t="s">
        <v>3976</v>
      </c>
    </row>
    <row r="247" spans="1:16" x14ac:dyDescent="0.25">
      <c r="A247" t="s">
        <v>2200</v>
      </c>
      <c r="B247" t="s">
        <v>3936</v>
      </c>
      <c r="C247" t="s">
        <v>3333</v>
      </c>
      <c r="D247" t="s">
        <v>3330</v>
      </c>
      <c r="H247" t="s">
        <v>3766</v>
      </c>
      <c r="I247" t="s">
        <v>2076</v>
      </c>
      <c r="J247" t="s">
        <v>1698</v>
      </c>
      <c r="K247" t="s">
        <v>3977</v>
      </c>
      <c r="L247" t="s">
        <v>1335</v>
      </c>
      <c r="N247" t="s">
        <v>1319</v>
      </c>
      <c r="O247" t="s">
        <v>3978</v>
      </c>
      <c r="P247" t="s">
        <v>3979</v>
      </c>
    </row>
    <row r="248" spans="1:16" x14ac:dyDescent="0.25">
      <c r="A248" t="s">
        <v>3133</v>
      </c>
      <c r="B248" t="s">
        <v>3936</v>
      </c>
      <c r="C248" t="s">
        <v>3343</v>
      </c>
      <c r="D248" t="s">
        <v>3344</v>
      </c>
      <c r="E248" t="s">
        <v>3980</v>
      </c>
      <c r="F248" t="s">
        <v>3344</v>
      </c>
      <c r="G248" t="s">
        <v>3346</v>
      </c>
      <c r="H248" t="s">
        <v>3394</v>
      </c>
      <c r="I248" t="s">
        <v>1333</v>
      </c>
      <c r="J248" t="s">
        <v>1334</v>
      </c>
      <c r="L248" t="s">
        <v>1396</v>
      </c>
      <c r="N248" t="s">
        <v>1307</v>
      </c>
      <c r="O248" t="s">
        <v>3981</v>
      </c>
      <c r="P248" t="s">
        <v>3982</v>
      </c>
    </row>
    <row r="249" spans="1:16" x14ac:dyDescent="0.25">
      <c r="A249" t="s">
        <v>2204</v>
      </c>
      <c r="B249" t="s">
        <v>3936</v>
      </c>
      <c r="C249" t="s">
        <v>3356</v>
      </c>
      <c r="D249" t="s">
        <v>3330</v>
      </c>
      <c r="H249" t="s">
        <v>3466</v>
      </c>
      <c r="I249" t="s">
        <v>2061</v>
      </c>
      <c r="J249" t="s">
        <v>2062</v>
      </c>
      <c r="L249" t="s">
        <v>1335</v>
      </c>
      <c r="N249" t="s">
        <v>1319</v>
      </c>
      <c r="O249" t="s">
        <v>3983</v>
      </c>
      <c r="P249" t="s">
        <v>3984</v>
      </c>
    </row>
    <row r="250" spans="1:16" x14ac:dyDescent="0.25">
      <c r="A250" t="s">
        <v>3136</v>
      </c>
      <c r="B250" t="s">
        <v>3936</v>
      </c>
      <c r="C250" t="s">
        <v>3350</v>
      </c>
      <c r="D250" t="s">
        <v>3344</v>
      </c>
      <c r="E250" t="s">
        <v>3985</v>
      </c>
      <c r="F250" t="s">
        <v>3344</v>
      </c>
      <c r="G250" t="s">
        <v>3346</v>
      </c>
      <c r="H250" t="s">
        <v>3466</v>
      </c>
      <c r="I250" t="s">
        <v>1333</v>
      </c>
      <c r="J250" t="s">
        <v>1334</v>
      </c>
      <c r="L250" t="s">
        <v>1396</v>
      </c>
      <c r="N250" t="s">
        <v>1307</v>
      </c>
      <c r="O250" t="s">
        <v>3986</v>
      </c>
      <c r="P250" t="s">
        <v>3987</v>
      </c>
    </row>
    <row r="251" spans="1:16" x14ac:dyDescent="0.25">
      <c r="A251" t="s">
        <v>2209</v>
      </c>
      <c r="B251" t="s">
        <v>3936</v>
      </c>
      <c r="C251" t="s">
        <v>3356</v>
      </c>
      <c r="D251" t="s">
        <v>3330</v>
      </c>
      <c r="H251" t="s">
        <v>3378</v>
      </c>
      <c r="I251" t="s">
        <v>2061</v>
      </c>
      <c r="J251" t="s">
        <v>2062</v>
      </c>
      <c r="L251" t="s">
        <v>1335</v>
      </c>
      <c r="N251" t="s">
        <v>1319</v>
      </c>
      <c r="O251" t="s">
        <v>3988</v>
      </c>
      <c r="P251" t="s">
        <v>3989</v>
      </c>
    </row>
    <row r="252" spans="1:16" x14ac:dyDescent="0.25">
      <c r="A252" t="s">
        <v>3138</v>
      </c>
      <c r="B252" t="s">
        <v>3936</v>
      </c>
      <c r="C252" t="s">
        <v>3336</v>
      </c>
      <c r="D252" t="s">
        <v>3330</v>
      </c>
      <c r="H252" t="s">
        <v>3414</v>
      </c>
      <c r="I252" t="s">
        <v>2092</v>
      </c>
      <c r="J252" t="s">
        <v>3141</v>
      </c>
      <c r="L252" t="s">
        <v>1575</v>
      </c>
      <c r="N252" t="s">
        <v>1307</v>
      </c>
      <c r="O252" t="s">
        <v>3990</v>
      </c>
      <c r="P252" t="s">
        <v>3991</v>
      </c>
    </row>
    <row r="253" spans="1:16" x14ac:dyDescent="0.25">
      <c r="A253" t="s">
        <v>2213</v>
      </c>
      <c r="B253" t="s">
        <v>3936</v>
      </c>
      <c r="C253" t="s">
        <v>3343</v>
      </c>
      <c r="D253" t="s">
        <v>3344</v>
      </c>
      <c r="E253" t="s">
        <v>3992</v>
      </c>
      <c r="F253" t="s">
        <v>3344</v>
      </c>
      <c r="G253" t="s">
        <v>3346</v>
      </c>
      <c r="H253" t="s">
        <v>3450</v>
      </c>
      <c r="I253" t="s">
        <v>2061</v>
      </c>
      <c r="J253" t="s">
        <v>2216</v>
      </c>
      <c r="L253" t="s">
        <v>1575</v>
      </c>
      <c r="N253" t="s">
        <v>1319</v>
      </c>
      <c r="O253" t="s">
        <v>3993</v>
      </c>
      <c r="P253" t="s">
        <v>3994</v>
      </c>
    </row>
    <row r="254" spans="1:16" x14ac:dyDescent="0.25">
      <c r="A254" t="s">
        <v>2217</v>
      </c>
      <c r="B254" t="s">
        <v>3936</v>
      </c>
      <c r="C254" t="s">
        <v>3336</v>
      </c>
      <c r="D254" t="s">
        <v>3330</v>
      </c>
      <c r="H254" t="s">
        <v>3373</v>
      </c>
      <c r="I254" t="s">
        <v>2092</v>
      </c>
      <c r="J254" t="s">
        <v>2219</v>
      </c>
      <c r="L254" t="s">
        <v>1396</v>
      </c>
      <c r="N254" t="s">
        <v>1319</v>
      </c>
      <c r="O254" t="s">
        <v>3995</v>
      </c>
      <c r="P254" t="s">
        <v>3996</v>
      </c>
    </row>
    <row r="255" spans="1:16" x14ac:dyDescent="0.25">
      <c r="A255" t="s">
        <v>2220</v>
      </c>
      <c r="B255" t="s">
        <v>3936</v>
      </c>
      <c r="C255" t="s">
        <v>3350</v>
      </c>
      <c r="D255" t="s">
        <v>3344</v>
      </c>
      <c r="E255" t="s">
        <v>3997</v>
      </c>
      <c r="F255" t="s">
        <v>3344</v>
      </c>
      <c r="G255" t="s">
        <v>3346</v>
      </c>
      <c r="H255" t="s">
        <v>3412</v>
      </c>
      <c r="I255" t="s">
        <v>1524</v>
      </c>
      <c r="J255" t="s">
        <v>1525</v>
      </c>
      <c r="L255" t="s">
        <v>1396</v>
      </c>
      <c r="N255" t="s">
        <v>1319</v>
      </c>
      <c r="O255" t="s">
        <v>3998</v>
      </c>
      <c r="P255" t="s">
        <v>3999</v>
      </c>
    </row>
    <row r="256" spans="1:16" x14ac:dyDescent="0.25">
      <c r="A256" t="s">
        <v>2227</v>
      </c>
      <c r="B256" t="s">
        <v>3936</v>
      </c>
      <c r="C256" t="s">
        <v>3343</v>
      </c>
      <c r="D256" t="s">
        <v>3344</v>
      </c>
      <c r="E256" t="s">
        <v>4000</v>
      </c>
      <c r="F256" t="s">
        <v>3344</v>
      </c>
      <c r="G256" t="s">
        <v>3346</v>
      </c>
      <c r="H256" t="s">
        <v>3491</v>
      </c>
      <c r="I256" t="s">
        <v>2230</v>
      </c>
      <c r="J256" t="s">
        <v>2231</v>
      </c>
      <c r="L256" t="s">
        <v>1396</v>
      </c>
      <c r="N256" t="s">
        <v>1319</v>
      </c>
      <c r="O256" t="s">
        <v>4001</v>
      </c>
      <c r="P256" t="s">
        <v>4002</v>
      </c>
    </row>
    <row r="257" spans="1:16" x14ac:dyDescent="0.25">
      <c r="A257" t="s">
        <v>3142</v>
      </c>
      <c r="B257" t="s">
        <v>3936</v>
      </c>
      <c r="C257" t="s">
        <v>3350</v>
      </c>
      <c r="D257" t="s">
        <v>3344</v>
      </c>
      <c r="E257" t="s">
        <v>4003</v>
      </c>
      <c r="F257" t="s">
        <v>3372</v>
      </c>
      <c r="G257" t="s">
        <v>3346</v>
      </c>
      <c r="H257" t="s">
        <v>3458</v>
      </c>
      <c r="I257" t="s">
        <v>1333</v>
      </c>
      <c r="J257" t="s">
        <v>1334</v>
      </c>
      <c r="L257" t="s">
        <v>1396</v>
      </c>
      <c r="N257" t="s">
        <v>1307</v>
      </c>
      <c r="O257" t="s">
        <v>4004</v>
      </c>
      <c r="P257" t="s">
        <v>4005</v>
      </c>
    </row>
    <row r="258" spans="1:16" x14ac:dyDescent="0.25">
      <c r="A258" t="s">
        <v>3145</v>
      </c>
      <c r="B258" t="s">
        <v>3936</v>
      </c>
      <c r="C258" t="s">
        <v>3329</v>
      </c>
      <c r="D258" t="s">
        <v>3330</v>
      </c>
      <c r="H258" t="s">
        <v>3347</v>
      </c>
      <c r="I258" t="s">
        <v>2092</v>
      </c>
      <c r="J258" t="s">
        <v>3148</v>
      </c>
      <c r="L258" t="s">
        <v>1396</v>
      </c>
      <c r="N258" t="s">
        <v>1307</v>
      </c>
      <c r="O258" t="s">
        <v>4006</v>
      </c>
      <c r="P258" t="s">
        <v>4007</v>
      </c>
    </row>
    <row r="259" spans="1:16" x14ac:dyDescent="0.25">
      <c r="A259" t="s">
        <v>3149</v>
      </c>
      <c r="B259" t="s">
        <v>3936</v>
      </c>
      <c r="C259" t="s">
        <v>3329</v>
      </c>
      <c r="D259" t="s">
        <v>3330</v>
      </c>
      <c r="H259" t="s">
        <v>3394</v>
      </c>
      <c r="I259" t="s">
        <v>2092</v>
      </c>
      <c r="J259" t="s">
        <v>3148</v>
      </c>
      <c r="L259" t="s">
        <v>1396</v>
      </c>
      <c r="N259" t="s">
        <v>1307</v>
      </c>
      <c r="O259" t="s">
        <v>4008</v>
      </c>
      <c r="P259" t="s">
        <v>4009</v>
      </c>
    </row>
    <row r="260" spans="1:16" x14ac:dyDescent="0.25">
      <c r="A260" t="s">
        <v>2232</v>
      </c>
      <c r="B260" t="s">
        <v>3936</v>
      </c>
      <c r="C260" t="s">
        <v>3329</v>
      </c>
      <c r="D260" t="s">
        <v>3330</v>
      </c>
      <c r="H260" t="s">
        <v>3334</v>
      </c>
      <c r="I260" t="s">
        <v>2092</v>
      </c>
      <c r="J260" t="s">
        <v>2093</v>
      </c>
      <c r="L260" t="s">
        <v>1396</v>
      </c>
      <c r="N260" t="s">
        <v>1319</v>
      </c>
      <c r="O260" t="s">
        <v>4010</v>
      </c>
      <c r="P260" t="s">
        <v>4011</v>
      </c>
    </row>
    <row r="261" spans="1:16" x14ac:dyDescent="0.25">
      <c r="A261" t="s">
        <v>2237</v>
      </c>
      <c r="B261" t="s">
        <v>3936</v>
      </c>
      <c r="C261" t="s">
        <v>3343</v>
      </c>
      <c r="D261" t="s">
        <v>3344</v>
      </c>
      <c r="E261" t="s">
        <v>4012</v>
      </c>
      <c r="F261" t="s">
        <v>3344</v>
      </c>
      <c r="G261" t="s">
        <v>3346</v>
      </c>
      <c r="H261" t="s">
        <v>3394</v>
      </c>
      <c r="I261" t="s">
        <v>1524</v>
      </c>
      <c r="J261" t="s">
        <v>1525</v>
      </c>
      <c r="L261" t="s">
        <v>1335</v>
      </c>
      <c r="N261" t="s">
        <v>1319</v>
      </c>
      <c r="O261" t="s">
        <v>4013</v>
      </c>
      <c r="P261" t="s">
        <v>4014</v>
      </c>
    </row>
    <row r="262" spans="1:16" x14ac:dyDescent="0.25">
      <c r="A262" t="s">
        <v>3152</v>
      </c>
      <c r="B262" t="s">
        <v>3936</v>
      </c>
      <c r="C262" t="s">
        <v>3350</v>
      </c>
      <c r="D262" t="s">
        <v>3344</v>
      </c>
      <c r="E262" t="s">
        <v>4015</v>
      </c>
      <c r="F262" t="s">
        <v>3344</v>
      </c>
      <c r="G262" t="s">
        <v>3346</v>
      </c>
      <c r="H262" t="s">
        <v>3357</v>
      </c>
      <c r="I262" t="s">
        <v>1333</v>
      </c>
      <c r="J262" t="s">
        <v>3155</v>
      </c>
      <c r="L262" t="s">
        <v>1575</v>
      </c>
      <c r="N262" t="s">
        <v>1307</v>
      </c>
      <c r="O262" t="s">
        <v>4016</v>
      </c>
      <c r="P262" t="s">
        <v>4017</v>
      </c>
    </row>
    <row r="263" spans="1:16" x14ac:dyDescent="0.25">
      <c r="A263" t="s">
        <v>2241</v>
      </c>
      <c r="B263" t="s">
        <v>4018</v>
      </c>
      <c r="C263" t="s">
        <v>3350</v>
      </c>
      <c r="D263" t="s">
        <v>3344</v>
      </c>
      <c r="E263" t="s">
        <v>4019</v>
      </c>
      <c r="F263" t="s">
        <v>3372</v>
      </c>
      <c r="G263" t="s">
        <v>3346</v>
      </c>
      <c r="H263" t="s">
        <v>3390</v>
      </c>
      <c r="I263" t="s">
        <v>1333</v>
      </c>
      <c r="J263" t="s">
        <v>1334</v>
      </c>
      <c r="L263" t="s">
        <v>1396</v>
      </c>
      <c r="N263" t="s">
        <v>1319</v>
      </c>
      <c r="O263" t="s">
        <v>4020</v>
      </c>
      <c r="P263" t="s">
        <v>4021</v>
      </c>
    </row>
    <row r="264" spans="1:16" x14ac:dyDescent="0.25">
      <c r="A264" t="s">
        <v>2243</v>
      </c>
      <c r="B264" t="s">
        <v>3936</v>
      </c>
      <c r="C264" t="s">
        <v>3343</v>
      </c>
      <c r="D264" t="s">
        <v>3344</v>
      </c>
      <c r="E264" t="s">
        <v>4022</v>
      </c>
      <c r="F264" t="s">
        <v>3372</v>
      </c>
      <c r="G264" t="s">
        <v>3346</v>
      </c>
      <c r="H264" t="s">
        <v>3448</v>
      </c>
      <c r="I264" t="s">
        <v>1394</v>
      </c>
      <c r="J264" t="s">
        <v>1496</v>
      </c>
      <c r="L264" t="s">
        <v>1396</v>
      </c>
      <c r="N264" t="s">
        <v>1319</v>
      </c>
      <c r="O264" t="s">
        <v>4023</v>
      </c>
      <c r="P264" t="s">
        <v>4024</v>
      </c>
    </row>
    <row r="265" spans="1:16" x14ac:dyDescent="0.25">
      <c r="A265" t="s">
        <v>3156</v>
      </c>
      <c r="B265" t="s">
        <v>4018</v>
      </c>
      <c r="C265" t="s">
        <v>3343</v>
      </c>
      <c r="D265" t="s">
        <v>3344</v>
      </c>
      <c r="E265" t="s">
        <v>4025</v>
      </c>
      <c r="F265" t="s">
        <v>3344</v>
      </c>
      <c r="G265" t="s">
        <v>3346</v>
      </c>
      <c r="H265" t="s">
        <v>3419</v>
      </c>
      <c r="I265" t="s">
        <v>2158</v>
      </c>
      <c r="J265" t="s">
        <v>3158</v>
      </c>
      <c r="L265" t="s">
        <v>1780</v>
      </c>
      <c r="N265" t="s">
        <v>1307</v>
      </c>
      <c r="O265" t="s">
        <v>4026</v>
      </c>
      <c r="P265" t="s">
        <v>4027</v>
      </c>
    </row>
    <row r="266" spans="1:16" x14ac:dyDescent="0.25">
      <c r="A266" t="s">
        <v>2245</v>
      </c>
      <c r="B266" t="s">
        <v>4018</v>
      </c>
      <c r="C266" t="s">
        <v>3333</v>
      </c>
      <c r="D266" t="s">
        <v>3330</v>
      </c>
      <c r="H266" t="s">
        <v>3373</v>
      </c>
      <c r="I266" t="s">
        <v>2092</v>
      </c>
      <c r="J266" t="s">
        <v>2093</v>
      </c>
      <c r="L266" t="s">
        <v>1396</v>
      </c>
      <c r="N266" t="s">
        <v>1319</v>
      </c>
      <c r="O266" t="s">
        <v>4028</v>
      </c>
      <c r="P266" t="s">
        <v>4029</v>
      </c>
    </row>
    <row r="267" spans="1:16" x14ac:dyDescent="0.25">
      <c r="A267" t="s">
        <v>3159</v>
      </c>
      <c r="B267" t="s">
        <v>4018</v>
      </c>
      <c r="C267" t="s">
        <v>3350</v>
      </c>
      <c r="D267" t="s">
        <v>3344</v>
      </c>
      <c r="E267" t="s">
        <v>4030</v>
      </c>
      <c r="F267" t="s">
        <v>3372</v>
      </c>
      <c r="G267" t="s">
        <v>3346</v>
      </c>
      <c r="H267" t="s">
        <v>3830</v>
      </c>
      <c r="I267" t="s">
        <v>1333</v>
      </c>
      <c r="J267" t="s">
        <v>1334</v>
      </c>
      <c r="L267" t="s">
        <v>1396</v>
      </c>
      <c r="N267" t="s">
        <v>1307</v>
      </c>
      <c r="O267" t="s">
        <v>4031</v>
      </c>
      <c r="P267" t="s">
        <v>4032</v>
      </c>
    </row>
    <row r="268" spans="1:16" x14ac:dyDescent="0.25">
      <c r="A268" t="s">
        <v>2248</v>
      </c>
      <c r="B268" t="s">
        <v>4018</v>
      </c>
      <c r="C268" t="s">
        <v>3333</v>
      </c>
      <c r="D268" t="s">
        <v>3330</v>
      </c>
      <c r="H268" t="s">
        <v>3390</v>
      </c>
      <c r="I268" t="s">
        <v>2092</v>
      </c>
      <c r="J268" t="s">
        <v>2093</v>
      </c>
      <c r="L268" t="s">
        <v>1396</v>
      </c>
      <c r="N268" t="s">
        <v>1319</v>
      </c>
      <c r="O268" t="s">
        <v>4033</v>
      </c>
      <c r="P268" t="s">
        <v>4034</v>
      </c>
    </row>
    <row r="269" spans="1:16" x14ac:dyDescent="0.25">
      <c r="A269" t="s">
        <v>2254</v>
      </c>
      <c r="B269" t="s">
        <v>4018</v>
      </c>
      <c r="C269" t="s">
        <v>3333</v>
      </c>
      <c r="D269" t="s">
        <v>3330</v>
      </c>
      <c r="H269" t="s">
        <v>3398</v>
      </c>
      <c r="I269" t="s">
        <v>2092</v>
      </c>
      <c r="J269" t="s">
        <v>2093</v>
      </c>
      <c r="L269" t="s">
        <v>1575</v>
      </c>
      <c r="N269" t="s">
        <v>1319</v>
      </c>
      <c r="O269" t="s">
        <v>4035</v>
      </c>
      <c r="P269" t="s">
        <v>4036</v>
      </c>
    </row>
    <row r="270" spans="1:16" x14ac:dyDescent="0.25">
      <c r="A270" t="s">
        <v>2256</v>
      </c>
      <c r="B270" t="s">
        <v>4018</v>
      </c>
      <c r="C270" t="s">
        <v>3343</v>
      </c>
      <c r="D270" t="s">
        <v>3344</v>
      </c>
      <c r="E270" t="s">
        <v>4037</v>
      </c>
      <c r="F270" t="s">
        <v>3372</v>
      </c>
      <c r="G270" t="s">
        <v>3346</v>
      </c>
      <c r="H270" t="s">
        <v>3469</v>
      </c>
      <c r="I270" t="s">
        <v>1394</v>
      </c>
      <c r="J270" t="s">
        <v>2009</v>
      </c>
      <c r="L270" t="s">
        <v>1396</v>
      </c>
      <c r="N270" t="s">
        <v>1319</v>
      </c>
      <c r="O270" t="s">
        <v>4038</v>
      </c>
      <c r="P270" t="s">
        <v>4039</v>
      </c>
    </row>
    <row r="271" spans="1:16" x14ac:dyDescent="0.25">
      <c r="A271" t="s">
        <v>3161</v>
      </c>
      <c r="B271" t="s">
        <v>4018</v>
      </c>
      <c r="C271" t="s">
        <v>3350</v>
      </c>
      <c r="D271" t="s">
        <v>3344</v>
      </c>
      <c r="E271" t="s">
        <v>4040</v>
      </c>
      <c r="F271" t="s">
        <v>3344</v>
      </c>
      <c r="G271" t="s">
        <v>3346</v>
      </c>
      <c r="H271" t="s">
        <v>3394</v>
      </c>
      <c r="I271" t="s">
        <v>1524</v>
      </c>
      <c r="J271" t="s">
        <v>1525</v>
      </c>
      <c r="L271" t="s">
        <v>1335</v>
      </c>
      <c r="N271" t="s">
        <v>1307</v>
      </c>
      <c r="O271" t="s">
        <v>4041</v>
      </c>
      <c r="P271" t="s">
        <v>4042</v>
      </c>
    </row>
    <row r="272" spans="1:16" x14ac:dyDescent="0.25">
      <c r="A272" t="s">
        <v>2258</v>
      </c>
      <c r="B272" t="s">
        <v>4018</v>
      </c>
      <c r="C272" t="s">
        <v>3356</v>
      </c>
      <c r="D272" t="s">
        <v>3330</v>
      </c>
      <c r="H272" t="s">
        <v>3365</v>
      </c>
      <c r="I272" t="s">
        <v>2262</v>
      </c>
      <c r="J272" t="s">
        <v>2263</v>
      </c>
      <c r="L272" t="s">
        <v>1335</v>
      </c>
      <c r="N272" t="s">
        <v>1319</v>
      </c>
      <c r="O272" t="s">
        <v>4043</v>
      </c>
      <c r="P272" t="s">
        <v>4044</v>
      </c>
    </row>
    <row r="273" spans="1:16" x14ac:dyDescent="0.25">
      <c r="A273" t="s">
        <v>2264</v>
      </c>
      <c r="B273" t="s">
        <v>4018</v>
      </c>
      <c r="C273" t="s">
        <v>3333</v>
      </c>
      <c r="D273" t="s">
        <v>3330</v>
      </c>
      <c r="H273" t="s">
        <v>3390</v>
      </c>
      <c r="I273" t="s">
        <v>2092</v>
      </c>
      <c r="J273" t="s">
        <v>2093</v>
      </c>
      <c r="L273" t="s">
        <v>1575</v>
      </c>
      <c r="N273" t="s">
        <v>1319</v>
      </c>
      <c r="O273" t="s">
        <v>4045</v>
      </c>
      <c r="P273" t="s">
        <v>4046</v>
      </c>
    </row>
    <row r="274" spans="1:16" x14ac:dyDescent="0.25">
      <c r="A274" t="s">
        <v>2266</v>
      </c>
      <c r="B274" t="s">
        <v>4018</v>
      </c>
      <c r="C274" t="s">
        <v>3336</v>
      </c>
      <c r="D274" t="s">
        <v>3330</v>
      </c>
      <c r="H274" t="s">
        <v>3466</v>
      </c>
      <c r="I274" t="s">
        <v>1524</v>
      </c>
      <c r="J274" t="s">
        <v>1525</v>
      </c>
      <c r="L274" t="s">
        <v>1335</v>
      </c>
      <c r="N274" t="s">
        <v>1319</v>
      </c>
      <c r="O274" t="s">
        <v>4047</v>
      </c>
      <c r="P274" t="s">
        <v>4048</v>
      </c>
    </row>
    <row r="275" spans="1:16" x14ac:dyDescent="0.25">
      <c r="A275" t="s">
        <v>2268</v>
      </c>
      <c r="B275" t="s">
        <v>4018</v>
      </c>
      <c r="C275" t="s">
        <v>3356</v>
      </c>
      <c r="D275" t="s">
        <v>3330</v>
      </c>
      <c r="H275" t="s">
        <v>3410</v>
      </c>
      <c r="I275" t="s">
        <v>2262</v>
      </c>
      <c r="J275" t="s">
        <v>2263</v>
      </c>
      <c r="L275" t="s">
        <v>1335</v>
      </c>
      <c r="N275" t="s">
        <v>1319</v>
      </c>
      <c r="O275" t="s">
        <v>4049</v>
      </c>
      <c r="P275" t="s">
        <v>4050</v>
      </c>
    </row>
    <row r="276" spans="1:16" x14ac:dyDescent="0.25">
      <c r="A276" t="s">
        <v>3165</v>
      </c>
      <c r="B276" t="s">
        <v>4018</v>
      </c>
      <c r="C276" t="s">
        <v>3336</v>
      </c>
      <c r="D276" t="s">
        <v>3330</v>
      </c>
      <c r="H276" t="s">
        <v>3357</v>
      </c>
      <c r="I276" t="s">
        <v>1524</v>
      </c>
      <c r="J276" t="s">
        <v>1525</v>
      </c>
      <c r="L276" t="s">
        <v>1335</v>
      </c>
      <c r="N276" t="s">
        <v>1307</v>
      </c>
      <c r="O276" t="s">
        <v>4051</v>
      </c>
      <c r="P276" t="s">
        <v>4052</v>
      </c>
    </row>
    <row r="277" spans="1:16" x14ac:dyDescent="0.25">
      <c r="A277" t="s">
        <v>2271</v>
      </c>
      <c r="B277" t="s">
        <v>4018</v>
      </c>
      <c r="C277" t="s">
        <v>3356</v>
      </c>
      <c r="D277" t="s">
        <v>3330</v>
      </c>
      <c r="H277" t="s">
        <v>3347</v>
      </c>
      <c r="I277" t="s">
        <v>2262</v>
      </c>
      <c r="J277" t="s">
        <v>2277</v>
      </c>
      <c r="L277" t="s">
        <v>1335</v>
      </c>
      <c r="N277" t="s">
        <v>1319</v>
      </c>
      <c r="O277" t="s">
        <v>4053</v>
      </c>
      <c r="P277" t="s">
        <v>4054</v>
      </c>
    </row>
    <row r="278" spans="1:16" x14ac:dyDescent="0.25">
      <c r="A278" t="s">
        <v>2278</v>
      </c>
      <c r="B278" t="s">
        <v>4018</v>
      </c>
      <c r="C278" t="s">
        <v>3356</v>
      </c>
      <c r="D278" t="s">
        <v>3330</v>
      </c>
      <c r="H278" t="s">
        <v>3373</v>
      </c>
      <c r="I278" t="s">
        <v>2262</v>
      </c>
      <c r="J278" t="s">
        <v>2277</v>
      </c>
      <c r="L278" t="s">
        <v>1575</v>
      </c>
      <c r="N278" t="s">
        <v>1319</v>
      </c>
      <c r="O278" t="s">
        <v>4055</v>
      </c>
      <c r="P278" t="s">
        <v>4056</v>
      </c>
    </row>
    <row r="279" spans="1:16" x14ac:dyDescent="0.25">
      <c r="A279" t="s">
        <v>3167</v>
      </c>
      <c r="B279" t="s">
        <v>4018</v>
      </c>
      <c r="C279" t="s">
        <v>3356</v>
      </c>
      <c r="D279" t="s">
        <v>3330</v>
      </c>
      <c r="H279" t="s">
        <v>3368</v>
      </c>
      <c r="I279" t="s">
        <v>2262</v>
      </c>
      <c r="J279" t="s">
        <v>2277</v>
      </c>
      <c r="L279" t="s">
        <v>1335</v>
      </c>
      <c r="N279" t="s">
        <v>1307</v>
      </c>
      <c r="O279" t="s">
        <v>4057</v>
      </c>
      <c r="P279" t="s">
        <v>4058</v>
      </c>
    </row>
    <row r="280" spans="1:16" x14ac:dyDescent="0.25">
      <c r="A280" t="s">
        <v>3172</v>
      </c>
      <c r="B280" t="s">
        <v>4018</v>
      </c>
      <c r="C280" t="s">
        <v>3350</v>
      </c>
      <c r="D280" t="s">
        <v>3344</v>
      </c>
      <c r="E280" t="s">
        <v>4059</v>
      </c>
      <c r="F280" t="s">
        <v>3683</v>
      </c>
      <c r="G280" t="s">
        <v>3346</v>
      </c>
      <c r="H280" t="s">
        <v>3410</v>
      </c>
      <c r="I280" t="s">
        <v>1711</v>
      </c>
      <c r="J280" t="s">
        <v>2953</v>
      </c>
      <c r="L280" t="s">
        <v>1780</v>
      </c>
      <c r="N280" t="s">
        <v>1307</v>
      </c>
      <c r="O280" t="s">
        <v>4060</v>
      </c>
      <c r="P280" t="s">
        <v>4061</v>
      </c>
    </row>
    <row r="281" spans="1:16" x14ac:dyDescent="0.25">
      <c r="A281" t="s">
        <v>2282</v>
      </c>
      <c r="B281" t="s">
        <v>4018</v>
      </c>
      <c r="C281" t="s">
        <v>3336</v>
      </c>
      <c r="D281" t="s">
        <v>3330</v>
      </c>
      <c r="H281" t="s">
        <v>3509</v>
      </c>
      <c r="I281" t="s">
        <v>1524</v>
      </c>
      <c r="J281" t="s">
        <v>1525</v>
      </c>
      <c r="L281" t="s">
        <v>1335</v>
      </c>
      <c r="N281" t="s">
        <v>1319</v>
      </c>
      <c r="O281" t="s">
        <v>4062</v>
      </c>
      <c r="P281" t="s">
        <v>4063</v>
      </c>
    </row>
    <row r="282" spans="1:16" x14ac:dyDescent="0.25">
      <c r="A282" t="s">
        <v>2286</v>
      </c>
      <c r="B282" t="s">
        <v>4018</v>
      </c>
      <c r="C282" t="s">
        <v>3336</v>
      </c>
      <c r="D282" t="s">
        <v>3330</v>
      </c>
      <c r="H282" t="s">
        <v>3362</v>
      </c>
      <c r="I282" t="s">
        <v>1524</v>
      </c>
      <c r="J282" t="s">
        <v>1525</v>
      </c>
      <c r="L282" t="s">
        <v>1335</v>
      </c>
      <c r="N282" t="s">
        <v>1319</v>
      </c>
      <c r="O282" t="s">
        <v>4064</v>
      </c>
      <c r="P282" t="s">
        <v>4065</v>
      </c>
    </row>
    <row r="283" spans="1:16" x14ac:dyDescent="0.25">
      <c r="A283" t="s">
        <v>2289</v>
      </c>
      <c r="B283" t="s">
        <v>4018</v>
      </c>
      <c r="C283" t="s">
        <v>3343</v>
      </c>
      <c r="D283" t="s">
        <v>3344</v>
      </c>
      <c r="E283" t="s">
        <v>4066</v>
      </c>
      <c r="F283" t="s">
        <v>3344</v>
      </c>
      <c r="G283" t="s">
        <v>3346</v>
      </c>
      <c r="H283" t="s">
        <v>3334</v>
      </c>
      <c r="I283" t="s">
        <v>1711</v>
      </c>
      <c r="J283" t="s">
        <v>1712</v>
      </c>
      <c r="L283" t="s">
        <v>1396</v>
      </c>
      <c r="N283" t="s">
        <v>1319</v>
      </c>
      <c r="O283" t="s">
        <v>4067</v>
      </c>
      <c r="P283" t="s">
        <v>4068</v>
      </c>
    </row>
    <row r="284" spans="1:16" x14ac:dyDescent="0.25">
      <c r="A284" t="s">
        <v>3175</v>
      </c>
      <c r="B284" t="s">
        <v>4018</v>
      </c>
      <c r="C284" t="s">
        <v>3350</v>
      </c>
      <c r="D284" t="s">
        <v>3344</v>
      </c>
      <c r="E284" t="s">
        <v>4069</v>
      </c>
      <c r="F284" t="s">
        <v>3344</v>
      </c>
      <c r="G284" t="s">
        <v>3352</v>
      </c>
      <c r="H284" t="s">
        <v>3378</v>
      </c>
      <c r="I284" t="s">
        <v>1333</v>
      </c>
      <c r="J284" t="s">
        <v>1334</v>
      </c>
      <c r="L284" t="s">
        <v>1575</v>
      </c>
      <c r="N284" t="s">
        <v>1307</v>
      </c>
      <c r="O284" t="s">
        <v>4070</v>
      </c>
      <c r="P284" t="s">
        <v>4071</v>
      </c>
    </row>
    <row r="285" spans="1:16" x14ac:dyDescent="0.25">
      <c r="A285" t="s">
        <v>3177</v>
      </c>
      <c r="B285" t="s">
        <v>4018</v>
      </c>
      <c r="C285" t="s">
        <v>3350</v>
      </c>
      <c r="D285" t="s">
        <v>3344</v>
      </c>
      <c r="E285" t="s">
        <v>4072</v>
      </c>
      <c r="F285" t="s">
        <v>3344</v>
      </c>
      <c r="G285" t="s">
        <v>3346</v>
      </c>
      <c r="H285" t="s">
        <v>3373</v>
      </c>
      <c r="I285" t="s">
        <v>1815</v>
      </c>
      <c r="J285" t="s">
        <v>3179</v>
      </c>
      <c r="L285" t="s">
        <v>1575</v>
      </c>
      <c r="N285" t="s">
        <v>1307</v>
      </c>
      <c r="O285" t="s">
        <v>4073</v>
      </c>
      <c r="P285" t="s">
        <v>4074</v>
      </c>
    </row>
    <row r="286" spans="1:16" x14ac:dyDescent="0.25">
      <c r="A286" t="s">
        <v>3180</v>
      </c>
      <c r="B286" t="s">
        <v>4018</v>
      </c>
      <c r="C286" t="s">
        <v>3343</v>
      </c>
      <c r="D286" t="s">
        <v>3344</v>
      </c>
      <c r="E286" t="s">
        <v>4075</v>
      </c>
      <c r="F286" t="s">
        <v>3372</v>
      </c>
      <c r="G286" t="s">
        <v>3346</v>
      </c>
      <c r="H286" t="s">
        <v>3412</v>
      </c>
      <c r="I286" t="s">
        <v>1516</v>
      </c>
      <c r="J286" t="s">
        <v>2916</v>
      </c>
      <c r="L286" t="s">
        <v>1396</v>
      </c>
      <c r="N286" t="s">
        <v>1307</v>
      </c>
      <c r="O286" t="s">
        <v>4076</v>
      </c>
      <c r="P286" t="s">
        <v>4077</v>
      </c>
    </row>
    <row r="287" spans="1:16" x14ac:dyDescent="0.25">
      <c r="A287" t="s">
        <v>3182</v>
      </c>
      <c r="B287" t="s">
        <v>4018</v>
      </c>
      <c r="C287" t="s">
        <v>3343</v>
      </c>
      <c r="D287" t="s">
        <v>3344</v>
      </c>
      <c r="E287" t="s">
        <v>4078</v>
      </c>
      <c r="F287" t="s">
        <v>3372</v>
      </c>
      <c r="G287" t="s">
        <v>3346</v>
      </c>
      <c r="H287" t="s">
        <v>3480</v>
      </c>
      <c r="I287" t="s">
        <v>1711</v>
      </c>
      <c r="J287" t="s">
        <v>1712</v>
      </c>
      <c r="L287" t="s">
        <v>1335</v>
      </c>
      <c r="N287" t="s">
        <v>1307</v>
      </c>
      <c r="O287" t="s">
        <v>4079</v>
      </c>
      <c r="P287" t="s">
        <v>4080</v>
      </c>
    </row>
    <row r="288" spans="1:16" x14ac:dyDescent="0.25">
      <c r="A288" t="s">
        <v>2291</v>
      </c>
      <c r="B288" t="s">
        <v>4018</v>
      </c>
      <c r="C288" t="s">
        <v>3350</v>
      </c>
      <c r="D288" t="s">
        <v>3344</v>
      </c>
      <c r="E288" t="s">
        <v>4081</v>
      </c>
      <c r="F288" t="s">
        <v>3344</v>
      </c>
      <c r="G288" t="s">
        <v>3346</v>
      </c>
      <c r="H288" t="s">
        <v>3606</v>
      </c>
      <c r="I288" t="s">
        <v>1524</v>
      </c>
      <c r="J288" t="s">
        <v>1525</v>
      </c>
      <c r="L288" t="s">
        <v>1396</v>
      </c>
      <c r="N288" t="s">
        <v>1319</v>
      </c>
      <c r="O288" t="s">
        <v>4082</v>
      </c>
      <c r="P288" t="s">
        <v>4083</v>
      </c>
    </row>
    <row r="289" spans="1:16" x14ac:dyDescent="0.25">
      <c r="A289" t="s">
        <v>3184</v>
      </c>
      <c r="B289" t="s">
        <v>4018</v>
      </c>
      <c r="C289" t="s">
        <v>3343</v>
      </c>
      <c r="D289" t="s">
        <v>3344</v>
      </c>
      <c r="E289" t="s">
        <v>4084</v>
      </c>
      <c r="F289" t="s">
        <v>3372</v>
      </c>
      <c r="G289" t="s">
        <v>3346</v>
      </c>
      <c r="H289" t="s">
        <v>3458</v>
      </c>
      <c r="I289" t="s">
        <v>1567</v>
      </c>
      <c r="J289" t="s">
        <v>1568</v>
      </c>
      <c r="L289" t="s">
        <v>1575</v>
      </c>
      <c r="N289" t="s">
        <v>1307</v>
      </c>
      <c r="O289" t="s">
        <v>4085</v>
      </c>
      <c r="P289" t="s">
        <v>4086</v>
      </c>
    </row>
    <row r="290" spans="1:16" x14ac:dyDescent="0.25">
      <c r="A290" t="s">
        <v>2294</v>
      </c>
      <c r="B290" t="s">
        <v>4018</v>
      </c>
      <c r="C290" t="s">
        <v>3329</v>
      </c>
      <c r="D290" t="s">
        <v>3330</v>
      </c>
      <c r="H290" t="s">
        <v>3425</v>
      </c>
      <c r="I290" t="s">
        <v>1524</v>
      </c>
      <c r="J290" t="s">
        <v>1525</v>
      </c>
      <c r="L290" t="s">
        <v>1335</v>
      </c>
      <c r="N290" t="s">
        <v>1319</v>
      </c>
      <c r="O290" t="s">
        <v>4087</v>
      </c>
      <c r="P290" t="s">
        <v>4088</v>
      </c>
    </row>
    <row r="291" spans="1:16" x14ac:dyDescent="0.25">
      <c r="A291" t="s">
        <v>2296</v>
      </c>
      <c r="B291" t="s">
        <v>4018</v>
      </c>
      <c r="C291" t="s">
        <v>3329</v>
      </c>
      <c r="D291" t="s">
        <v>3330</v>
      </c>
      <c r="H291" t="s">
        <v>3357</v>
      </c>
      <c r="I291" t="s">
        <v>1524</v>
      </c>
      <c r="J291" t="s">
        <v>1525</v>
      </c>
      <c r="L291" t="s">
        <v>1335</v>
      </c>
      <c r="N291" t="s">
        <v>1319</v>
      </c>
      <c r="O291" t="s">
        <v>4089</v>
      </c>
      <c r="P291" t="s">
        <v>4090</v>
      </c>
    </row>
    <row r="292" spans="1:16" x14ac:dyDescent="0.25">
      <c r="A292" t="s">
        <v>2298</v>
      </c>
      <c r="B292" t="s">
        <v>4018</v>
      </c>
      <c r="C292" t="s">
        <v>3329</v>
      </c>
      <c r="D292" t="s">
        <v>3330</v>
      </c>
      <c r="H292" t="s">
        <v>3423</v>
      </c>
      <c r="I292" t="s">
        <v>1524</v>
      </c>
      <c r="J292" t="s">
        <v>1525</v>
      </c>
      <c r="L292" t="s">
        <v>1335</v>
      </c>
      <c r="N292" t="s">
        <v>1319</v>
      </c>
      <c r="O292" t="s">
        <v>4091</v>
      </c>
      <c r="P292" t="s">
        <v>4092</v>
      </c>
    </row>
    <row r="293" spans="1:16" x14ac:dyDescent="0.25">
      <c r="A293" t="s">
        <v>2301</v>
      </c>
      <c r="B293" t="s">
        <v>4018</v>
      </c>
      <c r="C293" t="s">
        <v>3329</v>
      </c>
      <c r="D293" t="s">
        <v>3330</v>
      </c>
      <c r="H293" t="s">
        <v>3405</v>
      </c>
      <c r="I293" t="s">
        <v>1524</v>
      </c>
      <c r="J293" t="s">
        <v>1525</v>
      </c>
      <c r="L293" t="s">
        <v>1335</v>
      </c>
      <c r="N293" t="s">
        <v>1319</v>
      </c>
      <c r="O293" t="s">
        <v>4093</v>
      </c>
      <c r="P293" t="s">
        <v>4094</v>
      </c>
    </row>
    <row r="294" spans="1:16" x14ac:dyDescent="0.25">
      <c r="A294" t="s">
        <v>2305</v>
      </c>
      <c r="B294" t="s">
        <v>4095</v>
      </c>
      <c r="C294" t="s">
        <v>3356</v>
      </c>
      <c r="D294" t="s">
        <v>3330</v>
      </c>
      <c r="H294" t="s">
        <v>3422</v>
      </c>
      <c r="I294" t="s">
        <v>1524</v>
      </c>
      <c r="J294" t="s">
        <v>1525</v>
      </c>
      <c r="L294" t="s">
        <v>1396</v>
      </c>
      <c r="N294" t="s">
        <v>1319</v>
      </c>
      <c r="O294" t="s">
        <v>4096</v>
      </c>
      <c r="P294" t="s">
        <v>4097</v>
      </c>
    </row>
    <row r="295" spans="1:16" x14ac:dyDescent="0.25">
      <c r="A295" t="s">
        <v>3187</v>
      </c>
      <c r="B295" t="s">
        <v>4095</v>
      </c>
      <c r="C295" t="s">
        <v>3333</v>
      </c>
      <c r="D295" t="s">
        <v>3330</v>
      </c>
      <c r="H295" t="s">
        <v>3412</v>
      </c>
      <c r="I295" t="s">
        <v>1333</v>
      </c>
      <c r="J295" t="s">
        <v>1334</v>
      </c>
      <c r="L295" t="s">
        <v>1335</v>
      </c>
      <c r="N295" t="s">
        <v>1307</v>
      </c>
      <c r="O295" t="s">
        <v>4098</v>
      </c>
      <c r="P295" t="s">
        <v>4099</v>
      </c>
    </row>
    <row r="296" spans="1:16" x14ac:dyDescent="0.25">
      <c r="A296" t="s">
        <v>2308</v>
      </c>
      <c r="B296" t="s">
        <v>4095</v>
      </c>
      <c r="C296" t="s">
        <v>3336</v>
      </c>
      <c r="D296" t="s">
        <v>3330</v>
      </c>
      <c r="H296" t="s">
        <v>3357</v>
      </c>
      <c r="I296" t="s">
        <v>1333</v>
      </c>
      <c r="J296" t="s">
        <v>1334</v>
      </c>
      <c r="L296" t="s">
        <v>1335</v>
      </c>
      <c r="N296" t="s">
        <v>1319</v>
      </c>
      <c r="O296" t="s">
        <v>4100</v>
      </c>
      <c r="P296" t="s">
        <v>4101</v>
      </c>
    </row>
    <row r="297" spans="1:16" x14ac:dyDescent="0.25">
      <c r="A297" t="s">
        <v>2310</v>
      </c>
      <c r="B297" t="s">
        <v>4095</v>
      </c>
      <c r="C297" t="s">
        <v>3333</v>
      </c>
      <c r="D297" t="s">
        <v>3330</v>
      </c>
      <c r="H297" t="s">
        <v>3331</v>
      </c>
      <c r="I297" t="s">
        <v>1333</v>
      </c>
      <c r="J297" t="s">
        <v>1334</v>
      </c>
      <c r="L297" t="s">
        <v>1396</v>
      </c>
      <c r="N297" t="s">
        <v>1319</v>
      </c>
      <c r="O297" t="s">
        <v>4102</v>
      </c>
      <c r="P297" t="s">
        <v>4103</v>
      </c>
    </row>
    <row r="298" spans="1:16" x14ac:dyDescent="0.25">
      <c r="A298" t="s">
        <v>2313</v>
      </c>
      <c r="B298" t="s">
        <v>4095</v>
      </c>
      <c r="C298" t="s">
        <v>3336</v>
      </c>
      <c r="D298" t="s">
        <v>3344</v>
      </c>
      <c r="E298" t="s">
        <v>4104</v>
      </c>
      <c r="F298" t="s">
        <v>3471</v>
      </c>
      <c r="G298" t="s">
        <v>3346</v>
      </c>
      <c r="H298" t="s">
        <v>3437</v>
      </c>
      <c r="I298" t="s">
        <v>1333</v>
      </c>
      <c r="J298" t="s">
        <v>1334</v>
      </c>
      <c r="L298" t="s">
        <v>1335</v>
      </c>
      <c r="N298" t="s">
        <v>1319</v>
      </c>
      <c r="O298" t="s">
        <v>4105</v>
      </c>
      <c r="P298" t="s">
        <v>4106</v>
      </c>
    </row>
    <row r="299" spans="1:16" x14ac:dyDescent="0.25">
      <c r="A299" t="s">
        <v>3189</v>
      </c>
      <c r="B299" t="s">
        <v>4095</v>
      </c>
      <c r="C299" t="s">
        <v>3336</v>
      </c>
      <c r="D299" t="s">
        <v>3344</v>
      </c>
      <c r="E299" t="s">
        <v>4107</v>
      </c>
      <c r="F299" t="s">
        <v>3344</v>
      </c>
      <c r="G299" t="s">
        <v>3346</v>
      </c>
      <c r="H299" t="s">
        <v>3357</v>
      </c>
      <c r="I299" t="s">
        <v>1711</v>
      </c>
      <c r="J299" t="s">
        <v>1712</v>
      </c>
      <c r="L299" t="s">
        <v>1396</v>
      </c>
      <c r="N299" t="s">
        <v>1307</v>
      </c>
      <c r="O299" t="s">
        <v>4108</v>
      </c>
      <c r="P299" t="s">
        <v>4109</v>
      </c>
    </row>
    <row r="300" spans="1:16" x14ac:dyDescent="0.25">
      <c r="A300" t="s">
        <v>2315</v>
      </c>
      <c r="B300" t="s">
        <v>4095</v>
      </c>
      <c r="C300" t="s">
        <v>3356</v>
      </c>
      <c r="D300" t="s">
        <v>3330</v>
      </c>
      <c r="H300" t="s">
        <v>3606</v>
      </c>
      <c r="I300" t="s">
        <v>1524</v>
      </c>
      <c r="J300" t="s">
        <v>1525</v>
      </c>
      <c r="L300" t="s">
        <v>1396</v>
      </c>
      <c r="N300" t="s">
        <v>1319</v>
      </c>
      <c r="O300" t="s">
        <v>4110</v>
      </c>
      <c r="P300" t="s">
        <v>4111</v>
      </c>
    </row>
    <row r="301" spans="1:16" x14ac:dyDescent="0.25">
      <c r="A301" t="s">
        <v>2319</v>
      </c>
      <c r="B301" t="s">
        <v>4095</v>
      </c>
      <c r="C301" t="s">
        <v>3333</v>
      </c>
      <c r="D301" t="s">
        <v>3330</v>
      </c>
      <c r="H301" t="s">
        <v>3501</v>
      </c>
      <c r="I301" t="s">
        <v>1333</v>
      </c>
      <c r="J301" t="s">
        <v>1334</v>
      </c>
      <c r="L301" t="s">
        <v>1335</v>
      </c>
      <c r="N301" t="s">
        <v>1319</v>
      </c>
      <c r="O301" t="s">
        <v>4112</v>
      </c>
      <c r="P301" t="s">
        <v>4113</v>
      </c>
    </row>
    <row r="302" spans="1:16" x14ac:dyDescent="0.25">
      <c r="A302" t="s">
        <v>2321</v>
      </c>
      <c r="B302" t="s">
        <v>4095</v>
      </c>
      <c r="C302" t="s">
        <v>3356</v>
      </c>
      <c r="D302" t="s">
        <v>3330</v>
      </c>
      <c r="H302" t="s">
        <v>3347</v>
      </c>
      <c r="I302" t="s">
        <v>1524</v>
      </c>
      <c r="J302" t="s">
        <v>1525</v>
      </c>
      <c r="L302" t="s">
        <v>1575</v>
      </c>
      <c r="N302" t="s">
        <v>1319</v>
      </c>
      <c r="O302" t="s">
        <v>4114</v>
      </c>
      <c r="P302" t="s">
        <v>4115</v>
      </c>
    </row>
    <row r="303" spans="1:16" x14ac:dyDescent="0.25">
      <c r="A303" t="s">
        <v>2324</v>
      </c>
      <c r="B303" t="s">
        <v>4095</v>
      </c>
      <c r="C303" t="s">
        <v>3336</v>
      </c>
      <c r="D303" t="s">
        <v>3344</v>
      </c>
      <c r="E303" t="s">
        <v>4116</v>
      </c>
      <c r="F303" t="s">
        <v>3344</v>
      </c>
      <c r="G303" t="s">
        <v>3346</v>
      </c>
      <c r="H303" t="s">
        <v>3412</v>
      </c>
      <c r="I303" t="s">
        <v>1333</v>
      </c>
      <c r="J303" t="s">
        <v>1334</v>
      </c>
      <c r="L303" t="s">
        <v>1396</v>
      </c>
      <c r="N303" t="s">
        <v>1319</v>
      </c>
      <c r="O303" t="s">
        <v>4117</v>
      </c>
      <c r="P303" t="s">
        <v>4118</v>
      </c>
    </row>
    <row r="304" spans="1:16" x14ac:dyDescent="0.25">
      <c r="A304" t="s">
        <v>3192</v>
      </c>
      <c r="B304" t="s">
        <v>4095</v>
      </c>
      <c r="C304" t="s">
        <v>3333</v>
      </c>
      <c r="D304" t="s">
        <v>3330</v>
      </c>
      <c r="H304" t="s">
        <v>3416</v>
      </c>
      <c r="I304" t="s">
        <v>1333</v>
      </c>
      <c r="J304" t="s">
        <v>1334</v>
      </c>
      <c r="L304" t="s">
        <v>1396</v>
      </c>
      <c r="N304" t="s">
        <v>1307</v>
      </c>
      <c r="O304" t="s">
        <v>4119</v>
      </c>
      <c r="P304" t="s">
        <v>4120</v>
      </c>
    </row>
    <row r="305" spans="1:16" x14ac:dyDescent="0.25">
      <c r="A305" t="s">
        <v>2327</v>
      </c>
      <c r="B305" t="s">
        <v>4095</v>
      </c>
      <c r="C305" t="s">
        <v>3336</v>
      </c>
      <c r="D305" t="s">
        <v>3344</v>
      </c>
      <c r="E305" t="s">
        <v>4121</v>
      </c>
      <c r="F305" t="s">
        <v>3344</v>
      </c>
      <c r="G305" t="s">
        <v>3346</v>
      </c>
      <c r="H305" t="s">
        <v>3442</v>
      </c>
      <c r="I305" t="s">
        <v>1593</v>
      </c>
      <c r="J305" t="s">
        <v>1698</v>
      </c>
      <c r="K305" t="s">
        <v>4122</v>
      </c>
      <c r="L305" t="s">
        <v>1396</v>
      </c>
      <c r="N305" t="s">
        <v>1319</v>
      </c>
      <c r="O305" t="s">
        <v>4123</v>
      </c>
      <c r="P305" t="s">
        <v>4124</v>
      </c>
    </row>
    <row r="306" spans="1:16" x14ac:dyDescent="0.25">
      <c r="A306" t="s">
        <v>2329</v>
      </c>
      <c r="B306" t="s">
        <v>4095</v>
      </c>
      <c r="C306" t="s">
        <v>3336</v>
      </c>
      <c r="D306" t="s">
        <v>3344</v>
      </c>
      <c r="E306" t="s">
        <v>4125</v>
      </c>
      <c r="F306" t="s">
        <v>3372</v>
      </c>
      <c r="G306" t="s">
        <v>3346</v>
      </c>
      <c r="H306" t="s">
        <v>3410</v>
      </c>
      <c r="I306" t="s">
        <v>1333</v>
      </c>
      <c r="J306" t="s">
        <v>1334</v>
      </c>
      <c r="L306" t="s">
        <v>1396</v>
      </c>
      <c r="N306" t="s">
        <v>1319</v>
      </c>
      <c r="O306" t="s">
        <v>4126</v>
      </c>
      <c r="P306" t="s">
        <v>4127</v>
      </c>
    </row>
    <row r="307" spans="1:16" x14ac:dyDescent="0.25">
      <c r="A307" t="s">
        <v>2331</v>
      </c>
      <c r="B307" t="s">
        <v>4095</v>
      </c>
      <c r="C307" t="s">
        <v>3356</v>
      </c>
      <c r="D307" t="s">
        <v>3330</v>
      </c>
      <c r="H307" t="s">
        <v>3475</v>
      </c>
      <c r="I307" t="s">
        <v>1524</v>
      </c>
      <c r="J307" t="s">
        <v>1525</v>
      </c>
      <c r="L307" t="s">
        <v>1575</v>
      </c>
      <c r="N307" t="s">
        <v>1319</v>
      </c>
      <c r="O307" t="s">
        <v>4128</v>
      </c>
      <c r="P307" t="s">
        <v>4129</v>
      </c>
    </row>
    <row r="308" spans="1:16" x14ac:dyDescent="0.25">
      <c r="A308" t="s">
        <v>2334</v>
      </c>
      <c r="B308" t="s">
        <v>4095</v>
      </c>
      <c r="C308" t="s">
        <v>3333</v>
      </c>
      <c r="D308" t="s">
        <v>3330</v>
      </c>
      <c r="H308" t="s">
        <v>3347</v>
      </c>
      <c r="I308" t="s">
        <v>1333</v>
      </c>
      <c r="J308" t="s">
        <v>1334</v>
      </c>
      <c r="L308" t="s">
        <v>1396</v>
      </c>
      <c r="N308" t="s">
        <v>1319</v>
      </c>
      <c r="O308" t="s">
        <v>4130</v>
      </c>
      <c r="P308" t="s">
        <v>4131</v>
      </c>
    </row>
    <row r="309" spans="1:16" x14ac:dyDescent="0.25">
      <c r="A309" t="s">
        <v>3194</v>
      </c>
      <c r="B309" t="s">
        <v>4095</v>
      </c>
      <c r="C309" t="s">
        <v>3329</v>
      </c>
      <c r="D309" t="s">
        <v>3330</v>
      </c>
      <c r="H309" t="s">
        <v>3442</v>
      </c>
      <c r="I309" t="s">
        <v>1333</v>
      </c>
      <c r="J309" t="s">
        <v>1334</v>
      </c>
      <c r="L309" t="s">
        <v>1396</v>
      </c>
      <c r="N309" t="s">
        <v>1307</v>
      </c>
      <c r="O309" t="s">
        <v>4132</v>
      </c>
      <c r="P309" t="s">
        <v>4133</v>
      </c>
    </row>
    <row r="310" spans="1:16" x14ac:dyDescent="0.25">
      <c r="A310" t="s">
        <v>2337</v>
      </c>
      <c r="B310" t="s">
        <v>4095</v>
      </c>
      <c r="C310" t="s">
        <v>3329</v>
      </c>
      <c r="D310" t="s">
        <v>3330</v>
      </c>
      <c r="H310" t="s">
        <v>3466</v>
      </c>
      <c r="I310" t="s">
        <v>1333</v>
      </c>
      <c r="J310" t="s">
        <v>2341</v>
      </c>
      <c r="L310" t="s">
        <v>1335</v>
      </c>
      <c r="N310" t="s">
        <v>1319</v>
      </c>
      <c r="O310" t="s">
        <v>4134</v>
      </c>
      <c r="P310" t="s">
        <v>4135</v>
      </c>
    </row>
    <row r="311" spans="1:16" x14ac:dyDescent="0.25">
      <c r="A311" t="s">
        <v>3197</v>
      </c>
      <c r="B311" t="s">
        <v>4095</v>
      </c>
      <c r="C311" t="s">
        <v>3329</v>
      </c>
      <c r="D311" t="s">
        <v>3330</v>
      </c>
      <c r="H311" t="s">
        <v>3362</v>
      </c>
      <c r="I311" t="s">
        <v>1333</v>
      </c>
      <c r="J311" t="s">
        <v>1334</v>
      </c>
      <c r="L311" t="s">
        <v>1396</v>
      </c>
      <c r="N311" t="s">
        <v>1307</v>
      </c>
      <c r="O311" t="s">
        <v>4136</v>
      </c>
      <c r="P311" t="s">
        <v>4137</v>
      </c>
    </row>
    <row r="312" spans="1:16" x14ac:dyDescent="0.25">
      <c r="A312" t="s">
        <v>2342</v>
      </c>
      <c r="B312" t="s">
        <v>4095</v>
      </c>
      <c r="C312" t="s">
        <v>3329</v>
      </c>
      <c r="D312" t="s">
        <v>3330</v>
      </c>
      <c r="H312" t="s">
        <v>3368</v>
      </c>
      <c r="I312" t="s">
        <v>1333</v>
      </c>
      <c r="J312" t="s">
        <v>1334</v>
      </c>
      <c r="L312" t="s">
        <v>1396</v>
      </c>
      <c r="N312" t="s">
        <v>1319</v>
      </c>
      <c r="O312" t="s">
        <v>4138</v>
      </c>
      <c r="P312" t="s">
        <v>4139</v>
      </c>
    </row>
    <row r="313" spans="1:16" x14ac:dyDescent="0.25">
      <c r="A313" t="s">
        <v>2346</v>
      </c>
      <c r="B313" t="s">
        <v>4095</v>
      </c>
      <c r="C313" t="s">
        <v>3329</v>
      </c>
      <c r="D313" t="s">
        <v>3330</v>
      </c>
      <c r="H313" t="s">
        <v>3480</v>
      </c>
      <c r="I313" t="s">
        <v>1333</v>
      </c>
      <c r="J313" t="s">
        <v>1334</v>
      </c>
      <c r="L313" t="s">
        <v>1335</v>
      </c>
      <c r="N313" t="s">
        <v>1319</v>
      </c>
      <c r="O313" t="s">
        <v>4140</v>
      </c>
      <c r="P313" t="s">
        <v>4141</v>
      </c>
    </row>
    <row r="314" spans="1:16" x14ac:dyDescent="0.25">
      <c r="A314" t="s">
        <v>3202</v>
      </c>
      <c r="B314" t="s">
        <v>4095</v>
      </c>
      <c r="C314" t="s">
        <v>3343</v>
      </c>
      <c r="D314" t="s">
        <v>3330</v>
      </c>
      <c r="H314" t="s">
        <v>3331</v>
      </c>
      <c r="I314" t="s">
        <v>1516</v>
      </c>
      <c r="J314" t="s">
        <v>2353</v>
      </c>
      <c r="L314" t="s">
        <v>1335</v>
      </c>
      <c r="N314" t="s">
        <v>1307</v>
      </c>
      <c r="O314" t="s">
        <v>4142</v>
      </c>
      <c r="P314" t="s">
        <v>4143</v>
      </c>
    </row>
    <row r="315" spans="1:16" x14ac:dyDescent="0.25">
      <c r="A315" t="s">
        <v>2349</v>
      </c>
      <c r="B315" t="s">
        <v>4095</v>
      </c>
      <c r="C315" t="s">
        <v>3343</v>
      </c>
      <c r="D315" t="s">
        <v>3330</v>
      </c>
      <c r="H315" t="s">
        <v>3425</v>
      </c>
      <c r="I315" t="s">
        <v>1516</v>
      </c>
      <c r="J315" t="s">
        <v>2353</v>
      </c>
      <c r="L315" t="s">
        <v>1335</v>
      </c>
      <c r="N315" t="s">
        <v>1319</v>
      </c>
      <c r="O315" t="s">
        <v>4144</v>
      </c>
      <c r="P315" t="s">
        <v>4145</v>
      </c>
    </row>
    <row r="316" spans="1:16" x14ac:dyDescent="0.25">
      <c r="A316" t="s">
        <v>2354</v>
      </c>
      <c r="B316" t="s">
        <v>4095</v>
      </c>
      <c r="C316" t="s">
        <v>3343</v>
      </c>
      <c r="D316" t="s">
        <v>3330</v>
      </c>
      <c r="H316" t="s">
        <v>3437</v>
      </c>
      <c r="I316" t="s">
        <v>1516</v>
      </c>
      <c r="J316" t="s">
        <v>2353</v>
      </c>
      <c r="L316" t="s">
        <v>1335</v>
      </c>
      <c r="N316" t="s">
        <v>1319</v>
      </c>
      <c r="O316" t="s">
        <v>4146</v>
      </c>
      <c r="P316" t="s">
        <v>4147</v>
      </c>
    </row>
    <row r="317" spans="1:16" x14ac:dyDescent="0.25">
      <c r="A317" t="s">
        <v>3204</v>
      </c>
      <c r="B317" t="s">
        <v>4095</v>
      </c>
      <c r="C317" t="s">
        <v>3343</v>
      </c>
      <c r="D317" t="s">
        <v>3330</v>
      </c>
      <c r="H317" t="s">
        <v>3392</v>
      </c>
      <c r="I317" t="s">
        <v>1516</v>
      </c>
      <c r="J317" t="s">
        <v>2353</v>
      </c>
      <c r="L317" t="s">
        <v>1335</v>
      </c>
      <c r="N317" t="s">
        <v>1307</v>
      </c>
      <c r="O317" t="s">
        <v>4148</v>
      </c>
      <c r="P317" t="s">
        <v>4149</v>
      </c>
    </row>
    <row r="318" spans="1:16" x14ac:dyDescent="0.25">
      <c r="A318" t="s">
        <v>2358</v>
      </c>
      <c r="B318" t="s">
        <v>4095</v>
      </c>
      <c r="C318" t="s">
        <v>3343</v>
      </c>
      <c r="D318" t="s">
        <v>3330</v>
      </c>
      <c r="H318" t="s">
        <v>3450</v>
      </c>
      <c r="I318" t="s">
        <v>1516</v>
      </c>
      <c r="J318" t="s">
        <v>2353</v>
      </c>
      <c r="L318" t="s">
        <v>1335</v>
      </c>
      <c r="N318" t="s">
        <v>1319</v>
      </c>
      <c r="O318" t="s">
        <v>4150</v>
      </c>
      <c r="P318" t="s">
        <v>4151</v>
      </c>
    </row>
    <row r="319" spans="1:16" x14ac:dyDescent="0.25">
      <c r="A319" t="s">
        <v>2362</v>
      </c>
      <c r="B319" t="s">
        <v>4095</v>
      </c>
      <c r="C319" t="s">
        <v>3350</v>
      </c>
      <c r="D319" t="s">
        <v>3330</v>
      </c>
      <c r="H319" t="s">
        <v>3491</v>
      </c>
      <c r="I319" t="s">
        <v>1333</v>
      </c>
      <c r="J319" t="s">
        <v>1334</v>
      </c>
      <c r="L319" t="s">
        <v>1335</v>
      </c>
      <c r="N319" t="s">
        <v>1319</v>
      </c>
      <c r="O319" t="s">
        <v>4152</v>
      </c>
      <c r="P319" t="s">
        <v>4153</v>
      </c>
    </row>
    <row r="320" spans="1:16" x14ac:dyDescent="0.25">
      <c r="A320" t="s">
        <v>3207</v>
      </c>
      <c r="B320" t="s">
        <v>4095</v>
      </c>
      <c r="C320" t="s">
        <v>3350</v>
      </c>
      <c r="D320" t="s">
        <v>3330</v>
      </c>
      <c r="H320" t="s">
        <v>3347</v>
      </c>
      <c r="I320" t="s">
        <v>1333</v>
      </c>
      <c r="J320" t="s">
        <v>1334</v>
      </c>
      <c r="L320" t="s">
        <v>1335</v>
      </c>
      <c r="N320" t="s">
        <v>1307</v>
      </c>
      <c r="O320" t="s">
        <v>4154</v>
      </c>
      <c r="P320" t="s">
        <v>4155</v>
      </c>
    </row>
    <row r="321" spans="1:16" x14ac:dyDescent="0.25">
      <c r="A321" t="s">
        <v>3209</v>
      </c>
      <c r="B321" t="s">
        <v>4095</v>
      </c>
      <c r="C321" t="s">
        <v>3350</v>
      </c>
      <c r="D321" t="s">
        <v>3330</v>
      </c>
      <c r="H321" t="s">
        <v>3353</v>
      </c>
      <c r="I321" t="s">
        <v>1333</v>
      </c>
      <c r="J321" t="s">
        <v>1334</v>
      </c>
      <c r="L321" t="s">
        <v>1396</v>
      </c>
      <c r="N321" t="s">
        <v>1307</v>
      </c>
      <c r="O321" t="s">
        <v>4156</v>
      </c>
      <c r="P321" t="s">
        <v>4157</v>
      </c>
    </row>
    <row r="322" spans="1:16" x14ac:dyDescent="0.25">
      <c r="A322" t="s">
        <v>2365</v>
      </c>
      <c r="B322" t="s">
        <v>4095</v>
      </c>
      <c r="C322" t="s">
        <v>3350</v>
      </c>
      <c r="D322" t="s">
        <v>3330</v>
      </c>
      <c r="H322" t="s">
        <v>3458</v>
      </c>
      <c r="I322" t="s">
        <v>1333</v>
      </c>
      <c r="J322" t="s">
        <v>1334</v>
      </c>
      <c r="L322" t="s">
        <v>1335</v>
      </c>
      <c r="N322" t="s">
        <v>1319</v>
      </c>
      <c r="O322" t="s">
        <v>4158</v>
      </c>
      <c r="P322" t="s">
        <v>4159</v>
      </c>
    </row>
    <row r="323" spans="1:16" x14ac:dyDescent="0.25">
      <c r="A323" t="s">
        <v>3211</v>
      </c>
      <c r="B323" t="s">
        <v>4095</v>
      </c>
      <c r="C323" t="s">
        <v>3350</v>
      </c>
      <c r="D323" t="s">
        <v>3330</v>
      </c>
      <c r="H323" t="s">
        <v>3384</v>
      </c>
      <c r="I323" t="s">
        <v>1333</v>
      </c>
      <c r="J323" t="s">
        <v>1334</v>
      </c>
      <c r="L323" t="s">
        <v>1335</v>
      </c>
      <c r="N323" t="s">
        <v>1307</v>
      </c>
      <c r="O323" t="s">
        <v>4160</v>
      </c>
      <c r="P323" t="s">
        <v>4161</v>
      </c>
    </row>
    <row r="324" spans="1:16" x14ac:dyDescent="0.25">
      <c r="A324" t="s">
        <v>2369</v>
      </c>
      <c r="B324" t="s">
        <v>4162</v>
      </c>
      <c r="C324" t="s">
        <v>3336</v>
      </c>
      <c r="D324" t="s">
        <v>3330</v>
      </c>
      <c r="H324" t="s">
        <v>3368</v>
      </c>
      <c r="I324" t="s">
        <v>1333</v>
      </c>
      <c r="J324" t="s">
        <v>1334</v>
      </c>
      <c r="L324" t="s">
        <v>1335</v>
      </c>
      <c r="N324" t="s">
        <v>1319</v>
      </c>
      <c r="O324" t="s">
        <v>4163</v>
      </c>
      <c r="P324" t="s">
        <v>4164</v>
      </c>
    </row>
    <row r="325" spans="1:16" x14ac:dyDescent="0.25">
      <c r="A325" t="s">
        <v>2371</v>
      </c>
      <c r="B325" t="s">
        <v>4162</v>
      </c>
      <c r="C325" t="s">
        <v>3356</v>
      </c>
      <c r="D325" t="s">
        <v>3330</v>
      </c>
      <c r="H325" t="s">
        <v>3387</v>
      </c>
      <c r="I325" t="s">
        <v>1333</v>
      </c>
      <c r="J325" t="s">
        <v>1334</v>
      </c>
      <c r="L325" t="s">
        <v>1335</v>
      </c>
      <c r="N325" t="s">
        <v>1319</v>
      </c>
      <c r="O325" t="s">
        <v>4165</v>
      </c>
      <c r="P325" t="s">
        <v>4166</v>
      </c>
    </row>
    <row r="326" spans="1:16" x14ac:dyDescent="0.25">
      <c r="A326" t="s">
        <v>2374</v>
      </c>
      <c r="B326" t="s">
        <v>4162</v>
      </c>
      <c r="C326" t="s">
        <v>3336</v>
      </c>
      <c r="D326" t="s">
        <v>3330</v>
      </c>
      <c r="H326" t="s">
        <v>3414</v>
      </c>
      <c r="I326" t="s">
        <v>1333</v>
      </c>
      <c r="J326" t="s">
        <v>2377</v>
      </c>
      <c r="L326" t="s">
        <v>1335</v>
      </c>
      <c r="N326" t="s">
        <v>1319</v>
      </c>
      <c r="O326" t="s">
        <v>4167</v>
      </c>
      <c r="P326" t="s">
        <v>4168</v>
      </c>
    </row>
    <row r="327" spans="1:16" x14ac:dyDescent="0.25">
      <c r="A327" t="s">
        <v>2378</v>
      </c>
      <c r="B327" t="s">
        <v>4162</v>
      </c>
      <c r="C327" t="s">
        <v>3356</v>
      </c>
      <c r="D327" t="s">
        <v>3330</v>
      </c>
      <c r="H327" t="s">
        <v>3418</v>
      </c>
      <c r="I327" t="s">
        <v>1333</v>
      </c>
      <c r="J327" t="s">
        <v>1334</v>
      </c>
      <c r="L327" t="s">
        <v>1396</v>
      </c>
      <c r="N327" t="s">
        <v>1319</v>
      </c>
      <c r="O327" t="s">
        <v>4169</v>
      </c>
      <c r="P327" t="s">
        <v>4170</v>
      </c>
    </row>
    <row r="328" spans="1:16" x14ac:dyDescent="0.25">
      <c r="A328" t="s">
        <v>2382</v>
      </c>
      <c r="B328" t="s">
        <v>4162</v>
      </c>
      <c r="C328" t="s">
        <v>3356</v>
      </c>
      <c r="D328" t="s">
        <v>3330</v>
      </c>
      <c r="H328" t="s">
        <v>3390</v>
      </c>
      <c r="I328" t="s">
        <v>1333</v>
      </c>
      <c r="J328" t="s">
        <v>1334</v>
      </c>
      <c r="L328" t="s">
        <v>1335</v>
      </c>
      <c r="N328" t="s">
        <v>1319</v>
      </c>
      <c r="O328" t="s">
        <v>4171</v>
      </c>
      <c r="P328" t="s">
        <v>4172</v>
      </c>
    </row>
    <row r="329" spans="1:16" x14ac:dyDescent="0.25">
      <c r="A329" t="s">
        <v>2387</v>
      </c>
      <c r="B329" t="s">
        <v>4162</v>
      </c>
      <c r="C329" t="s">
        <v>3333</v>
      </c>
      <c r="D329" t="s">
        <v>3330</v>
      </c>
      <c r="H329" t="s">
        <v>3337</v>
      </c>
      <c r="I329" t="s">
        <v>1333</v>
      </c>
      <c r="J329" t="s">
        <v>1334</v>
      </c>
      <c r="L329" t="s">
        <v>1396</v>
      </c>
      <c r="N329" t="s">
        <v>1319</v>
      </c>
      <c r="O329" t="s">
        <v>4173</v>
      </c>
      <c r="P329" t="s">
        <v>4174</v>
      </c>
    </row>
    <row r="330" spans="1:16" x14ac:dyDescent="0.25">
      <c r="A330" t="s">
        <v>2389</v>
      </c>
      <c r="B330" t="s">
        <v>4162</v>
      </c>
      <c r="C330" t="s">
        <v>3356</v>
      </c>
      <c r="D330" t="s">
        <v>3330</v>
      </c>
      <c r="H330" t="s">
        <v>3357</v>
      </c>
      <c r="I330" t="s">
        <v>1333</v>
      </c>
      <c r="J330" t="s">
        <v>1334</v>
      </c>
      <c r="L330" t="s">
        <v>1335</v>
      </c>
      <c r="N330" t="s">
        <v>1319</v>
      </c>
      <c r="O330" t="s">
        <v>4175</v>
      </c>
      <c r="P330" t="s">
        <v>4176</v>
      </c>
    </row>
    <row r="331" spans="1:16" x14ac:dyDescent="0.25">
      <c r="A331" t="s">
        <v>2394</v>
      </c>
      <c r="B331" t="s">
        <v>4162</v>
      </c>
      <c r="C331" t="s">
        <v>3333</v>
      </c>
      <c r="D331" t="s">
        <v>3330</v>
      </c>
      <c r="H331" t="s">
        <v>3390</v>
      </c>
      <c r="I331" t="s">
        <v>1333</v>
      </c>
      <c r="J331" t="s">
        <v>1334</v>
      </c>
      <c r="L331" t="s">
        <v>1396</v>
      </c>
      <c r="N331" t="s">
        <v>1319</v>
      </c>
      <c r="O331" t="s">
        <v>4177</v>
      </c>
      <c r="P331" t="s">
        <v>4178</v>
      </c>
    </row>
    <row r="332" spans="1:16" x14ac:dyDescent="0.25">
      <c r="A332" t="s">
        <v>2399</v>
      </c>
      <c r="B332" t="s">
        <v>4162</v>
      </c>
      <c r="C332" t="s">
        <v>3336</v>
      </c>
      <c r="D332" t="s">
        <v>3330</v>
      </c>
      <c r="H332" t="s">
        <v>3394</v>
      </c>
      <c r="I332" t="s">
        <v>1333</v>
      </c>
      <c r="J332" t="s">
        <v>1334</v>
      </c>
      <c r="L332" t="s">
        <v>1335</v>
      </c>
      <c r="N332" t="s">
        <v>1319</v>
      </c>
      <c r="O332" t="s">
        <v>4179</v>
      </c>
      <c r="P332" t="s">
        <v>4180</v>
      </c>
    </row>
    <row r="333" spans="1:16" x14ac:dyDescent="0.25">
      <c r="A333" t="s">
        <v>2401</v>
      </c>
      <c r="B333" t="s">
        <v>4162</v>
      </c>
      <c r="C333" t="s">
        <v>3333</v>
      </c>
      <c r="D333" t="s">
        <v>3330</v>
      </c>
      <c r="H333" t="s">
        <v>3488</v>
      </c>
      <c r="I333" t="s">
        <v>1333</v>
      </c>
      <c r="J333" t="s">
        <v>1334</v>
      </c>
      <c r="L333" t="s">
        <v>1575</v>
      </c>
      <c r="N333" t="s">
        <v>1319</v>
      </c>
      <c r="O333" t="s">
        <v>4181</v>
      </c>
      <c r="P333" t="s">
        <v>4182</v>
      </c>
    </row>
    <row r="334" spans="1:16" x14ac:dyDescent="0.25">
      <c r="A334" t="s">
        <v>2404</v>
      </c>
      <c r="B334" t="s">
        <v>4162</v>
      </c>
      <c r="C334" t="s">
        <v>3343</v>
      </c>
      <c r="D334" t="s">
        <v>3330</v>
      </c>
      <c r="H334" t="s">
        <v>3434</v>
      </c>
      <c r="I334" t="s">
        <v>1333</v>
      </c>
      <c r="J334" t="s">
        <v>1334</v>
      </c>
      <c r="L334" t="s">
        <v>1335</v>
      </c>
      <c r="N334" t="s">
        <v>1319</v>
      </c>
      <c r="O334" t="s">
        <v>4183</v>
      </c>
      <c r="P334" t="s">
        <v>4184</v>
      </c>
    </row>
    <row r="335" spans="1:16" x14ac:dyDescent="0.25">
      <c r="A335" t="s">
        <v>3213</v>
      </c>
      <c r="B335" t="s">
        <v>4162</v>
      </c>
      <c r="C335" t="s">
        <v>3343</v>
      </c>
      <c r="D335" t="s">
        <v>3330</v>
      </c>
      <c r="H335" t="s">
        <v>3357</v>
      </c>
      <c r="I335" t="s">
        <v>1333</v>
      </c>
      <c r="J335" t="s">
        <v>1334</v>
      </c>
      <c r="L335" t="s">
        <v>1335</v>
      </c>
      <c r="N335" t="s">
        <v>1307</v>
      </c>
      <c r="O335" t="s">
        <v>4185</v>
      </c>
      <c r="P335" t="s">
        <v>4186</v>
      </c>
    </row>
    <row r="336" spans="1:16" x14ac:dyDescent="0.25">
      <c r="A336" t="s">
        <v>2407</v>
      </c>
      <c r="B336" t="s">
        <v>4162</v>
      </c>
      <c r="C336" t="s">
        <v>3343</v>
      </c>
      <c r="D336" t="s">
        <v>3330</v>
      </c>
      <c r="H336" t="s">
        <v>3463</v>
      </c>
      <c r="I336" t="s">
        <v>1333</v>
      </c>
      <c r="J336" t="s">
        <v>1334</v>
      </c>
      <c r="L336" t="s">
        <v>1335</v>
      </c>
      <c r="N336" t="s">
        <v>1319</v>
      </c>
      <c r="O336" t="s">
        <v>4187</v>
      </c>
      <c r="P336" t="s">
        <v>4188</v>
      </c>
    </row>
    <row r="337" spans="1:16" x14ac:dyDescent="0.25">
      <c r="A337" t="s">
        <v>2411</v>
      </c>
      <c r="B337" t="s">
        <v>4162</v>
      </c>
      <c r="C337" t="s">
        <v>3343</v>
      </c>
      <c r="D337" t="s">
        <v>3330</v>
      </c>
      <c r="H337" t="s">
        <v>3347</v>
      </c>
      <c r="I337" t="s">
        <v>1333</v>
      </c>
      <c r="J337" t="s">
        <v>1334</v>
      </c>
      <c r="L337" t="s">
        <v>1396</v>
      </c>
      <c r="N337" t="s">
        <v>1319</v>
      </c>
      <c r="O337" t="s">
        <v>4189</v>
      </c>
      <c r="P337" t="s">
        <v>4190</v>
      </c>
    </row>
    <row r="338" spans="1:16" x14ac:dyDescent="0.25">
      <c r="A338" t="s">
        <v>3217</v>
      </c>
      <c r="B338" t="s">
        <v>4162</v>
      </c>
      <c r="C338" t="s">
        <v>3343</v>
      </c>
      <c r="D338" t="s">
        <v>3330</v>
      </c>
      <c r="H338" t="s">
        <v>3830</v>
      </c>
      <c r="I338" t="s">
        <v>1333</v>
      </c>
      <c r="J338" t="s">
        <v>1334</v>
      </c>
      <c r="L338" t="s">
        <v>1396</v>
      </c>
      <c r="N338" t="s">
        <v>1307</v>
      </c>
      <c r="O338" t="s">
        <v>4191</v>
      </c>
      <c r="P338" t="s">
        <v>4192</v>
      </c>
    </row>
    <row r="339" spans="1:16" x14ac:dyDescent="0.25">
      <c r="A339" t="s">
        <v>2415</v>
      </c>
      <c r="B339" t="s">
        <v>4162</v>
      </c>
      <c r="C339" t="s">
        <v>3336</v>
      </c>
      <c r="D339" t="s">
        <v>3330</v>
      </c>
      <c r="H339" t="s">
        <v>3337</v>
      </c>
      <c r="I339" t="s">
        <v>1333</v>
      </c>
      <c r="J339" t="s">
        <v>1334</v>
      </c>
      <c r="L339" t="s">
        <v>1335</v>
      </c>
      <c r="N339" t="s">
        <v>1319</v>
      </c>
      <c r="O339" t="s">
        <v>4193</v>
      </c>
      <c r="P339" t="s">
        <v>4194</v>
      </c>
    </row>
    <row r="340" spans="1:16" x14ac:dyDescent="0.25">
      <c r="A340" t="s">
        <v>3219</v>
      </c>
      <c r="B340" t="s">
        <v>4162</v>
      </c>
      <c r="C340" t="s">
        <v>3333</v>
      </c>
      <c r="D340" t="s">
        <v>3330</v>
      </c>
      <c r="H340" t="s">
        <v>3406</v>
      </c>
      <c r="I340" t="s">
        <v>1333</v>
      </c>
      <c r="J340" t="s">
        <v>1334</v>
      </c>
      <c r="L340" t="s">
        <v>1396</v>
      </c>
      <c r="N340" t="s">
        <v>1307</v>
      </c>
      <c r="O340" t="s">
        <v>4195</v>
      </c>
      <c r="P340" t="s">
        <v>4196</v>
      </c>
    </row>
    <row r="341" spans="1:16" x14ac:dyDescent="0.25">
      <c r="A341" t="s">
        <v>3222</v>
      </c>
      <c r="B341" t="s">
        <v>4162</v>
      </c>
      <c r="C341" t="s">
        <v>3329</v>
      </c>
      <c r="D341" t="s">
        <v>3330</v>
      </c>
      <c r="H341" t="s">
        <v>3405</v>
      </c>
      <c r="I341" t="s">
        <v>1333</v>
      </c>
      <c r="J341" t="s">
        <v>1334</v>
      </c>
      <c r="L341" t="s">
        <v>1396</v>
      </c>
      <c r="N341" t="s">
        <v>1307</v>
      </c>
      <c r="O341" t="s">
        <v>4197</v>
      </c>
      <c r="P341" t="s">
        <v>4198</v>
      </c>
    </row>
    <row r="342" spans="1:16" x14ac:dyDescent="0.25">
      <c r="A342" t="s">
        <v>2418</v>
      </c>
      <c r="B342" t="s">
        <v>4162</v>
      </c>
      <c r="C342" t="s">
        <v>3329</v>
      </c>
      <c r="D342" t="s">
        <v>3330</v>
      </c>
      <c r="H342" t="s">
        <v>3381</v>
      </c>
      <c r="I342" t="s">
        <v>1333</v>
      </c>
      <c r="J342" t="s">
        <v>1334</v>
      </c>
      <c r="L342" t="s">
        <v>1335</v>
      </c>
      <c r="N342" t="s">
        <v>1319</v>
      </c>
      <c r="O342" t="s">
        <v>4199</v>
      </c>
      <c r="P342" t="s">
        <v>4200</v>
      </c>
    </row>
    <row r="343" spans="1:16" x14ac:dyDescent="0.25">
      <c r="A343" t="s">
        <v>3226</v>
      </c>
      <c r="B343" t="s">
        <v>4162</v>
      </c>
      <c r="C343" t="s">
        <v>3329</v>
      </c>
      <c r="D343" t="s">
        <v>3330</v>
      </c>
      <c r="H343" t="s">
        <v>3406</v>
      </c>
      <c r="I343" t="s">
        <v>1333</v>
      </c>
      <c r="J343" t="s">
        <v>1334</v>
      </c>
      <c r="L343" t="s">
        <v>1396</v>
      </c>
      <c r="N343" t="s">
        <v>1307</v>
      </c>
      <c r="O343" t="s">
        <v>4201</v>
      </c>
      <c r="P343" t="s">
        <v>4202</v>
      </c>
    </row>
    <row r="344" spans="1:16" x14ac:dyDescent="0.25">
      <c r="A344" t="s">
        <v>2422</v>
      </c>
      <c r="B344" t="s">
        <v>4162</v>
      </c>
      <c r="C344" t="s">
        <v>3329</v>
      </c>
      <c r="D344" t="s">
        <v>3330</v>
      </c>
      <c r="H344" t="s">
        <v>3491</v>
      </c>
      <c r="I344" t="s">
        <v>1333</v>
      </c>
      <c r="J344" t="s">
        <v>1334</v>
      </c>
      <c r="L344" t="s">
        <v>1335</v>
      </c>
      <c r="N344" t="s">
        <v>1319</v>
      </c>
      <c r="O344" t="s">
        <v>4203</v>
      </c>
      <c r="P344" t="s">
        <v>4204</v>
      </c>
    </row>
    <row r="345" spans="1:16" x14ac:dyDescent="0.25">
      <c r="A345" t="s">
        <v>2424</v>
      </c>
      <c r="B345" t="s">
        <v>4162</v>
      </c>
      <c r="C345" t="s">
        <v>3356</v>
      </c>
      <c r="D345" t="s">
        <v>3330</v>
      </c>
      <c r="H345" t="s">
        <v>3406</v>
      </c>
      <c r="I345" t="s">
        <v>1516</v>
      </c>
      <c r="J345" t="s">
        <v>1845</v>
      </c>
      <c r="L345" t="s">
        <v>1335</v>
      </c>
      <c r="N345" t="s">
        <v>1319</v>
      </c>
      <c r="O345" t="s">
        <v>4205</v>
      </c>
      <c r="P345" t="s">
        <v>4206</v>
      </c>
    </row>
    <row r="346" spans="1:16" x14ac:dyDescent="0.25">
      <c r="A346" t="s">
        <v>2428</v>
      </c>
      <c r="B346" t="s">
        <v>4162</v>
      </c>
      <c r="C346" t="s">
        <v>3350</v>
      </c>
      <c r="D346" t="s">
        <v>3330</v>
      </c>
      <c r="H346" t="s">
        <v>3418</v>
      </c>
      <c r="I346" t="s">
        <v>1333</v>
      </c>
      <c r="J346" t="s">
        <v>1334</v>
      </c>
      <c r="L346" t="s">
        <v>1335</v>
      </c>
      <c r="N346" t="s">
        <v>1319</v>
      </c>
      <c r="O346" t="s">
        <v>4207</v>
      </c>
      <c r="P346" t="s">
        <v>4208</v>
      </c>
    </row>
    <row r="347" spans="1:16" x14ac:dyDescent="0.25">
      <c r="A347" t="s">
        <v>2434</v>
      </c>
      <c r="B347" t="s">
        <v>4162</v>
      </c>
      <c r="C347" t="s">
        <v>3350</v>
      </c>
      <c r="D347" t="s">
        <v>3330</v>
      </c>
      <c r="H347" t="s">
        <v>3458</v>
      </c>
      <c r="I347" t="s">
        <v>1333</v>
      </c>
      <c r="J347" t="s">
        <v>1334</v>
      </c>
      <c r="L347" t="s">
        <v>1335</v>
      </c>
      <c r="N347" t="s">
        <v>1319</v>
      </c>
      <c r="O347" t="s">
        <v>4209</v>
      </c>
      <c r="P347" t="s">
        <v>4210</v>
      </c>
    </row>
    <row r="348" spans="1:16" x14ac:dyDescent="0.25">
      <c r="A348" t="s">
        <v>3228</v>
      </c>
      <c r="B348" t="s">
        <v>4162</v>
      </c>
      <c r="C348" t="s">
        <v>3350</v>
      </c>
      <c r="D348" t="s">
        <v>3330</v>
      </c>
      <c r="H348" t="s">
        <v>3400</v>
      </c>
      <c r="I348" t="s">
        <v>1333</v>
      </c>
      <c r="J348" t="s">
        <v>1334</v>
      </c>
      <c r="L348" t="s">
        <v>1396</v>
      </c>
      <c r="N348" t="s">
        <v>1307</v>
      </c>
      <c r="O348" t="s">
        <v>4211</v>
      </c>
      <c r="P348" t="s">
        <v>4212</v>
      </c>
    </row>
    <row r="349" spans="1:16" x14ac:dyDescent="0.25">
      <c r="A349" t="s">
        <v>2436</v>
      </c>
      <c r="B349" t="s">
        <v>4162</v>
      </c>
      <c r="C349" t="s">
        <v>3350</v>
      </c>
      <c r="D349" t="s">
        <v>3330</v>
      </c>
      <c r="H349" t="s">
        <v>3466</v>
      </c>
      <c r="I349" t="s">
        <v>1333</v>
      </c>
      <c r="J349" t="s">
        <v>1334</v>
      </c>
      <c r="L349" t="s">
        <v>1335</v>
      </c>
      <c r="N349" t="s">
        <v>1319</v>
      </c>
      <c r="O349" t="s">
        <v>4213</v>
      </c>
      <c r="P349" t="s">
        <v>4214</v>
      </c>
    </row>
    <row r="350" spans="1:16" x14ac:dyDescent="0.25">
      <c r="A350" t="s">
        <v>3230</v>
      </c>
      <c r="B350" t="s">
        <v>4162</v>
      </c>
      <c r="C350" t="s">
        <v>3350</v>
      </c>
      <c r="D350" t="s">
        <v>3330</v>
      </c>
      <c r="H350" t="s">
        <v>3406</v>
      </c>
      <c r="I350" t="s">
        <v>1333</v>
      </c>
      <c r="J350" t="s">
        <v>1334</v>
      </c>
      <c r="L350" t="s">
        <v>1335</v>
      </c>
      <c r="N350" t="s">
        <v>1307</v>
      </c>
      <c r="O350" t="s">
        <v>4215</v>
      </c>
      <c r="P350" t="s">
        <v>4216</v>
      </c>
    </row>
    <row r="351" spans="1:16" x14ac:dyDescent="0.25">
      <c r="A351" t="s">
        <v>3232</v>
      </c>
      <c r="B351" t="s">
        <v>4217</v>
      </c>
      <c r="C351" t="s">
        <v>3356</v>
      </c>
      <c r="D351" t="s">
        <v>3330</v>
      </c>
      <c r="H351" t="s">
        <v>3334</v>
      </c>
      <c r="I351" t="s">
        <v>1333</v>
      </c>
      <c r="J351" t="s">
        <v>1334</v>
      </c>
      <c r="L351" t="s">
        <v>1335</v>
      </c>
      <c r="N351" t="s">
        <v>1307</v>
      </c>
      <c r="O351" t="s">
        <v>4218</v>
      </c>
      <c r="P351" t="s">
        <v>4219</v>
      </c>
    </row>
    <row r="352" spans="1:16" x14ac:dyDescent="0.25">
      <c r="A352" t="s">
        <v>2438</v>
      </c>
      <c r="B352" t="s">
        <v>4217</v>
      </c>
      <c r="C352" t="s">
        <v>3356</v>
      </c>
      <c r="D352" t="s">
        <v>3330</v>
      </c>
      <c r="H352" t="s">
        <v>3469</v>
      </c>
      <c r="I352" t="s">
        <v>1333</v>
      </c>
      <c r="J352" t="s">
        <v>2048</v>
      </c>
      <c r="L352" t="s">
        <v>1335</v>
      </c>
      <c r="N352" t="s">
        <v>1319</v>
      </c>
      <c r="O352" t="s">
        <v>4220</v>
      </c>
      <c r="P352" t="s">
        <v>4221</v>
      </c>
    </row>
    <row r="353" spans="1:16" x14ac:dyDescent="0.25">
      <c r="A353" t="s">
        <v>3237</v>
      </c>
      <c r="B353" t="s">
        <v>4217</v>
      </c>
      <c r="C353" t="s">
        <v>3336</v>
      </c>
      <c r="D353" t="s">
        <v>3330</v>
      </c>
      <c r="H353" t="s">
        <v>3347</v>
      </c>
      <c r="I353" t="s">
        <v>1333</v>
      </c>
      <c r="J353" t="s">
        <v>1334</v>
      </c>
      <c r="L353" t="s">
        <v>1335</v>
      </c>
      <c r="N353" t="s">
        <v>1307</v>
      </c>
      <c r="O353" t="s">
        <v>4222</v>
      </c>
      <c r="P353" t="s">
        <v>4223</v>
      </c>
    </row>
    <row r="354" spans="1:16" x14ac:dyDescent="0.25">
      <c r="A354" t="s">
        <v>3240</v>
      </c>
      <c r="B354" t="s">
        <v>4217</v>
      </c>
      <c r="C354" t="s">
        <v>3333</v>
      </c>
      <c r="D354" t="s">
        <v>3330</v>
      </c>
      <c r="H354" t="s">
        <v>3446</v>
      </c>
      <c r="I354" t="s">
        <v>1333</v>
      </c>
      <c r="J354" t="s">
        <v>1334</v>
      </c>
      <c r="L354" t="s">
        <v>1335</v>
      </c>
      <c r="N354" t="s">
        <v>1307</v>
      </c>
      <c r="O354" t="s">
        <v>4224</v>
      </c>
      <c r="P354" t="s">
        <v>4225</v>
      </c>
    </row>
    <row r="355" spans="1:16" x14ac:dyDescent="0.25">
      <c r="A355" t="s">
        <v>2441</v>
      </c>
      <c r="B355" t="s">
        <v>4217</v>
      </c>
      <c r="C355" t="s">
        <v>3356</v>
      </c>
      <c r="D355" t="s">
        <v>3330</v>
      </c>
      <c r="H355" t="s">
        <v>3387</v>
      </c>
      <c r="I355" t="s">
        <v>1333</v>
      </c>
      <c r="J355" t="s">
        <v>1334</v>
      </c>
      <c r="L355" t="s">
        <v>1335</v>
      </c>
      <c r="N355" t="s">
        <v>1319</v>
      </c>
      <c r="O355" t="s">
        <v>4226</v>
      </c>
      <c r="P355" t="s">
        <v>4227</v>
      </c>
    </row>
    <row r="356" spans="1:16" x14ac:dyDescent="0.25">
      <c r="A356" t="s">
        <v>2443</v>
      </c>
      <c r="B356" t="s">
        <v>4217</v>
      </c>
      <c r="C356" t="s">
        <v>3336</v>
      </c>
      <c r="D356" t="s">
        <v>3330</v>
      </c>
      <c r="H356" t="s">
        <v>3501</v>
      </c>
      <c r="I356" t="s">
        <v>1333</v>
      </c>
      <c r="J356" t="s">
        <v>1493</v>
      </c>
      <c r="L356" t="s">
        <v>1335</v>
      </c>
      <c r="N356" t="s">
        <v>1319</v>
      </c>
      <c r="O356" t="s">
        <v>4228</v>
      </c>
      <c r="P356" t="s">
        <v>4229</v>
      </c>
    </row>
    <row r="357" spans="1:16" x14ac:dyDescent="0.25">
      <c r="A357" t="s">
        <v>2445</v>
      </c>
      <c r="B357" t="s">
        <v>4217</v>
      </c>
      <c r="C357" t="s">
        <v>3356</v>
      </c>
      <c r="D357" t="s">
        <v>3330</v>
      </c>
      <c r="H357" t="s">
        <v>3425</v>
      </c>
      <c r="I357" t="s">
        <v>1333</v>
      </c>
      <c r="J357" t="s">
        <v>2048</v>
      </c>
      <c r="L357" t="s">
        <v>1335</v>
      </c>
      <c r="N357" t="s">
        <v>1319</v>
      </c>
      <c r="O357" t="s">
        <v>4230</v>
      </c>
      <c r="P357" t="s">
        <v>4231</v>
      </c>
    </row>
    <row r="358" spans="1:16" x14ac:dyDescent="0.25">
      <c r="A358" t="s">
        <v>2450</v>
      </c>
      <c r="B358" t="s">
        <v>4217</v>
      </c>
      <c r="C358" t="s">
        <v>3356</v>
      </c>
      <c r="D358" t="s">
        <v>3330</v>
      </c>
      <c r="H358" t="s">
        <v>3416</v>
      </c>
      <c r="I358" t="s">
        <v>1333</v>
      </c>
      <c r="J358" t="s">
        <v>1334</v>
      </c>
      <c r="L358" t="s">
        <v>1396</v>
      </c>
      <c r="N358" t="s">
        <v>1319</v>
      </c>
      <c r="O358" t="s">
        <v>4232</v>
      </c>
      <c r="P358" t="s">
        <v>4233</v>
      </c>
    </row>
    <row r="359" spans="1:16" x14ac:dyDescent="0.25">
      <c r="A359" t="s">
        <v>2454</v>
      </c>
      <c r="B359" t="s">
        <v>4217</v>
      </c>
      <c r="C359" t="s">
        <v>3336</v>
      </c>
      <c r="D359" t="s">
        <v>3330</v>
      </c>
      <c r="H359" t="s">
        <v>3412</v>
      </c>
      <c r="I359" t="s">
        <v>1333</v>
      </c>
      <c r="J359" t="s">
        <v>2456</v>
      </c>
      <c r="L359" t="s">
        <v>1335</v>
      </c>
      <c r="N359" t="s">
        <v>1319</v>
      </c>
      <c r="O359" t="s">
        <v>4234</v>
      </c>
      <c r="P359" t="s">
        <v>4235</v>
      </c>
    </row>
    <row r="360" spans="1:16" x14ac:dyDescent="0.25">
      <c r="A360" t="s">
        <v>2457</v>
      </c>
      <c r="B360" t="s">
        <v>4217</v>
      </c>
      <c r="C360" t="s">
        <v>3333</v>
      </c>
      <c r="D360" t="s">
        <v>3330</v>
      </c>
      <c r="H360" t="s">
        <v>3496</v>
      </c>
      <c r="I360" t="s">
        <v>1333</v>
      </c>
      <c r="J360" t="s">
        <v>1334</v>
      </c>
      <c r="L360" t="s">
        <v>1335</v>
      </c>
      <c r="N360" t="s">
        <v>1319</v>
      </c>
      <c r="O360" t="s">
        <v>4236</v>
      </c>
      <c r="P360" t="s">
        <v>4237</v>
      </c>
    </row>
    <row r="361" spans="1:16" x14ac:dyDescent="0.25">
      <c r="A361" t="s">
        <v>2461</v>
      </c>
      <c r="B361" t="s">
        <v>4217</v>
      </c>
      <c r="C361" t="s">
        <v>3333</v>
      </c>
      <c r="D361" t="s">
        <v>3330</v>
      </c>
      <c r="H361" t="s">
        <v>3398</v>
      </c>
      <c r="I361" t="s">
        <v>1333</v>
      </c>
      <c r="J361" t="s">
        <v>1334</v>
      </c>
      <c r="L361" t="s">
        <v>1396</v>
      </c>
      <c r="N361" t="s">
        <v>1319</v>
      </c>
      <c r="O361" t="s">
        <v>4238</v>
      </c>
      <c r="P361" t="s">
        <v>4239</v>
      </c>
    </row>
    <row r="362" spans="1:16" x14ac:dyDescent="0.25">
      <c r="A362" t="s">
        <v>2464</v>
      </c>
      <c r="B362" t="s">
        <v>4217</v>
      </c>
      <c r="C362" t="s">
        <v>3336</v>
      </c>
      <c r="D362" t="s">
        <v>3330</v>
      </c>
      <c r="H362" t="s">
        <v>3606</v>
      </c>
      <c r="I362" t="s">
        <v>1333</v>
      </c>
      <c r="J362" t="s">
        <v>1334</v>
      </c>
      <c r="L362" t="s">
        <v>1335</v>
      </c>
      <c r="N362" t="s">
        <v>1319</v>
      </c>
      <c r="O362" t="s">
        <v>4240</v>
      </c>
      <c r="P362" t="s">
        <v>4241</v>
      </c>
    </row>
    <row r="363" spans="1:16" x14ac:dyDescent="0.25">
      <c r="A363" t="s">
        <v>2467</v>
      </c>
      <c r="B363" t="s">
        <v>4217</v>
      </c>
      <c r="C363" t="s">
        <v>3333</v>
      </c>
      <c r="D363" t="s">
        <v>3330</v>
      </c>
      <c r="H363" t="s">
        <v>3378</v>
      </c>
      <c r="I363" t="s">
        <v>1333</v>
      </c>
      <c r="J363" t="s">
        <v>1334</v>
      </c>
      <c r="L363" t="s">
        <v>1396</v>
      </c>
      <c r="N363" t="s">
        <v>1319</v>
      </c>
      <c r="O363" t="s">
        <v>4242</v>
      </c>
      <c r="P363" t="s">
        <v>4243</v>
      </c>
    </row>
    <row r="364" spans="1:16" x14ac:dyDescent="0.25">
      <c r="A364" t="s">
        <v>2470</v>
      </c>
      <c r="B364" t="s">
        <v>4217</v>
      </c>
      <c r="C364" t="s">
        <v>3329</v>
      </c>
      <c r="D364" t="s">
        <v>3330</v>
      </c>
      <c r="H364" t="s">
        <v>3448</v>
      </c>
      <c r="I364" t="s">
        <v>1333</v>
      </c>
      <c r="J364" t="s">
        <v>1334</v>
      </c>
      <c r="L364" t="s">
        <v>1335</v>
      </c>
      <c r="N364" t="s">
        <v>1319</v>
      </c>
      <c r="O364" t="s">
        <v>4244</v>
      </c>
      <c r="P364" t="s">
        <v>4245</v>
      </c>
    </row>
    <row r="365" spans="1:16" x14ac:dyDescent="0.25">
      <c r="A365" t="s">
        <v>3243</v>
      </c>
      <c r="B365" t="s">
        <v>4217</v>
      </c>
      <c r="C365" t="s">
        <v>3329</v>
      </c>
      <c r="D365" t="s">
        <v>3330</v>
      </c>
      <c r="H365" t="s">
        <v>3378</v>
      </c>
      <c r="I365" t="s">
        <v>1333</v>
      </c>
      <c r="J365" t="s">
        <v>1334</v>
      </c>
      <c r="L365" t="s">
        <v>1396</v>
      </c>
      <c r="N365" t="s">
        <v>1307</v>
      </c>
      <c r="O365" t="s">
        <v>4246</v>
      </c>
      <c r="P365" t="s">
        <v>4247</v>
      </c>
    </row>
    <row r="366" spans="1:16" x14ac:dyDescent="0.25">
      <c r="A366" t="s">
        <v>3246</v>
      </c>
      <c r="B366" t="s">
        <v>4217</v>
      </c>
      <c r="C366" t="s">
        <v>3329</v>
      </c>
      <c r="D366" t="s">
        <v>3330</v>
      </c>
      <c r="H366" t="s">
        <v>3337</v>
      </c>
      <c r="I366" t="s">
        <v>1333</v>
      </c>
      <c r="J366" t="s">
        <v>1334</v>
      </c>
      <c r="L366" t="s">
        <v>1396</v>
      </c>
      <c r="N366" t="s">
        <v>1307</v>
      </c>
      <c r="O366" t="s">
        <v>4248</v>
      </c>
      <c r="P366" t="s">
        <v>4249</v>
      </c>
    </row>
    <row r="367" spans="1:16" x14ac:dyDescent="0.25">
      <c r="A367" t="s">
        <v>2472</v>
      </c>
      <c r="B367" t="s">
        <v>4217</v>
      </c>
      <c r="C367" t="s">
        <v>3329</v>
      </c>
      <c r="D367" t="s">
        <v>3330</v>
      </c>
      <c r="H367" t="s">
        <v>3466</v>
      </c>
      <c r="I367" t="s">
        <v>1333</v>
      </c>
      <c r="J367" t="s">
        <v>1334</v>
      </c>
      <c r="L367" t="s">
        <v>1335</v>
      </c>
      <c r="N367" t="s">
        <v>1319</v>
      </c>
      <c r="O367" t="s">
        <v>4250</v>
      </c>
      <c r="P367" t="s">
        <v>4251</v>
      </c>
    </row>
    <row r="368" spans="1:16" x14ac:dyDescent="0.25">
      <c r="A368" t="s">
        <v>3250</v>
      </c>
      <c r="B368" t="s">
        <v>4217</v>
      </c>
      <c r="C368" t="s">
        <v>3350</v>
      </c>
      <c r="D368" t="s">
        <v>3330</v>
      </c>
      <c r="H368" t="s">
        <v>3347</v>
      </c>
      <c r="I368" t="s">
        <v>1333</v>
      </c>
      <c r="J368" t="s">
        <v>1334</v>
      </c>
      <c r="L368" t="s">
        <v>1335</v>
      </c>
      <c r="N368" t="s">
        <v>1307</v>
      </c>
      <c r="O368" t="s">
        <v>4252</v>
      </c>
      <c r="P368" t="s">
        <v>4253</v>
      </c>
    </row>
    <row r="369" spans="1:16" x14ac:dyDescent="0.25">
      <c r="A369" t="s">
        <v>2475</v>
      </c>
      <c r="B369" t="s">
        <v>4217</v>
      </c>
      <c r="C369" t="s">
        <v>3350</v>
      </c>
      <c r="D369" t="s">
        <v>3330</v>
      </c>
      <c r="H369" t="s">
        <v>3466</v>
      </c>
      <c r="I369" t="s">
        <v>1333</v>
      </c>
      <c r="J369" t="s">
        <v>1334</v>
      </c>
      <c r="L369" t="s">
        <v>1335</v>
      </c>
      <c r="N369" t="s">
        <v>1319</v>
      </c>
      <c r="O369" t="s">
        <v>4254</v>
      </c>
      <c r="P369" t="s">
        <v>4255</v>
      </c>
    </row>
    <row r="370" spans="1:16" x14ac:dyDescent="0.25">
      <c r="A370" t="s">
        <v>2478</v>
      </c>
      <c r="B370" t="s">
        <v>4217</v>
      </c>
      <c r="C370" t="s">
        <v>3350</v>
      </c>
      <c r="D370" t="s">
        <v>3330</v>
      </c>
      <c r="H370" t="s">
        <v>3334</v>
      </c>
      <c r="I370" t="s">
        <v>1333</v>
      </c>
      <c r="J370" t="s">
        <v>1334</v>
      </c>
      <c r="L370" t="s">
        <v>1335</v>
      </c>
      <c r="N370" t="s">
        <v>1319</v>
      </c>
      <c r="O370" t="s">
        <v>4256</v>
      </c>
      <c r="P370" t="s">
        <v>4257</v>
      </c>
    </row>
    <row r="371" spans="1:16" x14ac:dyDescent="0.25">
      <c r="A371" t="s">
        <v>3252</v>
      </c>
      <c r="B371" t="s">
        <v>4217</v>
      </c>
      <c r="C371" t="s">
        <v>3350</v>
      </c>
      <c r="D371" t="s">
        <v>3330</v>
      </c>
      <c r="H371" t="s">
        <v>3368</v>
      </c>
      <c r="I371" t="s">
        <v>1333</v>
      </c>
      <c r="J371" t="s">
        <v>1334</v>
      </c>
      <c r="L371" t="s">
        <v>1335</v>
      </c>
      <c r="N371" t="s">
        <v>1307</v>
      </c>
      <c r="O371" t="s">
        <v>4258</v>
      </c>
      <c r="P371" t="s">
        <v>4259</v>
      </c>
    </row>
    <row r="372" spans="1:16" x14ac:dyDescent="0.25">
      <c r="A372" t="s">
        <v>2483</v>
      </c>
      <c r="B372" t="s">
        <v>4217</v>
      </c>
      <c r="C372" t="s">
        <v>3343</v>
      </c>
      <c r="D372" t="s">
        <v>3330</v>
      </c>
      <c r="H372" t="s">
        <v>3381</v>
      </c>
      <c r="I372" t="s">
        <v>1333</v>
      </c>
      <c r="J372" t="s">
        <v>1334</v>
      </c>
      <c r="L372" t="s">
        <v>1335</v>
      </c>
      <c r="N372" t="s">
        <v>1319</v>
      </c>
      <c r="O372" t="s">
        <v>4260</v>
      </c>
      <c r="P372" t="s">
        <v>4261</v>
      </c>
    </row>
    <row r="373" spans="1:16" x14ac:dyDescent="0.25">
      <c r="A373" t="s">
        <v>3255</v>
      </c>
      <c r="B373" t="s">
        <v>4217</v>
      </c>
      <c r="C373" t="s">
        <v>3343</v>
      </c>
      <c r="D373" t="s">
        <v>3330</v>
      </c>
      <c r="H373" t="s">
        <v>3353</v>
      </c>
      <c r="I373" t="s">
        <v>1366</v>
      </c>
      <c r="J373" t="s">
        <v>3257</v>
      </c>
      <c r="L373" t="s">
        <v>1335</v>
      </c>
      <c r="N373" t="s">
        <v>1307</v>
      </c>
      <c r="O373" t="s">
        <v>4262</v>
      </c>
      <c r="P373" t="s">
        <v>4263</v>
      </c>
    </row>
    <row r="374" spans="1:16" x14ac:dyDescent="0.25">
      <c r="A374" t="s">
        <v>2488</v>
      </c>
      <c r="B374" t="s">
        <v>4217</v>
      </c>
      <c r="C374" t="s">
        <v>3343</v>
      </c>
      <c r="D374" t="s">
        <v>3330</v>
      </c>
      <c r="H374" t="s">
        <v>3394</v>
      </c>
      <c r="I374" t="s">
        <v>1333</v>
      </c>
      <c r="J374" t="s">
        <v>1334</v>
      </c>
      <c r="L374" t="s">
        <v>1335</v>
      </c>
      <c r="N374" t="s">
        <v>1319</v>
      </c>
      <c r="O374" t="s">
        <v>4264</v>
      </c>
      <c r="P374" t="s">
        <v>4265</v>
      </c>
    </row>
    <row r="375" spans="1:16" x14ac:dyDescent="0.25">
      <c r="A375" t="s">
        <v>2492</v>
      </c>
      <c r="B375" t="s">
        <v>4217</v>
      </c>
      <c r="C375" t="s">
        <v>3343</v>
      </c>
      <c r="D375" t="s">
        <v>3330</v>
      </c>
      <c r="H375" t="s">
        <v>3353</v>
      </c>
      <c r="I375" t="s">
        <v>1333</v>
      </c>
      <c r="J375" t="s">
        <v>1334</v>
      </c>
      <c r="L375" t="s">
        <v>1396</v>
      </c>
      <c r="N375" t="s">
        <v>1319</v>
      </c>
      <c r="O375" t="s">
        <v>4266</v>
      </c>
      <c r="P375" t="s">
        <v>4267</v>
      </c>
    </row>
    <row r="376" spans="1:16" x14ac:dyDescent="0.25">
      <c r="A376" t="s">
        <v>2494</v>
      </c>
      <c r="B376" t="s">
        <v>4268</v>
      </c>
      <c r="C376" t="s">
        <v>3356</v>
      </c>
      <c r="D376" t="s">
        <v>3330</v>
      </c>
      <c r="H376" t="s">
        <v>3442</v>
      </c>
      <c r="I376" t="s">
        <v>1333</v>
      </c>
      <c r="J376" t="s">
        <v>1334</v>
      </c>
      <c r="L376" t="s">
        <v>1335</v>
      </c>
      <c r="N376" t="s">
        <v>1319</v>
      </c>
      <c r="O376" t="s">
        <v>4269</v>
      </c>
      <c r="P376" t="s">
        <v>4270</v>
      </c>
    </row>
    <row r="377" spans="1:16" x14ac:dyDescent="0.25">
      <c r="A377" t="s">
        <v>2497</v>
      </c>
      <c r="B377" t="s">
        <v>4268</v>
      </c>
      <c r="C377" t="s">
        <v>3356</v>
      </c>
      <c r="D377" t="s">
        <v>3330</v>
      </c>
      <c r="H377" t="s">
        <v>3478</v>
      </c>
      <c r="I377" t="s">
        <v>1333</v>
      </c>
      <c r="J377" t="s">
        <v>2377</v>
      </c>
      <c r="L377" t="s">
        <v>1335</v>
      </c>
      <c r="N377" t="s">
        <v>1319</v>
      </c>
      <c r="O377" t="s">
        <v>4271</v>
      </c>
      <c r="P377" t="s">
        <v>4272</v>
      </c>
    </row>
    <row r="378" spans="1:16" x14ac:dyDescent="0.25">
      <c r="A378" t="s">
        <v>2500</v>
      </c>
      <c r="B378" t="s">
        <v>4268</v>
      </c>
      <c r="C378" t="s">
        <v>3356</v>
      </c>
      <c r="D378" t="s">
        <v>3330</v>
      </c>
      <c r="H378" t="s">
        <v>3606</v>
      </c>
      <c r="I378" t="s">
        <v>1333</v>
      </c>
      <c r="J378" t="s">
        <v>1334</v>
      </c>
      <c r="L378" t="s">
        <v>1335</v>
      </c>
      <c r="N378" t="s">
        <v>1319</v>
      </c>
      <c r="O378" t="s">
        <v>4273</v>
      </c>
      <c r="P378" t="s">
        <v>4274</v>
      </c>
    </row>
    <row r="379" spans="1:16" x14ac:dyDescent="0.25">
      <c r="A379" t="s">
        <v>2502</v>
      </c>
      <c r="B379" t="s">
        <v>4268</v>
      </c>
      <c r="C379" t="s">
        <v>3336</v>
      </c>
      <c r="D379" t="s">
        <v>3330</v>
      </c>
      <c r="H379" t="s">
        <v>3423</v>
      </c>
      <c r="I379" t="s">
        <v>1333</v>
      </c>
      <c r="J379" t="s">
        <v>1334</v>
      </c>
      <c r="L379" t="s">
        <v>1335</v>
      </c>
      <c r="N379" t="s">
        <v>1319</v>
      </c>
      <c r="O379" t="s">
        <v>4275</v>
      </c>
      <c r="P379" t="s">
        <v>4276</v>
      </c>
    </row>
    <row r="380" spans="1:16" x14ac:dyDescent="0.25">
      <c r="A380" t="s">
        <v>3258</v>
      </c>
      <c r="B380" t="s">
        <v>4268</v>
      </c>
      <c r="C380" t="s">
        <v>3333</v>
      </c>
      <c r="D380" t="s">
        <v>3330</v>
      </c>
      <c r="H380" t="s">
        <v>3337</v>
      </c>
      <c r="I380" t="s">
        <v>1333</v>
      </c>
      <c r="J380" t="s">
        <v>1334</v>
      </c>
      <c r="L380" t="s">
        <v>1396</v>
      </c>
      <c r="N380" t="s">
        <v>1307</v>
      </c>
      <c r="O380" t="s">
        <v>4277</v>
      </c>
      <c r="P380" t="s">
        <v>4278</v>
      </c>
    </row>
    <row r="381" spans="1:16" x14ac:dyDescent="0.25">
      <c r="A381" t="s">
        <v>2505</v>
      </c>
      <c r="B381" t="s">
        <v>4268</v>
      </c>
      <c r="C381" t="s">
        <v>3356</v>
      </c>
      <c r="D381" t="s">
        <v>3330</v>
      </c>
      <c r="H381" t="s">
        <v>3331</v>
      </c>
      <c r="I381" t="s">
        <v>1333</v>
      </c>
      <c r="J381" t="s">
        <v>1334</v>
      </c>
      <c r="L381" t="s">
        <v>1396</v>
      </c>
      <c r="N381" t="s">
        <v>1319</v>
      </c>
      <c r="O381" t="s">
        <v>4279</v>
      </c>
      <c r="P381" t="s">
        <v>4280</v>
      </c>
    </row>
    <row r="382" spans="1:16" x14ac:dyDescent="0.25">
      <c r="A382" t="s">
        <v>3261</v>
      </c>
      <c r="B382" t="s">
        <v>4268</v>
      </c>
      <c r="C382" t="s">
        <v>3336</v>
      </c>
      <c r="D382" t="s">
        <v>3330</v>
      </c>
      <c r="H382" t="s">
        <v>3398</v>
      </c>
      <c r="I382" t="s">
        <v>1333</v>
      </c>
      <c r="J382" t="s">
        <v>1334</v>
      </c>
      <c r="L382" t="s">
        <v>1396</v>
      </c>
      <c r="N382" t="s">
        <v>1307</v>
      </c>
      <c r="O382" t="s">
        <v>4281</v>
      </c>
      <c r="P382" t="s">
        <v>4282</v>
      </c>
    </row>
    <row r="383" spans="1:16" x14ac:dyDescent="0.25">
      <c r="A383" t="s">
        <v>2510</v>
      </c>
      <c r="B383" t="s">
        <v>4268</v>
      </c>
      <c r="C383" t="s">
        <v>3333</v>
      </c>
      <c r="D383" t="s">
        <v>3330</v>
      </c>
      <c r="H383" t="s">
        <v>3496</v>
      </c>
      <c r="I383" t="s">
        <v>1333</v>
      </c>
      <c r="J383" t="s">
        <v>1334</v>
      </c>
      <c r="L383" t="s">
        <v>1575</v>
      </c>
      <c r="N383" t="s">
        <v>1319</v>
      </c>
      <c r="O383" t="s">
        <v>4283</v>
      </c>
      <c r="P383" t="s">
        <v>4284</v>
      </c>
    </row>
    <row r="384" spans="1:16" x14ac:dyDescent="0.25">
      <c r="A384" t="s">
        <v>2514</v>
      </c>
      <c r="B384" t="s">
        <v>4268</v>
      </c>
      <c r="C384" t="s">
        <v>3333</v>
      </c>
      <c r="D384" t="s">
        <v>3330</v>
      </c>
      <c r="H384" t="s">
        <v>3410</v>
      </c>
      <c r="I384" t="s">
        <v>1333</v>
      </c>
      <c r="J384" t="s">
        <v>1334</v>
      </c>
      <c r="L384" t="s">
        <v>1575</v>
      </c>
      <c r="N384" t="s">
        <v>1319</v>
      </c>
      <c r="O384" t="s">
        <v>4285</v>
      </c>
      <c r="P384" t="s">
        <v>4286</v>
      </c>
    </row>
    <row r="385" spans="1:16" x14ac:dyDescent="0.25">
      <c r="A385" t="s">
        <v>2517</v>
      </c>
      <c r="B385" t="s">
        <v>4268</v>
      </c>
      <c r="C385" t="s">
        <v>3333</v>
      </c>
      <c r="D385" t="s">
        <v>3330</v>
      </c>
      <c r="H385" t="s">
        <v>3347</v>
      </c>
      <c r="I385" t="s">
        <v>1333</v>
      </c>
      <c r="J385" t="s">
        <v>1334</v>
      </c>
      <c r="L385" t="s">
        <v>1575</v>
      </c>
      <c r="N385" t="s">
        <v>1319</v>
      </c>
      <c r="O385" t="s">
        <v>4287</v>
      </c>
      <c r="P385" t="s">
        <v>4288</v>
      </c>
    </row>
    <row r="386" spans="1:16" x14ac:dyDescent="0.25">
      <c r="A386" t="s">
        <v>2521</v>
      </c>
      <c r="B386" t="s">
        <v>4268</v>
      </c>
      <c r="C386" t="s">
        <v>3336</v>
      </c>
      <c r="D386" t="s">
        <v>3330</v>
      </c>
      <c r="H386" t="s">
        <v>3437</v>
      </c>
      <c r="I386" t="s">
        <v>1333</v>
      </c>
      <c r="J386" t="s">
        <v>1334</v>
      </c>
      <c r="L386" t="s">
        <v>1335</v>
      </c>
      <c r="N386" t="s">
        <v>1319</v>
      </c>
      <c r="O386" t="s">
        <v>4289</v>
      </c>
      <c r="P386" t="s">
        <v>4290</v>
      </c>
    </row>
    <row r="387" spans="1:16" x14ac:dyDescent="0.25">
      <c r="A387" t="s">
        <v>2524</v>
      </c>
      <c r="B387" t="s">
        <v>4268</v>
      </c>
      <c r="C387" t="s">
        <v>3336</v>
      </c>
      <c r="D387" t="s">
        <v>3330</v>
      </c>
      <c r="H387" t="s">
        <v>3488</v>
      </c>
      <c r="I387" t="s">
        <v>1333</v>
      </c>
      <c r="J387" t="s">
        <v>1334</v>
      </c>
      <c r="L387" t="s">
        <v>1335</v>
      </c>
      <c r="N387" t="s">
        <v>1319</v>
      </c>
      <c r="O387" t="s">
        <v>4291</v>
      </c>
      <c r="P387" t="s">
        <v>4292</v>
      </c>
    </row>
    <row r="388" spans="1:16" x14ac:dyDescent="0.25">
      <c r="A388" t="s">
        <v>3263</v>
      </c>
      <c r="B388" t="s">
        <v>4268</v>
      </c>
      <c r="C388" t="s">
        <v>3333</v>
      </c>
      <c r="D388" t="s">
        <v>3330</v>
      </c>
      <c r="H388" t="s">
        <v>3394</v>
      </c>
      <c r="I388" t="s">
        <v>1333</v>
      </c>
      <c r="J388" t="s">
        <v>1334</v>
      </c>
      <c r="L388" t="s">
        <v>1396</v>
      </c>
      <c r="N388" t="s">
        <v>1307</v>
      </c>
      <c r="O388" t="s">
        <v>4293</v>
      </c>
      <c r="P388" t="s">
        <v>4294</v>
      </c>
    </row>
    <row r="389" spans="1:16" x14ac:dyDescent="0.25">
      <c r="A389" t="s">
        <v>2526</v>
      </c>
      <c r="B389" t="s">
        <v>4268</v>
      </c>
      <c r="C389" t="s">
        <v>3336</v>
      </c>
      <c r="D389" t="s">
        <v>3330</v>
      </c>
      <c r="H389" t="s">
        <v>3410</v>
      </c>
      <c r="I389" t="s">
        <v>1333</v>
      </c>
      <c r="J389" t="s">
        <v>1334</v>
      </c>
      <c r="L389" t="s">
        <v>1396</v>
      </c>
      <c r="N389" t="s">
        <v>1319</v>
      </c>
      <c r="O389" t="s">
        <v>4295</v>
      </c>
      <c r="P389" t="s">
        <v>4296</v>
      </c>
    </row>
    <row r="390" spans="1:16" x14ac:dyDescent="0.25">
      <c r="A390" t="s">
        <v>2529</v>
      </c>
      <c r="B390" t="s">
        <v>4268</v>
      </c>
      <c r="C390" t="s">
        <v>3329</v>
      </c>
      <c r="D390" t="s">
        <v>3330</v>
      </c>
      <c r="H390" t="s">
        <v>3422</v>
      </c>
      <c r="I390" t="s">
        <v>1333</v>
      </c>
      <c r="J390" t="s">
        <v>1334</v>
      </c>
      <c r="L390" t="s">
        <v>1335</v>
      </c>
      <c r="N390" t="s">
        <v>1319</v>
      </c>
      <c r="O390" t="s">
        <v>4297</v>
      </c>
      <c r="P390" t="s">
        <v>4298</v>
      </c>
    </row>
    <row r="391" spans="1:16" x14ac:dyDescent="0.25">
      <c r="A391" t="s">
        <v>3265</v>
      </c>
      <c r="B391" t="s">
        <v>4268</v>
      </c>
      <c r="C391" t="s">
        <v>3329</v>
      </c>
      <c r="D391" t="s">
        <v>3330</v>
      </c>
      <c r="H391" t="s">
        <v>3406</v>
      </c>
      <c r="I391" t="s">
        <v>1333</v>
      </c>
      <c r="J391" t="s">
        <v>1334</v>
      </c>
      <c r="L391" t="s">
        <v>1396</v>
      </c>
      <c r="N391" t="s">
        <v>1307</v>
      </c>
      <c r="O391" t="s">
        <v>4299</v>
      </c>
      <c r="P391" t="s">
        <v>4300</v>
      </c>
    </row>
    <row r="392" spans="1:16" x14ac:dyDescent="0.25">
      <c r="A392" t="s">
        <v>2532</v>
      </c>
      <c r="B392" t="s">
        <v>4268</v>
      </c>
      <c r="C392" t="s">
        <v>3329</v>
      </c>
      <c r="D392" t="s">
        <v>3330</v>
      </c>
      <c r="H392" t="s">
        <v>3434</v>
      </c>
      <c r="I392" t="s">
        <v>1333</v>
      </c>
      <c r="J392" t="s">
        <v>1334</v>
      </c>
      <c r="L392" t="s">
        <v>1335</v>
      </c>
      <c r="N392" t="s">
        <v>1319</v>
      </c>
      <c r="O392" t="s">
        <v>4301</v>
      </c>
      <c r="P392" t="s">
        <v>4302</v>
      </c>
    </row>
    <row r="393" spans="1:16" x14ac:dyDescent="0.25">
      <c r="A393" t="s">
        <v>3270</v>
      </c>
      <c r="B393" t="s">
        <v>4268</v>
      </c>
      <c r="C393" t="s">
        <v>3329</v>
      </c>
      <c r="D393" t="s">
        <v>3330</v>
      </c>
      <c r="H393" t="s">
        <v>3403</v>
      </c>
      <c r="I393" t="s">
        <v>1333</v>
      </c>
      <c r="J393" t="s">
        <v>1334</v>
      </c>
      <c r="L393" t="s">
        <v>1780</v>
      </c>
      <c r="N393" t="s">
        <v>1307</v>
      </c>
      <c r="O393" t="s">
        <v>4303</v>
      </c>
      <c r="P393" t="s">
        <v>4304</v>
      </c>
    </row>
    <row r="394" spans="1:16" x14ac:dyDescent="0.25">
      <c r="A394" t="s">
        <v>3273</v>
      </c>
      <c r="B394" t="s">
        <v>4268</v>
      </c>
      <c r="C394" t="s">
        <v>3329</v>
      </c>
      <c r="D394" t="s">
        <v>3330</v>
      </c>
      <c r="H394" t="s">
        <v>3353</v>
      </c>
      <c r="I394" t="s">
        <v>1333</v>
      </c>
      <c r="J394" t="s">
        <v>1334</v>
      </c>
      <c r="L394" t="s">
        <v>1396</v>
      </c>
      <c r="N394" t="s">
        <v>1307</v>
      </c>
      <c r="O394" t="s">
        <v>4305</v>
      </c>
      <c r="P394" t="s">
        <v>4306</v>
      </c>
    </row>
    <row r="395" spans="1:16" x14ac:dyDescent="0.25">
      <c r="A395" t="s">
        <v>2534</v>
      </c>
      <c r="B395" t="s">
        <v>4268</v>
      </c>
      <c r="C395" t="s">
        <v>3343</v>
      </c>
      <c r="D395" t="s">
        <v>3330</v>
      </c>
      <c r="H395" t="s">
        <v>3394</v>
      </c>
      <c r="I395" t="s">
        <v>1333</v>
      </c>
      <c r="J395" t="s">
        <v>1334</v>
      </c>
      <c r="L395" t="s">
        <v>1335</v>
      </c>
      <c r="N395" t="s">
        <v>1319</v>
      </c>
      <c r="O395" t="s">
        <v>4307</v>
      </c>
      <c r="P395" t="s">
        <v>4308</v>
      </c>
    </row>
    <row r="396" spans="1:16" x14ac:dyDescent="0.25">
      <c r="A396" t="s">
        <v>2536</v>
      </c>
      <c r="B396" t="s">
        <v>4268</v>
      </c>
      <c r="C396" t="s">
        <v>3343</v>
      </c>
      <c r="D396" t="s">
        <v>3330</v>
      </c>
      <c r="H396" t="s">
        <v>3416</v>
      </c>
      <c r="I396" t="s">
        <v>1333</v>
      </c>
      <c r="J396" t="s">
        <v>1334</v>
      </c>
      <c r="L396" t="s">
        <v>1335</v>
      </c>
      <c r="N396" t="s">
        <v>1319</v>
      </c>
      <c r="O396" t="s">
        <v>4309</v>
      </c>
      <c r="P396" t="s">
        <v>4310</v>
      </c>
    </row>
    <row r="397" spans="1:16" x14ac:dyDescent="0.25">
      <c r="A397" t="s">
        <v>3277</v>
      </c>
      <c r="B397" t="s">
        <v>4268</v>
      </c>
      <c r="C397" t="s">
        <v>3343</v>
      </c>
      <c r="D397" t="s">
        <v>3330</v>
      </c>
      <c r="H397" t="s">
        <v>3437</v>
      </c>
      <c r="I397" t="s">
        <v>1333</v>
      </c>
      <c r="J397" t="s">
        <v>1334</v>
      </c>
      <c r="L397" t="s">
        <v>1335</v>
      </c>
      <c r="N397" t="s">
        <v>1307</v>
      </c>
      <c r="O397" t="s">
        <v>4311</v>
      </c>
      <c r="P397" t="s">
        <v>4312</v>
      </c>
    </row>
    <row r="398" spans="1:16" x14ac:dyDescent="0.25">
      <c r="A398" t="s">
        <v>2541</v>
      </c>
      <c r="B398" t="s">
        <v>4268</v>
      </c>
      <c r="C398" t="s">
        <v>3343</v>
      </c>
      <c r="D398" t="s">
        <v>3330</v>
      </c>
      <c r="H398" t="s">
        <v>3412</v>
      </c>
      <c r="I398" t="s">
        <v>1333</v>
      </c>
      <c r="J398" t="s">
        <v>2048</v>
      </c>
      <c r="L398" t="s">
        <v>1335</v>
      </c>
      <c r="N398" t="s">
        <v>1319</v>
      </c>
      <c r="O398" t="s">
        <v>4313</v>
      </c>
      <c r="P398" t="s">
        <v>4314</v>
      </c>
    </row>
    <row r="399" spans="1:16" x14ac:dyDescent="0.25">
      <c r="A399" t="s">
        <v>2544</v>
      </c>
      <c r="B399" t="s">
        <v>4268</v>
      </c>
      <c r="C399" t="s">
        <v>3343</v>
      </c>
      <c r="D399" t="s">
        <v>3330</v>
      </c>
      <c r="H399" t="s">
        <v>3466</v>
      </c>
      <c r="I399" t="s">
        <v>1333</v>
      </c>
      <c r="J399" t="s">
        <v>1334</v>
      </c>
      <c r="L399" t="s">
        <v>1335</v>
      </c>
      <c r="N399" t="s">
        <v>1319</v>
      </c>
      <c r="O399" t="s">
        <v>4315</v>
      </c>
      <c r="P399" t="s">
        <v>4316</v>
      </c>
    </row>
    <row r="400" spans="1:16" x14ac:dyDescent="0.25">
      <c r="A400" t="s">
        <v>2546</v>
      </c>
      <c r="B400" t="s">
        <v>4268</v>
      </c>
      <c r="C400" t="s">
        <v>3336</v>
      </c>
      <c r="D400" t="s">
        <v>3330</v>
      </c>
      <c r="H400" t="s">
        <v>3331</v>
      </c>
      <c r="I400" t="s">
        <v>1333</v>
      </c>
      <c r="J400" t="s">
        <v>1334</v>
      </c>
      <c r="L400" t="s">
        <v>1335</v>
      </c>
      <c r="N400" t="s">
        <v>1319</v>
      </c>
      <c r="O400" t="s">
        <v>4317</v>
      </c>
      <c r="P400" t="s">
        <v>4318</v>
      </c>
    </row>
    <row r="401" spans="1:16" x14ac:dyDescent="0.25">
      <c r="A401" t="s">
        <v>3280</v>
      </c>
      <c r="B401" t="s">
        <v>4268</v>
      </c>
      <c r="C401" t="s">
        <v>3350</v>
      </c>
      <c r="D401" t="s">
        <v>3330</v>
      </c>
      <c r="H401" t="s">
        <v>3394</v>
      </c>
      <c r="I401" t="s">
        <v>1333</v>
      </c>
      <c r="J401" t="s">
        <v>1334</v>
      </c>
      <c r="L401" t="s">
        <v>1335</v>
      </c>
      <c r="N401" t="s">
        <v>1307</v>
      </c>
      <c r="O401" t="s">
        <v>4319</v>
      </c>
      <c r="P401" t="s">
        <v>4320</v>
      </c>
    </row>
    <row r="402" spans="1:16" x14ac:dyDescent="0.25">
      <c r="A402" t="s">
        <v>2548</v>
      </c>
      <c r="B402" t="s">
        <v>4268</v>
      </c>
      <c r="C402" t="s">
        <v>3350</v>
      </c>
      <c r="D402" t="s">
        <v>3330</v>
      </c>
      <c r="H402" t="s">
        <v>3412</v>
      </c>
      <c r="I402" t="s">
        <v>1333</v>
      </c>
      <c r="J402" t="s">
        <v>1334</v>
      </c>
      <c r="L402" t="s">
        <v>1396</v>
      </c>
      <c r="N402" t="s">
        <v>1319</v>
      </c>
      <c r="O402" t="s">
        <v>4321</v>
      </c>
      <c r="P402" t="s">
        <v>4322</v>
      </c>
    </row>
    <row r="403" spans="1:16" x14ac:dyDescent="0.25">
      <c r="A403" t="s">
        <v>2551</v>
      </c>
      <c r="B403" t="s">
        <v>4268</v>
      </c>
      <c r="C403" t="s">
        <v>3350</v>
      </c>
      <c r="D403" t="s">
        <v>3330</v>
      </c>
      <c r="H403" t="s">
        <v>3496</v>
      </c>
      <c r="I403" t="s">
        <v>1333</v>
      </c>
      <c r="J403" t="s">
        <v>1334</v>
      </c>
      <c r="L403" t="s">
        <v>1335</v>
      </c>
      <c r="N403" t="s">
        <v>1319</v>
      </c>
      <c r="O403" t="s">
        <v>4323</v>
      </c>
      <c r="P403" t="s">
        <v>4324</v>
      </c>
    </row>
    <row r="404" spans="1:16" x14ac:dyDescent="0.25">
      <c r="A404" t="s">
        <v>3282</v>
      </c>
      <c r="B404" t="s">
        <v>4268</v>
      </c>
      <c r="C404" t="s">
        <v>3350</v>
      </c>
      <c r="D404" t="s">
        <v>3330</v>
      </c>
      <c r="H404" t="s">
        <v>3406</v>
      </c>
      <c r="I404" t="s">
        <v>1333</v>
      </c>
      <c r="J404" t="s">
        <v>1334</v>
      </c>
      <c r="L404" t="s">
        <v>1335</v>
      </c>
      <c r="N404" t="s">
        <v>1307</v>
      </c>
      <c r="O404" t="s">
        <v>4325</v>
      </c>
      <c r="P404" t="s">
        <v>4326</v>
      </c>
    </row>
    <row r="405" spans="1:16" x14ac:dyDescent="0.25">
      <c r="A405" t="s">
        <v>2554</v>
      </c>
      <c r="B405" t="s">
        <v>4327</v>
      </c>
      <c r="C405" t="s">
        <v>3356</v>
      </c>
      <c r="D405" t="s">
        <v>3330</v>
      </c>
      <c r="H405" t="s">
        <v>3422</v>
      </c>
      <c r="I405" t="s">
        <v>1333</v>
      </c>
      <c r="J405" t="s">
        <v>1334</v>
      </c>
      <c r="L405" t="s">
        <v>1335</v>
      </c>
      <c r="N405" t="s">
        <v>1319</v>
      </c>
      <c r="O405" t="s">
        <v>4328</v>
      </c>
      <c r="P405" t="s">
        <v>4329</v>
      </c>
    </row>
    <row r="406" spans="1:16" x14ac:dyDescent="0.25">
      <c r="A406" t="s">
        <v>2558</v>
      </c>
      <c r="B406" t="s">
        <v>4327</v>
      </c>
      <c r="C406" t="s">
        <v>3333</v>
      </c>
      <c r="D406" t="s">
        <v>3330</v>
      </c>
      <c r="H406" t="s">
        <v>3501</v>
      </c>
      <c r="I406" t="s">
        <v>1333</v>
      </c>
      <c r="J406" t="s">
        <v>1334</v>
      </c>
      <c r="L406" t="s">
        <v>1335</v>
      </c>
      <c r="N406" t="s">
        <v>1319</v>
      </c>
      <c r="O406" t="s">
        <v>4330</v>
      </c>
      <c r="P406" t="s">
        <v>4331</v>
      </c>
    </row>
    <row r="407" spans="1:16" x14ac:dyDescent="0.25">
      <c r="A407" t="s">
        <v>2561</v>
      </c>
      <c r="B407" t="s">
        <v>4327</v>
      </c>
      <c r="C407" t="s">
        <v>3356</v>
      </c>
      <c r="D407" t="s">
        <v>3330</v>
      </c>
      <c r="H407" t="s">
        <v>3398</v>
      </c>
      <c r="I407" t="s">
        <v>1333</v>
      </c>
      <c r="J407" t="s">
        <v>1334</v>
      </c>
      <c r="L407" t="s">
        <v>1335</v>
      </c>
      <c r="N407" t="s">
        <v>1319</v>
      </c>
      <c r="O407" t="s">
        <v>4332</v>
      </c>
      <c r="P407" t="s">
        <v>4333</v>
      </c>
    </row>
    <row r="408" spans="1:16" x14ac:dyDescent="0.25">
      <c r="A408" t="s">
        <v>2564</v>
      </c>
      <c r="B408" t="s">
        <v>4327</v>
      </c>
      <c r="C408" t="s">
        <v>3356</v>
      </c>
      <c r="D408" t="s">
        <v>3330</v>
      </c>
      <c r="H408" t="s">
        <v>3422</v>
      </c>
      <c r="I408" t="s">
        <v>1333</v>
      </c>
      <c r="J408" t="s">
        <v>1334</v>
      </c>
      <c r="L408" t="s">
        <v>1335</v>
      </c>
      <c r="N408" t="s">
        <v>1319</v>
      </c>
      <c r="O408" t="s">
        <v>4334</v>
      </c>
      <c r="P408" t="s">
        <v>4335</v>
      </c>
    </row>
    <row r="409" spans="1:16" x14ac:dyDescent="0.25">
      <c r="A409" t="s">
        <v>2566</v>
      </c>
      <c r="B409" t="s">
        <v>4327</v>
      </c>
      <c r="C409" t="s">
        <v>3333</v>
      </c>
      <c r="D409" t="s">
        <v>3330</v>
      </c>
      <c r="H409" t="s">
        <v>3425</v>
      </c>
      <c r="I409" t="s">
        <v>1333</v>
      </c>
      <c r="J409" t="s">
        <v>1334</v>
      </c>
      <c r="L409" t="s">
        <v>1396</v>
      </c>
      <c r="N409" t="s">
        <v>1319</v>
      </c>
      <c r="O409" t="s">
        <v>4336</v>
      </c>
      <c r="P409" t="s">
        <v>4337</v>
      </c>
    </row>
    <row r="410" spans="1:16" x14ac:dyDescent="0.25">
      <c r="A410" t="s">
        <v>3284</v>
      </c>
      <c r="B410" t="s">
        <v>4327</v>
      </c>
      <c r="C410" t="s">
        <v>3356</v>
      </c>
      <c r="D410" t="s">
        <v>3330</v>
      </c>
      <c r="H410" t="s">
        <v>3398</v>
      </c>
      <c r="I410" t="s">
        <v>1333</v>
      </c>
      <c r="J410" t="s">
        <v>1334</v>
      </c>
      <c r="L410" t="s">
        <v>1335</v>
      </c>
      <c r="N410" t="s">
        <v>1307</v>
      </c>
      <c r="O410" t="s">
        <v>4338</v>
      </c>
      <c r="P410" t="s">
        <v>4339</v>
      </c>
    </row>
    <row r="411" spans="1:16" x14ac:dyDescent="0.25">
      <c r="A411" t="s">
        <v>2570</v>
      </c>
      <c r="B411" t="s">
        <v>4327</v>
      </c>
      <c r="C411" t="s">
        <v>3356</v>
      </c>
      <c r="D411" t="s">
        <v>3330</v>
      </c>
      <c r="H411" t="s">
        <v>3394</v>
      </c>
      <c r="I411" t="s">
        <v>1333</v>
      </c>
      <c r="J411" t="s">
        <v>1334</v>
      </c>
      <c r="L411" t="s">
        <v>1335</v>
      </c>
      <c r="N411" t="s">
        <v>1319</v>
      </c>
      <c r="O411" t="s">
        <v>4340</v>
      </c>
      <c r="P411" t="s">
        <v>4341</v>
      </c>
    </row>
    <row r="412" spans="1:16" x14ac:dyDescent="0.25">
      <c r="A412" t="s">
        <v>3287</v>
      </c>
      <c r="B412" t="s">
        <v>4327</v>
      </c>
      <c r="C412" t="s">
        <v>3333</v>
      </c>
      <c r="D412" t="s">
        <v>3330</v>
      </c>
      <c r="H412" t="s">
        <v>3337</v>
      </c>
      <c r="I412" t="s">
        <v>1333</v>
      </c>
      <c r="J412" t="s">
        <v>1334</v>
      </c>
      <c r="L412" t="s">
        <v>1396</v>
      </c>
      <c r="N412" t="s">
        <v>1307</v>
      </c>
      <c r="O412" t="s">
        <v>4342</v>
      </c>
      <c r="P412" t="s">
        <v>4343</v>
      </c>
    </row>
    <row r="413" spans="1:16" x14ac:dyDescent="0.25">
      <c r="A413" t="s">
        <v>2576</v>
      </c>
      <c r="B413" t="s">
        <v>4327</v>
      </c>
      <c r="C413" t="s">
        <v>3336</v>
      </c>
      <c r="D413" t="s">
        <v>3330</v>
      </c>
      <c r="H413" t="s">
        <v>3434</v>
      </c>
      <c r="I413" t="s">
        <v>1333</v>
      </c>
      <c r="J413" t="s">
        <v>1334</v>
      </c>
      <c r="L413" t="s">
        <v>1335</v>
      </c>
      <c r="N413" t="s">
        <v>1319</v>
      </c>
      <c r="O413" t="s">
        <v>4344</v>
      </c>
      <c r="P413" t="s">
        <v>4345</v>
      </c>
    </row>
    <row r="414" spans="1:16" x14ac:dyDescent="0.25">
      <c r="A414" t="s">
        <v>2578</v>
      </c>
      <c r="B414" t="s">
        <v>4327</v>
      </c>
      <c r="C414" t="s">
        <v>3333</v>
      </c>
      <c r="D414" t="s">
        <v>3330</v>
      </c>
      <c r="H414" t="s">
        <v>3365</v>
      </c>
      <c r="I414" t="s">
        <v>1333</v>
      </c>
      <c r="J414" t="s">
        <v>1334</v>
      </c>
      <c r="L414" t="s">
        <v>1575</v>
      </c>
      <c r="N414" t="s">
        <v>1319</v>
      </c>
      <c r="O414" t="s">
        <v>4346</v>
      </c>
      <c r="P414" t="s">
        <v>4347</v>
      </c>
    </row>
    <row r="415" spans="1:16" x14ac:dyDescent="0.25">
      <c r="A415" t="s">
        <v>2580</v>
      </c>
      <c r="B415" t="s">
        <v>4327</v>
      </c>
      <c r="C415" t="s">
        <v>3336</v>
      </c>
      <c r="D415" t="s">
        <v>3330</v>
      </c>
      <c r="H415" t="s">
        <v>3347</v>
      </c>
      <c r="I415" t="s">
        <v>1333</v>
      </c>
      <c r="J415" t="s">
        <v>1334</v>
      </c>
      <c r="L415" t="s">
        <v>1396</v>
      </c>
      <c r="N415" t="s">
        <v>1319</v>
      </c>
      <c r="O415" t="s">
        <v>4348</v>
      </c>
      <c r="P415" t="s">
        <v>4349</v>
      </c>
    </row>
    <row r="416" spans="1:16" x14ac:dyDescent="0.25">
      <c r="A416" t="s">
        <v>3289</v>
      </c>
      <c r="B416" t="s">
        <v>4327</v>
      </c>
      <c r="C416" t="s">
        <v>3333</v>
      </c>
      <c r="D416" t="s">
        <v>3330</v>
      </c>
      <c r="H416" t="s">
        <v>3378</v>
      </c>
      <c r="I416" t="s">
        <v>1333</v>
      </c>
      <c r="J416" t="s">
        <v>1334</v>
      </c>
      <c r="L416" t="s">
        <v>1396</v>
      </c>
      <c r="N416" t="s">
        <v>1307</v>
      </c>
      <c r="O416" t="s">
        <v>4350</v>
      </c>
      <c r="P416" t="s">
        <v>4351</v>
      </c>
    </row>
    <row r="417" spans="1:16" x14ac:dyDescent="0.25">
      <c r="A417" t="s">
        <v>2582</v>
      </c>
      <c r="B417" t="s">
        <v>4327</v>
      </c>
      <c r="C417" t="s">
        <v>3336</v>
      </c>
      <c r="D417" t="s">
        <v>3330</v>
      </c>
      <c r="H417" t="s">
        <v>3503</v>
      </c>
      <c r="I417" t="s">
        <v>1333</v>
      </c>
      <c r="J417" t="s">
        <v>1334</v>
      </c>
      <c r="L417" t="s">
        <v>1335</v>
      </c>
      <c r="N417" t="s">
        <v>1319</v>
      </c>
      <c r="O417" t="s">
        <v>4352</v>
      </c>
      <c r="P417" t="s">
        <v>4353</v>
      </c>
    </row>
    <row r="418" spans="1:16" x14ac:dyDescent="0.25">
      <c r="A418" t="s">
        <v>3292</v>
      </c>
      <c r="B418" t="s">
        <v>4327</v>
      </c>
      <c r="C418" t="s">
        <v>3336</v>
      </c>
      <c r="D418" t="s">
        <v>3330</v>
      </c>
      <c r="H418" t="s">
        <v>3410</v>
      </c>
      <c r="I418" t="s">
        <v>1333</v>
      </c>
      <c r="J418" t="s">
        <v>1334</v>
      </c>
      <c r="L418" t="s">
        <v>1396</v>
      </c>
      <c r="N418" t="s">
        <v>1307</v>
      </c>
      <c r="O418" t="s">
        <v>4354</v>
      </c>
      <c r="P418" t="s">
        <v>4355</v>
      </c>
    </row>
    <row r="419" spans="1:16" x14ac:dyDescent="0.25">
      <c r="A419" t="s">
        <v>2584</v>
      </c>
      <c r="B419" t="s">
        <v>4327</v>
      </c>
      <c r="C419" t="s">
        <v>3343</v>
      </c>
      <c r="D419" t="s">
        <v>3330</v>
      </c>
      <c r="H419" t="s">
        <v>3425</v>
      </c>
      <c r="I419" t="s">
        <v>1333</v>
      </c>
      <c r="J419" t="s">
        <v>1334</v>
      </c>
      <c r="L419" t="s">
        <v>1335</v>
      </c>
      <c r="N419" t="s">
        <v>1319</v>
      </c>
      <c r="O419" t="s">
        <v>4356</v>
      </c>
      <c r="P419" t="s">
        <v>4357</v>
      </c>
    </row>
    <row r="420" spans="1:16" x14ac:dyDescent="0.25">
      <c r="A420" t="s">
        <v>3294</v>
      </c>
      <c r="B420" t="s">
        <v>4327</v>
      </c>
      <c r="C420" t="s">
        <v>3343</v>
      </c>
      <c r="D420" t="s">
        <v>3330</v>
      </c>
      <c r="H420" t="s">
        <v>3347</v>
      </c>
      <c r="I420" t="s">
        <v>1333</v>
      </c>
      <c r="J420" t="s">
        <v>1334</v>
      </c>
      <c r="L420" t="s">
        <v>1335</v>
      </c>
      <c r="N420" t="s">
        <v>1307</v>
      </c>
      <c r="O420" t="s">
        <v>4358</v>
      </c>
      <c r="P420" t="s">
        <v>4359</v>
      </c>
    </row>
    <row r="421" spans="1:16" x14ac:dyDescent="0.25">
      <c r="A421" t="s">
        <v>2587</v>
      </c>
      <c r="B421" t="s">
        <v>4327</v>
      </c>
      <c r="C421" t="s">
        <v>3343</v>
      </c>
      <c r="D421" t="s">
        <v>3330</v>
      </c>
      <c r="H421" t="s">
        <v>3414</v>
      </c>
      <c r="I421" t="s">
        <v>1333</v>
      </c>
      <c r="J421" t="s">
        <v>1334</v>
      </c>
      <c r="L421" t="s">
        <v>1396</v>
      </c>
      <c r="N421" t="s">
        <v>1319</v>
      </c>
      <c r="O421" t="s">
        <v>4360</v>
      </c>
      <c r="P421" t="s">
        <v>4361</v>
      </c>
    </row>
    <row r="422" spans="1:16" x14ac:dyDescent="0.25">
      <c r="A422" t="s">
        <v>2590</v>
      </c>
      <c r="B422" t="s">
        <v>4327</v>
      </c>
      <c r="C422" t="s">
        <v>3343</v>
      </c>
      <c r="D422" t="s">
        <v>3330</v>
      </c>
      <c r="H422" t="s">
        <v>3465</v>
      </c>
      <c r="I422" t="s">
        <v>1333</v>
      </c>
      <c r="J422" t="s">
        <v>1334</v>
      </c>
      <c r="L422" t="s">
        <v>1335</v>
      </c>
      <c r="N422" t="s">
        <v>1319</v>
      </c>
      <c r="O422" t="s">
        <v>4362</v>
      </c>
      <c r="P422" t="s">
        <v>4363</v>
      </c>
    </row>
    <row r="423" spans="1:16" x14ac:dyDescent="0.25">
      <c r="A423" t="s">
        <v>2593</v>
      </c>
      <c r="B423" t="s">
        <v>4327</v>
      </c>
      <c r="C423" t="s">
        <v>3343</v>
      </c>
      <c r="D423" t="s">
        <v>3330</v>
      </c>
      <c r="H423" t="s">
        <v>3398</v>
      </c>
      <c r="I423" t="s">
        <v>1333</v>
      </c>
      <c r="J423" t="s">
        <v>1334</v>
      </c>
      <c r="L423" t="s">
        <v>1335</v>
      </c>
      <c r="N423" t="s">
        <v>1319</v>
      </c>
      <c r="O423" t="s">
        <v>4364</v>
      </c>
      <c r="P423" t="s">
        <v>4365</v>
      </c>
    </row>
    <row r="424" spans="1:16" x14ac:dyDescent="0.25">
      <c r="A424" t="s">
        <v>2595</v>
      </c>
      <c r="B424" t="s">
        <v>4327</v>
      </c>
      <c r="C424" t="s">
        <v>3329</v>
      </c>
      <c r="D424" t="s">
        <v>3330</v>
      </c>
      <c r="H424" t="s">
        <v>3419</v>
      </c>
      <c r="I424" t="s">
        <v>1333</v>
      </c>
      <c r="J424" t="s">
        <v>1334</v>
      </c>
      <c r="L424" t="s">
        <v>1335</v>
      </c>
      <c r="N424" t="s">
        <v>1319</v>
      </c>
      <c r="O424" t="s">
        <v>4366</v>
      </c>
      <c r="P424" t="s">
        <v>4367</v>
      </c>
    </row>
    <row r="425" spans="1:16" x14ac:dyDescent="0.25">
      <c r="A425" t="s">
        <v>2597</v>
      </c>
      <c r="B425" t="s">
        <v>4327</v>
      </c>
      <c r="C425" t="s">
        <v>3329</v>
      </c>
      <c r="D425" t="s">
        <v>3330</v>
      </c>
      <c r="H425" t="s">
        <v>3422</v>
      </c>
      <c r="I425" t="s">
        <v>1333</v>
      </c>
      <c r="J425" t="s">
        <v>1334</v>
      </c>
      <c r="L425" t="s">
        <v>1335</v>
      </c>
      <c r="N425" t="s">
        <v>1319</v>
      </c>
      <c r="O425" t="s">
        <v>4368</v>
      </c>
      <c r="P425" t="s">
        <v>4369</v>
      </c>
    </row>
    <row r="426" spans="1:16" x14ac:dyDescent="0.25">
      <c r="A426" t="s">
        <v>3296</v>
      </c>
      <c r="B426" t="s">
        <v>4327</v>
      </c>
      <c r="C426" t="s">
        <v>3329</v>
      </c>
      <c r="D426" t="s">
        <v>3330</v>
      </c>
      <c r="H426" t="s">
        <v>3442</v>
      </c>
      <c r="I426" t="s">
        <v>1333</v>
      </c>
      <c r="J426" t="s">
        <v>1334</v>
      </c>
      <c r="L426" t="s">
        <v>1396</v>
      </c>
      <c r="N426" t="s">
        <v>1307</v>
      </c>
      <c r="O426" t="s">
        <v>4370</v>
      </c>
      <c r="P426" t="s">
        <v>4371</v>
      </c>
    </row>
    <row r="427" spans="1:16" x14ac:dyDescent="0.25">
      <c r="A427" t="s">
        <v>3301</v>
      </c>
      <c r="B427" t="s">
        <v>4327</v>
      </c>
      <c r="C427" t="s">
        <v>3329</v>
      </c>
      <c r="D427" t="s">
        <v>3330</v>
      </c>
      <c r="H427" t="s">
        <v>3384</v>
      </c>
      <c r="I427" t="s">
        <v>1333</v>
      </c>
      <c r="J427" t="s">
        <v>1334</v>
      </c>
      <c r="L427" t="s">
        <v>1780</v>
      </c>
      <c r="N427" t="s">
        <v>1307</v>
      </c>
      <c r="O427" t="s">
        <v>4372</v>
      </c>
      <c r="P427" t="s">
        <v>4373</v>
      </c>
    </row>
    <row r="428" spans="1:16" x14ac:dyDescent="0.25">
      <c r="A428" t="s">
        <v>3306</v>
      </c>
      <c r="B428" t="s">
        <v>4327</v>
      </c>
      <c r="C428" t="s">
        <v>3329</v>
      </c>
      <c r="D428" t="s">
        <v>3330</v>
      </c>
      <c r="H428" t="s">
        <v>3378</v>
      </c>
      <c r="I428" t="s">
        <v>1333</v>
      </c>
      <c r="J428" t="s">
        <v>1334</v>
      </c>
      <c r="L428" t="s">
        <v>1396</v>
      </c>
      <c r="N428" t="s">
        <v>1307</v>
      </c>
      <c r="O428" t="s">
        <v>4374</v>
      </c>
      <c r="P428" t="s">
        <v>4375</v>
      </c>
    </row>
    <row r="429" spans="1:16" x14ac:dyDescent="0.25">
      <c r="A429" t="s">
        <v>3308</v>
      </c>
      <c r="B429" t="s">
        <v>4327</v>
      </c>
      <c r="C429" t="s">
        <v>3350</v>
      </c>
      <c r="D429" t="s">
        <v>3330</v>
      </c>
      <c r="H429" t="s">
        <v>3347</v>
      </c>
      <c r="I429" t="s">
        <v>1333</v>
      </c>
      <c r="J429" t="s">
        <v>1334</v>
      </c>
      <c r="L429" t="s">
        <v>1335</v>
      </c>
      <c r="N429" t="s">
        <v>1307</v>
      </c>
      <c r="O429" t="s">
        <v>4376</v>
      </c>
      <c r="P429" t="s">
        <v>4377</v>
      </c>
    </row>
    <row r="430" spans="1:16" x14ac:dyDescent="0.25">
      <c r="A430" t="s">
        <v>2600</v>
      </c>
      <c r="B430" t="s">
        <v>4327</v>
      </c>
      <c r="C430" t="s">
        <v>3350</v>
      </c>
      <c r="D430" t="s">
        <v>3330</v>
      </c>
      <c r="H430" t="s">
        <v>3469</v>
      </c>
      <c r="I430" t="s">
        <v>1333</v>
      </c>
      <c r="J430" t="s">
        <v>1334</v>
      </c>
      <c r="L430" t="s">
        <v>1335</v>
      </c>
      <c r="N430" t="s">
        <v>1319</v>
      </c>
      <c r="O430" t="s">
        <v>4378</v>
      </c>
      <c r="P430" t="s">
        <v>4379</v>
      </c>
    </row>
    <row r="431" spans="1:16" x14ac:dyDescent="0.25">
      <c r="A431" t="s">
        <v>3313</v>
      </c>
      <c r="B431" t="s">
        <v>4327</v>
      </c>
      <c r="C431" t="s">
        <v>3350</v>
      </c>
      <c r="D431" t="s">
        <v>3330</v>
      </c>
      <c r="H431" t="s">
        <v>3353</v>
      </c>
      <c r="I431" t="s">
        <v>1333</v>
      </c>
      <c r="J431" t="s">
        <v>1334</v>
      </c>
      <c r="L431" t="s">
        <v>1396</v>
      </c>
      <c r="N431" t="s">
        <v>1307</v>
      </c>
      <c r="O431" t="s">
        <v>4380</v>
      </c>
      <c r="P431" t="s">
        <v>4381</v>
      </c>
    </row>
    <row r="432" spans="1:16" x14ac:dyDescent="0.25">
      <c r="A432" t="s">
        <v>3316</v>
      </c>
      <c r="B432" t="s">
        <v>4327</v>
      </c>
      <c r="C432" t="s">
        <v>3350</v>
      </c>
      <c r="D432" t="s">
        <v>3330</v>
      </c>
      <c r="H432" t="s">
        <v>3416</v>
      </c>
      <c r="I432" t="s">
        <v>1333</v>
      </c>
      <c r="J432" t="s">
        <v>1334</v>
      </c>
      <c r="L432" t="s">
        <v>1335</v>
      </c>
      <c r="N432" t="s">
        <v>1307</v>
      </c>
      <c r="O432" t="s">
        <v>4382</v>
      </c>
      <c r="P432" t="s">
        <v>4383</v>
      </c>
    </row>
    <row r="433" spans="1:16" x14ac:dyDescent="0.25">
      <c r="A433" t="s">
        <v>2603</v>
      </c>
      <c r="B433" t="s">
        <v>4327</v>
      </c>
      <c r="C433" t="s">
        <v>3350</v>
      </c>
      <c r="D433" t="s">
        <v>3330</v>
      </c>
      <c r="H433" t="s">
        <v>3766</v>
      </c>
      <c r="I433" t="s">
        <v>1333</v>
      </c>
      <c r="J433" t="s">
        <v>1334</v>
      </c>
      <c r="L433" t="s">
        <v>1335</v>
      </c>
      <c r="N433" t="s">
        <v>1319</v>
      </c>
      <c r="O433" t="s">
        <v>4384</v>
      </c>
      <c r="P433" t="s">
        <v>4385</v>
      </c>
    </row>
    <row r="434" spans="1:16" x14ac:dyDescent="0.25">
      <c r="A434" t="s">
        <v>2606</v>
      </c>
      <c r="B434" t="s">
        <v>4327</v>
      </c>
      <c r="C434" t="s">
        <v>3329</v>
      </c>
      <c r="D434" t="s">
        <v>3330</v>
      </c>
      <c r="H434" t="s">
        <v>3425</v>
      </c>
      <c r="I434" t="s">
        <v>1333</v>
      </c>
      <c r="J434" t="s">
        <v>1334</v>
      </c>
      <c r="L434" t="s">
        <v>1335</v>
      </c>
      <c r="N434" t="s">
        <v>1319</v>
      </c>
      <c r="O434" t="s">
        <v>4386</v>
      </c>
      <c r="P434" t="s">
        <v>4387</v>
      </c>
    </row>
    <row r="435" spans="1:16" x14ac:dyDescent="0.25">
      <c r="A435" t="s">
        <v>2608</v>
      </c>
      <c r="B435" t="s">
        <v>4327</v>
      </c>
      <c r="C435" t="s">
        <v>3336</v>
      </c>
      <c r="D435" t="s">
        <v>3330</v>
      </c>
      <c r="H435" t="s">
        <v>3340</v>
      </c>
      <c r="I435" t="s">
        <v>1333</v>
      </c>
      <c r="J435" t="s">
        <v>1334</v>
      </c>
      <c r="L435" t="s">
        <v>1335</v>
      </c>
      <c r="N435" t="s">
        <v>1319</v>
      </c>
      <c r="O435" t="s">
        <v>4388</v>
      </c>
      <c r="P435" t="s">
        <v>4389</v>
      </c>
    </row>
    <row r="436" spans="1:16" x14ac:dyDescent="0.25">
      <c r="A436" t="s">
        <v>2611</v>
      </c>
      <c r="B436" t="s">
        <v>4327</v>
      </c>
      <c r="C436" t="s">
        <v>3333</v>
      </c>
      <c r="D436" t="s">
        <v>3330</v>
      </c>
      <c r="H436" t="s">
        <v>3496</v>
      </c>
      <c r="I436" t="s">
        <v>1333</v>
      </c>
      <c r="J436" t="s">
        <v>1334</v>
      </c>
      <c r="L436" t="s">
        <v>1575</v>
      </c>
      <c r="N436" t="s">
        <v>1319</v>
      </c>
      <c r="O436" t="s">
        <v>4390</v>
      </c>
      <c r="P436" t="s">
        <v>4391</v>
      </c>
    </row>
  </sheetData>
  <autoFilter ref="A1:P436" xr:uid="{4AD2CF50-371D-4AC3-AEFA-B009DCEF1B54}"/>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4B757-087E-4D84-B477-DEED77A93845}">
  <dimension ref="A1:V111"/>
  <sheetViews>
    <sheetView zoomScale="80" zoomScaleNormal="80" workbookViewId="0">
      <pane ySplit="1" topLeftCell="A2" activePane="bottomLeft" state="frozen"/>
      <selection pane="bottomLeft" activeCell="S13" sqref="S13"/>
    </sheetView>
  </sheetViews>
  <sheetFormatPr defaultRowHeight="15" x14ac:dyDescent="0.25"/>
  <cols>
    <col min="1" max="1" width="26.42578125" customWidth="1"/>
    <col min="7" max="9" width="43.140625" style="1" customWidth="1"/>
    <col min="10" max="12" width="17.85546875" customWidth="1"/>
    <col min="14" max="16" width="39.42578125" style="1" customWidth="1"/>
    <col min="17" max="17" width="26.85546875" style="1" customWidth="1"/>
  </cols>
  <sheetData>
    <row r="1" spans="1:22" s="12" customFormat="1" ht="63" x14ac:dyDescent="0.25">
      <c r="A1" s="40" t="s">
        <v>16</v>
      </c>
      <c r="B1" s="41" t="s">
        <v>76</v>
      </c>
      <c r="C1" s="41" t="s">
        <v>77</v>
      </c>
      <c r="D1" s="41" t="s">
        <v>78</v>
      </c>
      <c r="E1" s="41" t="s">
        <v>79</v>
      </c>
      <c r="F1" s="41" t="s">
        <v>80</v>
      </c>
      <c r="G1" s="41" t="s">
        <v>81</v>
      </c>
      <c r="H1" s="41" t="s">
        <v>82</v>
      </c>
      <c r="I1" s="41" t="s">
        <v>83</v>
      </c>
      <c r="J1" s="41" t="s">
        <v>84</v>
      </c>
      <c r="K1" s="41" t="s">
        <v>85</v>
      </c>
      <c r="L1" s="41" t="s">
        <v>86</v>
      </c>
      <c r="M1" s="41" t="s">
        <v>87</v>
      </c>
      <c r="N1" s="41" t="s">
        <v>88</v>
      </c>
      <c r="O1" s="41" t="s">
        <v>89</v>
      </c>
      <c r="P1" s="41" t="s">
        <v>90</v>
      </c>
      <c r="Q1" s="41" t="s">
        <v>91</v>
      </c>
      <c r="R1" s="41" t="s">
        <v>92</v>
      </c>
      <c r="S1" s="41" t="s">
        <v>93</v>
      </c>
      <c r="T1" s="41" t="s">
        <v>9</v>
      </c>
      <c r="U1" s="41" t="s">
        <v>94</v>
      </c>
      <c r="V1" s="42" t="s">
        <v>95</v>
      </c>
    </row>
    <row r="2" spans="1:22" ht="25.5" x14ac:dyDescent="0.25">
      <c r="A2" s="48" t="s">
        <v>96</v>
      </c>
      <c r="B2" s="49" t="s">
        <v>97</v>
      </c>
      <c r="C2" s="50" t="s">
        <v>98</v>
      </c>
      <c r="D2" s="51" t="s">
        <v>99</v>
      </c>
      <c r="E2" s="51" t="s">
        <v>96</v>
      </c>
      <c r="F2" s="52" t="s">
        <v>100</v>
      </c>
      <c r="G2" s="51" t="s">
        <v>101</v>
      </c>
      <c r="H2" s="53" t="s">
        <v>102</v>
      </c>
      <c r="I2" s="53" t="s">
        <v>103</v>
      </c>
      <c r="J2" s="54"/>
      <c r="K2" s="53"/>
      <c r="L2" s="53"/>
      <c r="M2" s="51" t="s">
        <v>104</v>
      </c>
      <c r="N2" s="54" t="s">
        <v>105</v>
      </c>
      <c r="O2" s="54"/>
      <c r="P2" s="54"/>
      <c r="Q2" s="54"/>
      <c r="R2" s="54"/>
      <c r="S2" s="51" t="s">
        <v>106</v>
      </c>
      <c r="T2" s="98" t="s">
        <v>107</v>
      </c>
      <c r="U2" s="98" t="s">
        <v>108</v>
      </c>
      <c r="V2" s="55" t="s">
        <v>109</v>
      </c>
    </row>
    <row r="3" spans="1:22" ht="38.25" x14ac:dyDescent="0.25">
      <c r="A3" s="56"/>
      <c r="B3" s="49" t="s">
        <v>110</v>
      </c>
      <c r="C3" s="50" t="s">
        <v>98</v>
      </c>
      <c r="D3" s="51" t="s">
        <v>99</v>
      </c>
      <c r="E3" s="51" t="s">
        <v>96</v>
      </c>
      <c r="F3" s="52" t="s">
        <v>111</v>
      </c>
      <c r="G3" s="51" t="s">
        <v>112</v>
      </c>
      <c r="H3" s="51" t="s">
        <v>113</v>
      </c>
      <c r="I3" s="51" t="s">
        <v>114</v>
      </c>
      <c r="J3" s="54"/>
      <c r="K3" s="51"/>
      <c r="L3" s="51"/>
      <c r="M3" s="51" t="s">
        <v>104</v>
      </c>
      <c r="N3" s="54" t="s">
        <v>115</v>
      </c>
      <c r="O3" s="54" t="s">
        <v>116</v>
      </c>
      <c r="P3" s="54" t="s">
        <v>117</v>
      </c>
      <c r="Q3" s="54"/>
      <c r="R3" s="54"/>
      <c r="S3" s="51" t="s">
        <v>106</v>
      </c>
      <c r="T3" s="99"/>
      <c r="U3" s="99"/>
      <c r="V3" s="55" t="s">
        <v>109</v>
      </c>
    </row>
    <row r="4" spans="1:22" ht="409.5" x14ac:dyDescent="0.25">
      <c r="A4" s="56"/>
      <c r="B4" s="57"/>
      <c r="C4" s="50" t="s">
        <v>98</v>
      </c>
      <c r="D4" s="51" t="s">
        <v>99</v>
      </c>
      <c r="E4" s="51" t="s">
        <v>118</v>
      </c>
      <c r="F4" s="54" t="s">
        <v>118</v>
      </c>
      <c r="G4" s="51" t="s">
        <v>119</v>
      </c>
      <c r="H4" s="51" t="s">
        <v>120</v>
      </c>
      <c r="I4" s="51" t="s">
        <v>121</v>
      </c>
      <c r="J4" s="54"/>
      <c r="K4" s="51"/>
      <c r="L4" s="51"/>
      <c r="M4" s="51" t="s">
        <v>122</v>
      </c>
      <c r="N4" s="51"/>
      <c r="O4" s="51"/>
      <c r="P4" s="51"/>
      <c r="Q4" s="54"/>
      <c r="R4" s="54"/>
      <c r="S4" s="51"/>
      <c r="T4" s="99"/>
      <c r="U4" s="99"/>
      <c r="V4" s="55"/>
    </row>
    <row r="5" spans="1:22" ht="51" x14ac:dyDescent="0.25">
      <c r="A5" s="56"/>
      <c r="B5" s="49" t="s">
        <v>123</v>
      </c>
      <c r="C5" s="50" t="s">
        <v>98</v>
      </c>
      <c r="D5" s="51" t="s">
        <v>99</v>
      </c>
      <c r="E5" s="51" t="s">
        <v>124</v>
      </c>
      <c r="F5" s="54" t="s">
        <v>124</v>
      </c>
      <c r="G5" s="51" t="s">
        <v>125</v>
      </c>
      <c r="H5" s="51" t="s">
        <v>126</v>
      </c>
      <c r="I5" s="51" t="s">
        <v>127</v>
      </c>
      <c r="J5" s="54"/>
      <c r="K5" s="51"/>
      <c r="L5" s="51"/>
      <c r="M5" s="51" t="s">
        <v>104</v>
      </c>
      <c r="N5" s="51" t="s">
        <v>128</v>
      </c>
      <c r="O5" s="51" t="s">
        <v>129</v>
      </c>
      <c r="P5" s="51" t="s">
        <v>130</v>
      </c>
      <c r="Q5" s="54"/>
      <c r="R5" s="54"/>
      <c r="S5" s="51" t="s">
        <v>106</v>
      </c>
      <c r="T5" s="99"/>
      <c r="U5" s="99"/>
      <c r="V5" s="55" t="s">
        <v>109</v>
      </c>
    </row>
    <row r="6" spans="1:22" ht="38.25" x14ac:dyDescent="0.25">
      <c r="A6" s="56"/>
      <c r="B6" s="57"/>
      <c r="C6" s="50" t="s">
        <v>98</v>
      </c>
      <c r="D6" s="51" t="s">
        <v>99</v>
      </c>
      <c r="E6" s="51" t="s">
        <v>124</v>
      </c>
      <c r="F6" s="54" t="s">
        <v>131</v>
      </c>
      <c r="G6" s="51" t="s">
        <v>132</v>
      </c>
      <c r="H6" s="51" t="s">
        <v>133</v>
      </c>
      <c r="I6" s="51" t="s">
        <v>134</v>
      </c>
      <c r="J6" s="54"/>
      <c r="K6" s="51"/>
      <c r="L6" s="51"/>
      <c r="M6" s="51" t="s">
        <v>122</v>
      </c>
      <c r="N6" s="51"/>
      <c r="O6" s="51"/>
      <c r="P6" s="51"/>
      <c r="Q6" s="54" t="s">
        <v>135</v>
      </c>
      <c r="R6" s="54"/>
      <c r="S6" s="51"/>
      <c r="T6" s="99"/>
      <c r="U6" s="99"/>
      <c r="V6" s="55"/>
    </row>
    <row r="7" spans="1:22" ht="51" x14ac:dyDescent="0.25">
      <c r="A7" s="56"/>
      <c r="B7" s="49" t="s">
        <v>136</v>
      </c>
      <c r="C7" s="50" t="s">
        <v>98</v>
      </c>
      <c r="D7" s="51" t="s">
        <v>99</v>
      </c>
      <c r="E7" s="51" t="s">
        <v>137</v>
      </c>
      <c r="F7" s="54" t="s">
        <v>138</v>
      </c>
      <c r="G7" s="51" t="s">
        <v>139</v>
      </c>
      <c r="H7" s="51" t="s">
        <v>140</v>
      </c>
      <c r="I7" s="51" t="s">
        <v>141</v>
      </c>
      <c r="J7" s="54"/>
      <c r="K7" s="51"/>
      <c r="L7" s="51"/>
      <c r="M7" s="51" t="s">
        <v>142</v>
      </c>
      <c r="N7" s="51"/>
      <c r="O7" s="51"/>
      <c r="P7" s="51"/>
      <c r="Q7" s="54"/>
      <c r="R7" s="54" t="s">
        <v>143</v>
      </c>
      <c r="S7" s="51" t="s">
        <v>144</v>
      </c>
      <c r="T7" s="99"/>
      <c r="U7" s="99"/>
      <c r="V7" s="55" t="s">
        <v>109</v>
      </c>
    </row>
    <row r="8" spans="1:22" ht="25.5" x14ac:dyDescent="0.25">
      <c r="A8" s="56"/>
      <c r="B8" s="57"/>
      <c r="C8" s="50" t="s">
        <v>98</v>
      </c>
      <c r="D8" s="51" t="s">
        <v>99</v>
      </c>
      <c r="E8" s="51" t="s">
        <v>145</v>
      </c>
      <c r="F8" s="54" t="s">
        <v>146</v>
      </c>
      <c r="G8" s="51" t="s">
        <v>147</v>
      </c>
      <c r="H8" s="51" t="s">
        <v>148</v>
      </c>
      <c r="I8" s="51" t="s">
        <v>149</v>
      </c>
      <c r="J8" s="54"/>
      <c r="K8" s="51"/>
      <c r="L8" s="51"/>
      <c r="M8" s="51" t="s">
        <v>122</v>
      </c>
      <c r="N8" s="51"/>
      <c r="O8" s="51"/>
      <c r="P8" s="51"/>
      <c r="Q8" s="54" t="s">
        <v>150</v>
      </c>
      <c r="R8" s="54"/>
      <c r="S8" s="51"/>
      <c r="T8" s="99"/>
      <c r="U8" s="99"/>
      <c r="V8" s="55"/>
    </row>
    <row r="9" spans="1:22" ht="25.5" x14ac:dyDescent="0.25">
      <c r="A9" s="56"/>
      <c r="B9" s="49" t="s">
        <v>151</v>
      </c>
      <c r="C9" s="50" t="s">
        <v>98</v>
      </c>
      <c r="D9" s="51" t="s">
        <v>99</v>
      </c>
      <c r="E9" s="51" t="s">
        <v>137</v>
      </c>
      <c r="F9" s="54" t="s">
        <v>152</v>
      </c>
      <c r="G9" s="51" t="s">
        <v>153</v>
      </c>
      <c r="H9" s="51" t="s">
        <v>154</v>
      </c>
      <c r="I9" s="51" t="s">
        <v>155</v>
      </c>
      <c r="J9" s="54"/>
      <c r="K9" s="51"/>
      <c r="L9" s="51"/>
      <c r="M9" s="51" t="s">
        <v>104</v>
      </c>
      <c r="N9" s="54" t="s">
        <v>156</v>
      </c>
      <c r="O9" s="54"/>
      <c r="P9" s="54"/>
      <c r="Q9" s="54"/>
      <c r="R9" s="54"/>
      <c r="S9" s="51" t="s">
        <v>106</v>
      </c>
      <c r="T9" s="99"/>
      <c r="U9" s="99"/>
      <c r="V9" s="55" t="s">
        <v>109</v>
      </c>
    </row>
    <row r="10" spans="1:22" ht="140.25" x14ac:dyDescent="0.25">
      <c r="A10" s="56"/>
      <c r="B10" s="57"/>
      <c r="C10" s="50" t="s">
        <v>98</v>
      </c>
      <c r="D10" s="51" t="s">
        <v>99</v>
      </c>
      <c r="E10" s="51" t="s">
        <v>145</v>
      </c>
      <c r="F10" s="54" t="s">
        <v>157</v>
      </c>
      <c r="G10" s="51" t="s">
        <v>158</v>
      </c>
      <c r="H10" s="51" t="s">
        <v>159</v>
      </c>
      <c r="I10" s="51" t="s">
        <v>160</v>
      </c>
      <c r="J10" s="54"/>
      <c r="K10" s="51"/>
      <c r="L10" s="51"/>
      <c r="M10" s="51" t="s">
        <v>122</v>
      </c>
      <c r="N10" s="51"/>
      <c r="O10" s="51"/>
      <c r="P10" s="51"/>
      <c r="Q10" s="54" t="s">
        <v>161</v>
      </c>
      <c r="R10" s="54"/>
      <c r="S10" s="51"/>
      <c r="T10" s="99"/>
      <c r="U10" s="99"/>
      <c r="V10" s="55"/>
    </row>
    <row r="11" spans="1:22" ht="76.5" x14ac:dyDescent="0.25">
      <c r="A11" s="56"/>
      <c r="B11" s="49" t="s">
        <v>162</v>
      </c>
      <c r="C11" s="50" t="s">
        <v>98</v>
      </c>
      <c r="D11" s="51" t="s">
        <v>99</v>
      </c>
      <c r="E11" s="51" t="s">
        <v>137</v>
      </c>
      <c r="F11" s="54" t="s">
        <v>163</v>
      </c>
      <c r="G11" s="51" t="s">
        <v>164</v>
      </c>
      <c r="H11" s="51" t="s">
        <v>165</v>
      </c>
      <c r="I11" s="51" t="s">
        <v>166</v>
      </c>
      <c r="J11" s="54"/>
      <c r="K11" s="51"/>
      <c r="L11" s="51"/>
      <c r="M11" s="51" t="s">
        <v>104</v>
      </c>
      <c r="N11" s="54" t="s">
        <v>167</v>
      </c>
      <c r="O11" s="54"/>
      <c r="P11" s="54"/>
      <c r="Q11" s="54"/>
      <c r="R11" s="54" t="s">
        <v>168</v>
      </c>
      <c r="S11" s="51" t="s">
        <v>106</v>
      </c>
      <c r="T11" s="99"/>
      <c r="U11" s="99"/>
      <c r="V11" s="55" t="s">
        <v>109</v>
      </c>
    </row>
    <row r="12" spans="1:22" ht="191.25" x14ac:dyDescent="0.25">
      <c r="A12" s="56"/>
      <c r="B12" s="49" t="s">
        <v>169</v>
      </c>
      <c r="C12" s="58" t="s">
        <v>98</v>
      </c>
      <c r="D12" s="51" t="s">
        <v>99</v>
      </c>
      <c r="E12" s="51" t="s">
        <v>170</v>
      </c>
      <c r="F12" s="54" t="s">
        <v>171</v>
      </c>
      <c r="G12" s="51" t="s">
        <v>172</v>
      </c>
      <c r="H12" s="51" t="s">
        <v>173</v>
      </c>
      <c r="I12" s="51" t="s">
        <v>174</v>
      </c>
      <c r="J12" s="54"/>
      <c r="K12" s="51"/>
      <c r="L12" s="51"/>
      <c r="M12" s="51" t="s">
        <v>104</v>
      </c>
      <c r="N12" s="51" t="s">
        <v>175</v>
      </c>
      <c r="O12" s="51" t="s">
        <v>176</v>
      </c>
      <c r="P12" s="51" t="s">
        <v>177</v>
      </c>
      <c r="Q12" s="54"/>
      <c r="R12" s="54"/>
      <c r="S12" s="51" t="s">
        <v>106</v>
      </c>
      <c r="T12" s="99"/>
      <c r="U12" s="99"/>
      <c r="V12" s="55" t="s">
        <v>109</v>
      </c>
    </row>
    <row r="13" spans="1:22" ht="63.75" x14ac:dyDescent="0.25">
      <c r="A13" s="56"/>
      <c r="B13" s="57"/>
      <c r="C13" s="58" t="s">
        <v>98</v>
      </c>
      <c r="D13" s="51" t="s">
        <v>99</v>
      </c>
      <c r="E13" s="51" t="s">
        <v>145</v>
      </c>
      <c r="F13" s="54" t="s">
        <v>178</v>
      </c>
      <c r="G13" s="51" t="s">
        <v>179</v>
      </c>
      <c r="H13" s="51" t="s">
        <v>180</v>
      </c>
      <c r="I13" s="51" t="s">
        <v>181</v>
      </c>
      <c r="J13" s="54"/>
      <c r="K13" s="51"/>
      <c r="L13" s="51"/>
      <c r="M13" s="51" t="s">
        <v>122</v>
      </c>
      <c r="N13" s="51"/>
      <c r="O13" s="51"/>
      <c r="P13" s="51"/>
      <c r="Q13" s="54" t="s">
        <v>182</v>
      </c>
      <c r="R13" s="54"/>
      <c r="S13" s="51"/>
      <c r="T13" s="99"/>
      <c r="U13" s="99"/>
      <c r="V13" s="55"/>
    </row>
    <row r="14" spans="1:22" ht="89.25" x14ac:dyDescent="0.25">
      <c r="A14" s="56"/>
      <c r="B14" s="57"/>
      <c r="C14" s="50" t="s">
        <v>98</v>
      </c>
      <c r="D14" s="51" t="s">
        <v>99</v>
      </c>
      <c r="E14" s="51" t="s">
        <v>77</v>
      </c>
      <c r="F14" s="54" t="s">
        <v>183</v>
      </c>
      <c r="G14" s="51" t="s">
        <v>184</v>
      </c>
      <c r="H14" s="51" t="s">
        <v>185</v>
      </c>
      <c r="I14" s="51" t="s">
        <v>186</v>
      </c>
      <c r="J14" s="54"/>
      <c r="K14" s="51"/>
      <c r="L14" s="51"/>
      <c r="M14" s="51" t="s">
        <v>122</v>
      </c>
      <c r="N14" s="54"/>
      <c r="O14" s="54"/>
      <c r="P14" s="54"/>
      <c r="Q14" s="54"/>
      <c r="R14" s="54"/>
      <c r="S14" s="51"/>
      <c r="T14" s="99"/>
      <c r="U14" s="99"/>
      <c r="V14" s="55"/>
    </row>
    <row r="15" spans="1:22" ht="63.75" x14ac:dyDescent="0.25">
      <c r="A15" s="56"/>
      <c r="B15" s="49" t="s">
        <v>187</v>
      </c>
      <c r="C15" s="50" t="s">
        <v>98</v>
      </c>
      <c r="D15" s="51" t="s">
        <v>99</v>
      </c>
      <c r="E15" s="51" t="s">
        <v>77</v>
      </c>
      <c r="F15" s="54" t="s">
        <v>188</v>
      </c>
      <c r="G15" s="51" t="s">
        <v>189</v>
      </c>
      <c r="H15" s="51" t="s">
        <v>190</v>
      </c>
      <c r="I15" s="51" t="s">
        <v>191</v>
      </c>
      <c r="J15" s="54"/>
      <c r="K15" s="51"/>
      <c r="L15" s="51"/>
      <c r="M15" s="51" t="s">
        <v>104</v>
      </c>
      <c r="N15" s="51" t="s">
        <v>128</v>
      </c>
      <c r="O15" s="51" t="s">
        <v>129</v>
      </c>
      <c r="P15" s="51" t="s">
        <v>130</v>
      </c>
      <c r="Q15" s="54"/>
      <c r="R15" s="54"/>
      <c r="S15" s="51" t="s">
        <v>106</v>
      </c>
      <c r="T15" s="99"/>
      <c r="U15" s="99"/>
      <c r="V15" s="55" t="s">
        <v>192</v>
      </c>
    </row>
    <row r="16" spans="1:22" ht="76.5" x14ac:dyDescent="0.25">
      <c r="A16" s="56"/>
      <c r="B16" s="49" t="s">
        <v>193</v>
      </c>
      <c r="C16" s="50" t="s">
        <v>194</v>
      </c>
      <c r="D16" s="51" t="s">
        <v>99</v>
      </c>
      <c r="E16" s="51" t="s">
        <v>145</v>
      </c>
      <c r="F16" s="54" t="s">
        <v>195</v>
      </c>
      <c r="G16" s="51" t="s">
        <v>196</v>
      </c>
      <c r="H16" s="51" t="s">
        <v>197</v>
      </c>
      <c r="I16" s="51" t="s">
        <v>198</v>
      </c>
      <c r="J16" s="54" t="s">
        <v>199</v>
      </c>
      <c r="K16" s="51" t="s">
        <v>200</v>
      </c>
      <c r="L16" s="51" t="s">
        <v>201</v>
      </c>
      <c r="M16" s="51" t="s">
        <v>104</v>
      </c>
      <c r="N16" s="51" t="s">
        <v>202</v>
      </c>
      <c r="O16" s="51" t="s">
        <v>203</v>
      </c>
      <c r="P16" s="51" t="s">
        <v>204</v>
      </c>
      <c r="Q16" s="54" t="s">
        <v>205</v>
      </c>
      <c r="R16" s="54"/>
      <c r="S16" s="51" t="s">
        <v>106</v>
      </c>
      <c r="T16" s="99"/>
      <c r="U16" s="99"/>
      <c r="V16" s="55"/>
    </row>
    <row r="17" spans="1:22" ht="63.75" x14ac:dyDescent="0.25">
      <c r="A17" s="56"/>
      <c r="B17" s="57"/>
      <c r="C17" s="50" t="s">
        <v>194</v>
      </c>
      <c r="D17" s="51" t="s">
        <v>99</v>
      </c>
      <c r="E17" s="51" t="s">
        <v>145</v>
      </c>
      <c r="F17" s="54" t="s">
        <v>206</v>
      </c>
      <c r="G17" s="51" t="s">
        <v>207</v>
      </c>
      <c r="H17" s="51" t="s">
        <v>208</v>
      </c>
      <c r="I17" s="51" t="s">
        <v>209</v>
      </c>
      <c r="J17" s="54"/>
      <c r="K17" s="51"/>
      <c r="L17" s="51"/>
      <c r="M17" s="51" t="s">
        <v>122</v>
      </c>
      <c r="N17" s="51"/>
      <c r="O17" s="51"/>
      <c r="P17" s="51"/>
      <c r="Q17" s="54" t="s">
        <v>210</v>
      </c>
      <c r="R17" s="54"/>
      <c r="S17" s="51"/>
      <c r="T17" s="99"/>
      <c r="U17" s="99"/>
      <c r="V17" s="55"/>
    </row>
    <row r="18" spans="1:22" ht="51" x14ac:dyDescent="0.25">
      <c r="A18" s="56"/>
      <c r="B18" s="49" t="s">
        <v>211</v>
      </c>
      <c r="C18" s="50" t="s">
        <v>98</v>
      </c>
      <c r="D18" s="51" t="s">
        <v>99</v>
      </c>
      <c r="E18" s="51" t="s">
        <v>137</v>
      </c>
      <c r="F18" s="54" t="s">
        <v>212</v>
      </c>
      <c r="G18" s="51" t="s">
        <v>213</v>
      </c>
      <c r="H18" s="51" t="s">
        <v>214</v>
      </c>
      <c r="I18" s="51" t="s">
        <v>215</v>
      </c>
      <c r="J18" s="54"/>
      <c r="K18" s="51"/>
      <c r="L18" s="51"/>
      <c r="M18" s="51" t="s">
        <v>104</v>
      </c>
      <c r="N18" s="51" t="s">
        <v>216</v>
      </c>
      <c r="O18" s="51" t="s">
        <v>217</v>
      </c>
      <c r="P18" s="51" t="s">
        <v>218</v>
      </c>
      <c r="Q18" s="54"/>
      <c r="R18" s="54"/>
      <c r="S18" s="51" t="s">
        <v>144</v>
      </c>
      <c r="T18" s="99"/>
      <c r="U18" s="99"/>
      <c r="V18" s="55" t="s">
        <v>109</v>
      </c>
    </row>
    <row r="19" spans="1:22" ht="191.25" x14ac:dyDescent="0.25">
      <c r="A19" s="56"/>
      <c r="B19" s="49" t="s">
        <v>219</v>
      </c>
      <c r="C19" s="50" t="s">
        <v>98</v>
      </c>
      <c r="D19" s="51" t="s">
        <v>99</v>
      </c>
      <c r="E19" s="51" t="s">
        <v>137</v>
      </c>
      <c r="F19" s="54" t="s">
        <v>220</v>
      </c>
      <c r="G19" s="51" t="s">
        <v>221</v>
      </c>
      <c r="H19" s="51" t="s">
        <v>222</v>
      </c>
      <c r="I19" s="51" t="s">
        <v>223</v>
      </c>
      <c r="J19" s="54"/>
      <c r="K19" s="51"/>
      <c r="L19" s="51"/>
      <c r="M19" s="51" t="s">
        <v>104</v>
      </c>
      <c r="N19" s="51" t="s">
        <v>224</v>
      </c>
      <c r="O19" s="51" t="s">
        <v>225</v>
      </c>
      <c r="P19" s="51" t="s">
        <v>226</v>
      </c>
      <c r="Q19" s="54"/>
      <c r="R19" s="54"/>
      <c r="S19" s="51" t="s">
        <v>144</v>
      </c>
      <c r="T19" s="99"/>
      <c r="U19" s="99"/>
      <c r="V19" s="55" t="s">
        <v>109</v>
      </c>
    </row>
    <row r="20" spans="1:22" ht="51" x14ac:dyDescent="0.25">
      <c r="A20" s="56"/>
      <c r="B20" s="49" t="s">
        <v>227</v>
      </c>
      <c r="C20" s="50" t="s">
        <v>98</v>
      </c>
      <c r="D20" s="51" t="s">
        <v>99</v>
      </c>
      <c r="E20" s="51" t="s">
        <v>137</v>
      </c>
      <c r="F20" s="54" t="s">
        <v>228</v>
      </c>
      <c r="G20" s="51" t="s">
        <v>229</v>
      </c>
      <c r="H20" s="51" t="s">
        <v>230</v>
      </c>
      <c r="I20" s="51" t="s">
        <v>231</v>
      </c>
      <c r="J20" s="54"/>
      <c r="K20" s="51"/>
      <c r="L20" s="51"/>
      <c r="M20" s="51" t="s">
        <v>104</v>
      </c>
      <c r="N20" s="51" t="s">
        <v>128</v>
      </c>
      <c r="O20" s="51" t="s">
        <v>129</v>
      </c>
      <c r="P20" s="51" t="s">
        <v>130</v>
      </c>
      <c r="Q20" s="54"/>
      <c r="R20" s="54"/>
      <c r="S20" s="51" t="s">
        <v>144</v>
      </c>
      <c r="T20" s="99"/>
      <c r="U20" s="99"/>
      <c r="V20" s="55" t="s">
        <v>109</v>
      </c>
    </row>
    <row r="21" spans="1:22" ht="51" x14ac:dyDescent="0.25">
      <c r="A21" s="56"/>
      <c r="B21" s="57"/>
      <c r="C21" s="50" t="s">
        <v>98</v>
      </c>
      <c r="D21" s="51" t="s">
        <v>99</v>
      </c>
      <c r="E21" s="51" t="s">
        <v>77</v>
      </c>
      <c r="F21" s="54" t="s">
        <v>178</v>
      </c>
      <c r="G21" s="51" t="s">
        <v>232</v>
      </c>
      <c r="H21" s="51" t="s">
        <v>233</v>
      </c>
      <c r="I21" s="51" t="s">
        <v>234</v>
      </c>
      <c r="J21" s="54"/>
      <c r="K21" s="51"/>
      <c r="L21" s="51"/>
      <c r="M21" s="51" t="s">
        <v>122</v>
      </c>
      <c r="N21" s="51"/>
      <c r="O21" s="51"/>
      <c r="P21" s="51"/>
      <c r="Q21" s="54" t="s">
        <v>235</v>
      </c>
      <c r="R21" s="54"/>
      <c r="S21" s="51"/>
      <c r="T21" s="99"/>
      <c r="U21" s="99"/>
      <c r="V21" s="55"/>
    </row>
    <row r="22" spans="1:22" ht="76.5" x14ac:dyDescent="0.25">
      <c r="A22" s="56"/>
      <c r="B22" s="49" t="s">
        <v>236</v>
      </c>
      <c r="C22" s="50" t="s">
        <v>237</v>
      </c>
      <c r="D22" s="51" t="s">
        <v>99</v>
      </c>
      <c r="E22" s="51" t="s">
        <v>137</v>
      </c>
      <c r="F22" s="54" t="s">
        <v>238</v>
      </c>
      <c r="G22" s="51" t="s">
        <v>239</v>
      </c>
      <c r="H22" s="51" t="s">
        <v>240</v>
      </c>
      <c r="I22" s="51" t="s">
        <v>241</v>
      </c>
      <c r="J22" s="54"/>
      <c r="K22" s="51"/>
      <c r="L22" s="51"/>
      <c r="M22" s="51" t="s">
        <v>104</v>
      </c>
      <c r="N22" s="51" t="s">
        <v>128</v>
      </c>
      <c r="O22" s="51" t="s">
        <v>129</v>
      </c>
      <c r="P22" s="51" t="s">
        <v>130</v>
      </c>
      <c r="Q22" s="54"/>
      <c r="R22" s="54"/>
      <c r="S22" s="51" t="s">
        <v>144</v>
      </c>
      <c r="T22" s="99"/>
      <c r="U22" s="99"/>
      <c r="V22" s="55" t="s">
        <v>109</v>
      </c>
    </row>
    <row r="23" spans="1:22" ht="229.5" x14ac:dyDescent="0.25">
      <c r="A23" s="56"/>
      <c r="B23" s="49" t="s">
        <v>242</v>
      </c>
      <c r="C23" s="50" t="s">
        <v>98</v>
      </c>
      <c r="D23" s="51" t="s">
        <v>99</v>
      </c>
      <c r="E23" s="51" t="s">
        <v>137</v>
      </c>
      <c r="F23" s="54" t="s">
        <v>243</v>
      </c>
      <c r="G23" s="51" t="s">
        <v>244</v>
      </c>
      <c r="H23" s="51" t="s">
        <v>245</v>
      </c>
      <c r="I23" s="51" t="s">
        <v>246</v>
      </c>
      <c r="J23" s="54" t="s">
        <v>247</v>
      </c>
      <c r="K23" s="51" t="s">
        <v>248</v>
      </c>
      <c r="L23" s="51" t="s">
        <v>249</v>
      </c>
      <c r="M23" s="51" t="s">
        <v>142</v>
      </c>
      <c r="N23" s="51"/>
      <c r="O23" s="51"/>
      <c r="P23" s="51"/>
      <c r="Q23" s="54"/>
      <c r="R23" s="54" t="s">
        <v>250</v>
      </c>
      <c r="S23" s="51" t="s">
        <v>106</v>
      </c>
      <c r="T23" s="99"/>
      <c r="U23" s="99"/>
      <c r="V23" s="55" t="s">
        <v>109</v>
      </c>
    </row>
    <row r="24" spans="1:22" ht="102" x14ac:dyDescent="0.25">
      <c r="A24" s="56"/>
      <c r="B24" s="49" t="s">
        <v>251</v>
      </c>
      <c r="C24" s="50" t="s">
        <v>98</v>
      </c>
      <c r="D24" s="51" t="s">
        <v>99</v>
      </c>
      <c r="E24" s="51" t="s">
        <v>137</v>
      </c>
      <c r="F24" s="54" t="s">
        <v>252</v>
      </c>
      <c r="G24" s="51" t="s">
        <v>253</v>
      </c>
      <c r="H24" s="51" t="s">
        <v>254</v>
      </c>
      <c r="I24" s="51" t="s">
        <v>255</v>
      </c>
      <c r="J24" s="54"/>
      <c r="K24" s="51"/>
      <c r="L24" s="51"/>
      <c r="M24" s="51" t="s">
        <v>104</v>
      </c>
      <c r="N24" s="51" t="s">
        <v>256</v>
      </c>
      <c r="O24" s="51" t="s">
        <v>257</v>
      </c>
      <c r="P24" s="51" t="s">
        <v>258</v>
      </c>
      <c r="Q24" s="54" t="s">
        <v>259</v>
      </c>
      <c r="R24" s="54"/>
      <c r="S24" s="51" t="s">
        <v>106</v>
      </c>
      <c r="T24" s="99"/>
      <c r="U24" s="99"/>
      <c r="V24" s="55" t="s">
        <v>109</v>
      </c>
    </row>
    <row r="25" spans="1:22" ht="409.5" x14ac:dyDescent="0.25">
      <c r="A25" s="56"/>
      <c r="B25" s="49" t="s">
        <v>260</v>
      </c>
      <c r="C25" s="50" t="s">
        <v>98</v>
      </c>
      <c r="D25" s="51" t="s">
        <v>99</v>
      </c>
      <c r="E25" s="51" t="s">
        <v>137</v>
      </c>
      <c r="F25" s="54" t="s">
        <v>261</v>
      </c>
      <c r="G25" s="51" t="s">
        <v>262</v>
      </c>
      <c r="H25" s="51" t="s">
        <v>263</v>
      </c>
      <c r="I25" s="51" t="s">
        <v>264</v>
      </c>
      <c r="J25" s="54" t="s">
        <v>265</v>
      </c>
      <c r="K25" s="51" t="s">
        <v>266</v>
      </c>
      <c r="L25" s="51" t="s">
        <v>267</v>
      </c>
      <c r="M25" s="51" t="s">
        <v>268</v>
      </c>
      <c r="N25" s="51" t="s">
        <v>269</v>
      </c>
      <c r="O25" s="51" t="s">
        <v>270</v>
      </c>
      <c r="P25" s="51" t="s">
        <v>271</v>
      </c>
      <c r="Q25" s="54"/>
      <c r="R25" s="54" t="s">
        <v>272</v>
      </c>
      <c r="S25" s="51" t="s">
        <v>106</v>
      </c>
      <c r="T25" s="99"/>
      <c r="U25" s="99"/>
      <c r="V25" s="55" t="s">
        <v>109</v>
      </c>
    </row>
    <row r="26" spans="1:22" ht="38.25" x14ac:dyDescent="0.25">
      <c r="A26" s="56"/>
      <c r="B26" s="49" t="s">
        <v>273</v>
      </c>
      <c r="C26" s="50" t="s">
        <v>98</v>
      </c>
      <c r="D26" s="51" t="s">
        <v>99</v>
      </c>
      <c r="E26" s="51" t="s">
        <v>137</v>
      </c>
      <c r="F26" s="54" t="s">
        <v>274</v>
      </c>
      <c r="G26" s="51" t="s">
        <v>275</v>
      </c>
      <c r="H26" s="51" t="s">
        <v>276</v>
      </c>
      <c r="I26" s="51" t="s">
        <v>277</v>
      </c>
      <c r="J26" s="54"/>
      <c r="K26" s="51"/>
      <c r="L26" s="51"/>
      <c r="M26" s="51" t="s">
        <v>142</v>
      </c>
      <c r="N26" s="51"/>
      <c r="O26" s="51"/>
      <c r="P26" s="51"/>
      <c r="Q26" s="54" t="s">
        <v>278</v>
      </c>
      <c r="R26" s="54" t="s">
        <v>279</v>
      </c>
      <c r="S26" s="51" t="s">
        <v>106</v>
      </c>
      <c r="T26" s="99"/>
      <c r="U26" s="99"/>
      <c r="V26" s="55" t="s">
        <v>109</v>
      </c>
    </row>
    <row r="27" spans="1:22" ht="102" x14ac:dyDescent="0.25">
      <c r="A27" s="56"/>
      <c r="B27" s="49" t="s">
        <v>280</v>
      </c>
      <c r="C27" s="50" t="s">
        <v>98</v>
      </c>
      <c r="D27" s="51" t="s">
        <v>99</v>
      </c>
      <c r="E27" s="51" t="s">
        <v>137</v>
      </c>
      <c r="F27" s="54" t="s">
        <v>281</v>
      </c>
      <c r="G27" s="51" t="s">
        <v>282</v>
      </c>
      <c r="H27" s="51" t="s">
        <v>283</v>
      </c>
      <c r="I27" s="51" t="s">
        <v>284</v>
      </c>
      <c r="J27" s="54"/>
      <c r="K27" s="51"/>
      <c r="L27" s="51"/>
      <c r="M27" s="51" t="s">
        <v>142</v>
      </c>
      <c r="N27" s="51"/>
      <c r="O27" s="51"/>
      <c r="P27" s="51"/>
      <c r="Q27" s="54" t="s">
        <v>285</v>
      </c>
      <c r="R27" s="54" t="s">
        <v>286</v>
      </c>
      <c r="S27" s="51" t="s">
        <v>106</v>
      </c>
      <c r="T27" s="99"/>
      <c r="U27" s="99"/>
      <c r="V27" s="55" t="s">
        <v>109</v>
      </c>
    </row>
    <row r="28" spans="1:22" ht="102" x14ac:dyDescent="0.25">
      <c r="A28" s="56"/>
      <c r="B28" s="57"/>
      <c r="C28" s="50" t="s">
        <v>98</v>
      </c>
      <c r="D28" s="51" t="s">
        <v>99</v>
      </c>
      <c r="E28" s="51" t="s">
        <v>137</v>
      </c>
      <c r="F28" s="54" t="s">
        <v>287</v>
      </c>
      <c r="G28" s="51" t="s">
        <v>288</v>
      </c>
      <c r="H28" s="51" t="s">
        <v>289</v>
      </c>
      <c r="I28" s="51" t="s">
        <v>290</v>
      </c>
      <c r="J28" s="54"/>
      <c r="K28" s="51"/>
      <c r="L28" s="51"/>
      <c r="M28" s="51" t="s">
        <v>291</v>
      </c>
      <c r="N28" s="54"/>
      <c r="O28" s="54"/>
      <c r="P28" s="54"/>
      <c r="Q28" s="54"/>
      <c r="R28" s="54"/>
      <c r="S28" s="51"/>
      <c r="T28" s="99"/>
      <c r="U28" s="99"/>
      <c r="V28" s="55"/>
    </row>
    <row r="29" spans="1:22" ht="102" x14ac:dyDescent="0.25">
      <c r="A29" s="56"/>
      <c r="B29" s="49" t="s">
        <v>292</v>
      </c>
      <c r="C29" s="50" t="s">
        <v>98</v>
      </c>
      <c r="D29" s="51" t="s">
        <v>99</v>
      </c>
      <c r="E29" s="51" t="s">
        <v>137</v>
      </c>
      <c r="F29" s="54" t="s">
        <v>287</v>
      </c>
      <c r="G29" s="51" t="s">
        <v>293</v>
      </c>
      <c r="H29" s="51" t="s">
        <v>294</v>
      </c>
      <c r="I29" s="51" t="s">
        <v>295</v>
      </c>
      <c r="J29" s="54" t="s">
        <v>296</v>
      </c>
      <c r="K29" s="51" t="s">
        <v>297</v>
      </c>
      <c r="L29" s="51" t="s">
        <v>298</v>
      </c>
      <c r="M29" s="51" t="s">
        <v>104</v>
      </c>
      <c r="N29" s="51" t="s">
        <v>299</v>
      </c>
      <c r="O29" s="51" t="s">
        <v>300</v>
      </c>
      <c r="P29" s="51" t="s">
        <v>301</v>
      </c>
      <c r="Q29" s="54"/>
      <c r="R29" s="54"/>
      <c r="S29" s="51" t="s">
        <v>106</v>
      </c>
      <c r="T29" s="99"/>
      <c r="U29" s="99"/>
      <c r="V29" s="55" t="s">
        <v>109</v>
      </c>
    </row>
    <row r="30" spans="1:22" ht="114.75" x14ac:dyDescent="0.25">
      <c r="A30" s="56"/>
      <c r="B30" s="49" t="s">
        <v>302</v>
      </c>
      <c r="C30" s="50" t="s">
        <v>98</v>
      </c>
      <c r="D30" s="51" t="s">
        <v>99</v>
      </c>
      <c r="E30" s="51" t="s">
        <v>137</v>
      </c>
      <c r="F30" s="54" t="s">
        <v>303</v>
      </c>
      <c r="G30" s="51" t="s">
        <v>304</v>
      </c>
      <c r="H30" s="51" t="s">
        <v>305</v>
      </c>
      <c r="I30" s="51" t="s">
        <v>306</v>
      </c>
      <c r="J30" s="54" t="s">
        <v>296</v>
      </c>
      <c r="K30" s="51" t="s">
        <v>297</v>
      </c>
      <c r="L30" s="51" t="s">
        <v>298</v>
      </c>
      <c r="M30" s="51" t="s">
        <v>104</v>
      </c>
      <c r="N30" s="51" t="s">
        <v>299</v>
      </c>
      <c r="O30" s="51" t="s">
        <v>300</v>
      </c>
      <c r="P30" s="51" t="s">
        <v>301</v>
      </c>
      <c r="Q30" s="54"/>
      <c r="R30" s="54"/>
      <c r="S30" s="51" t="s">
        <v>106</v>
      </c>
      <c r="T30" s="99"/>
      <c r="U30" s="99"/>
      <c r="V30" s="55" t="s">
        <v>109</v>
      </c>
    </row>
    <row r="31" spans="1:22" ht="102" x14ac:dyDescent="0.25">
      <c r="A31" s="56"/>
      <c r="B31" s="49" t="s">
        <v>307</v>
      </c>
      <c r="C31" s="50" t="s">
        <v>98</v>
      </c>
      <c r="D31" s="51" t="s">
        <v>99</v>
      </c>
      <c r="E31" s="51" t="s">
        <v>137</v>
      </c>
      <c r="F31" s="54" t="s">
        <v>308</v>
      </c>
      <c r="G31" s="51" t="s">
        <v>309</v>
      </c>
      <c r="H31" s="51" t="s">
        <v>310</v>
      </c>
      <c r="I31" s="51" t="s">
        <v>311</v>
      </c>
      <c r="J31" s="54" t="s">
        <v>296</v>
      </c>
      <c r="K31" s="51" t="s">
        <v>297</v>
      </c>
      <c r="L31" s="51" t="s">
        <v>298</v>
      </c>
      <c r="M31" s="51" t="s">
        <v>104</v>
      </c>
      <c r="N31" s="51" t="s">
        <v>299</v>
      </c>
      <c r="O31" s="51" t="s">
        <v>300</v>
      </c>
      <c r="P31" s="51" t="s">
        <v>301</v>
      </c>
      <c r="Q31" s="54"/>
      <c r="R31" s="54"/>
      <c r="S31" s="51" t="s">
        <v>106</v>
      </c>
      <c r="T31" s="99"/>
      <c r="U31" s="99"/>
      <c r="V31" s="55" t="s">
        <v>109</v>
      </c>
    </row>
    <row r="32" spans="1:22" ht="114.75" x14ac:dyDescent="0.25">
      <c r="A32" s="56"/>
      <c r="B32" s="49" t="s">
        <v>312</v>
      </c>
      <c r="C32" s="50" t="s">
        <v>98</v>
      </c>
      <c r="D32" s="51" t="s">
        <v>99</v>
      </c>
      <c r="E32" s="51" t="s">
        <v>137</v>
      </c>
      <c r="F32" s="54" t="s">
        <v>313</v>
      </c>
      <c r="G32" s="51" t="s">
        <v>314</v>
      </c>
      <c r="H32" s="51" t="s">
        <v>315</v>
      </c>
      <c r="I32" s="51" t="s">
        <v>316</v>
      </c>
      <c r="J32" s="54" t="s">
        <v>296</v>
      </c>
      <c r="K32" s="51" t="s">
        <v>297</v>
      </c>
      <c r="L32" s="51" t="s">
        <v>298</v>
      </c>
      <c r="M32" s="51" t="s">
        <v>104</v>
      </c>
      <c r="N32" s="51" t="s">
        <v>299</v>
      </c>
      <c r="O32" s="51" t="s">
        <v>300</v>
      </c>
      <c r="P32" s="51" t="s">
        <v>301</v>
      </c>
      <c r="Q32" s="54"/>
      <c r="R32" s="54"/>
      <c r="S32" s="51" t="s">
        <v>106</v>
      </c>
      <c r="T32" s="99"/>
      <c r="U32" s="99"/>
      <c r="V32" s="55" t="s">
        <v>109</v>
      </c>
    </row>
    <row r="33" spans="1:22" ht="114.75" x14ac:dyDescent="0.25">
      <c r="A33" s="56"/>
      <c r="B33" s="49" t="s">
        <v>317</v>
      </c>
      <c r="C33" s="50" t="s">
        <v>98</v>
      </c>
      <c r="D33" s="51" t="s">
        <v>99</v>
      </c>
      <c r="E33" s="51" t="s">
        <v>137</v>
      </c>
      <c r="F33" s="54" t="s">
        <v>318</v>
      </c>
      <c r="G33" s="51" t="s">
        <v>319</v>
      </c>
      <c r="H33" s="51" t="s">
        <v>320</v>
      </c>
      <c r="I33" s="51" t="s">
        <v>321</v>
      </c>
      <c r="J33" s="54" t="s">
        <v>296</v>
      </c>
      <c r="K33" s="51" t="s">
        <v>297</v>
      </c>
      <c r="L33" s="51" t="s">
        <v>298</v>
      </c>
      <c r="M33" s="51" t="s">
        <v>104</v>
      </c>
      <c r="N33" s="51" t="s">
        <v>299</v>
      </c>
      <c r="O33" s="51" t="s">
        <v>300</v>
      </c>
      <c r="P33" s="51" t="s">
        <v>301</v>
      </c>
      <c r="Q33" s="54"/>
      <c r="R33" s="54"/>
      <c r="S33" s="51" t="s">
        <v>106</v>
      </c>
      <c r="T33" s="99"/>
      <c r="U33" s="99"/>
      <c r="V33" s="55" t="s">
        <v>109</v>
      </c>
    </row>
    <row r="34" spans="1:22" ht="127.5" x14ac:dyDescent="0.25">
      <c r="A34" s="56"/>
      <c r="B34" s="49" t="s">
        <v>322</v>
      </c>
      <c r="C34" s="50" t="s">
        <v>98</v>
      </c>
      <c r="D34" s="51" t="s">
        <v>99</v>
      </c>
      <c r="E34" s="51" t="s">
        <v>137</v>
      </c>
      <c r="F34" s="54" t="s">
        <v>323</v>
      </c>
      <c r="G34" s="51" t="s">
        <v>324</v>
      </c>
      <c r="H34" s="51" t="s">
        <v>325</v>
      </c>
      <c r="I34" s="51" t="s">
        <v>326</v>
      </c>
      <c r="J34" s="54" t="s">
        <v>296</v>
      </c>
      <c r="K34" s="51" t="s">
        <v>297</v>
      </c>
      <c r="L34" s="51" t="s">
        <v>298</v>
      </c>
      <c r="M34" s="51" t="s">
        <v>104</v>
      </c>
      <c r="N34" s="51" t="s">
        <v>299</v>
      </c>
      <c r="O34" s="51" t="s">
        <v>300</v>
      </c>
      <c r="P34" s="51" t="s">
        <v>301</v>
      </c>
      <c r="Q34" s="54"/>
      <c r="R34" s="54"/>
      <c r="S34" s="51" t="s">
        <v>106</v>
      </c>
      <c r="T34" s="99"/>
      <c r="U34" s="99"/>
      <c r="V34" s="55" t="s">
        <v>109</v>
      </c>
    </row>
    <row r="35" spans="1:22" ht="63.75" x14ac:dyDescent="0.25">
      <c r="A35" s="56"/>
      <c r="B35" s="49" t="s">
        <v>327</v>
      </c>
      <c r="C35" s="50" t="s">
        <v>98</v>
      </c>
      <c r="D35" s="51" t="s">
        <v>99</v>
      </c>
      <c r="E35" s="51" t="s">
        <v>137</v>
      </c>
      <c r="F35" s="54" t="s">
        <v>328</v>
      </c>
      <c r="G35" s="51" t="s">
        <v>329</v>
      </c>
      <c r="H35" s="51" t="s">
        <v>330</v>
      </c>
      <c r="I35" s="51" t="s">
        <v>331</v>
      </c>
      <c r="J35" s="54"/>
      <c r="K35" s="51"/>
      <c r="L35" s="51"/>
      <c r="M35" s="51" t="s">
        <v>142</v>
      </c>
      <c r="N35" s="51"/>
      <c r="O35" s="51"/>
      <c r="P35" s="51"/>
      <c r="Q35" s="54" t="s">
        <v>332</v>
      </c>
      <c r="R35" s="54" t="s">
        <v>333</v>
      </c>
      <c r="S35" s="51" t="s">
        <v>106</v>
      </c>
      <c r="T35" s="99"/>
      <c r="U35" s="99"/>
      <c r="V35" s="55" t="s">
        <v>109</v>
      </c>
    </row>
    <row r="36" spans="1:22" ht="114.75" x14ac:dyDescent="0.25">
      <c r="A36" s="56"/>
      <c r="B36" s="49" t="s">
        <v>334</v>
      </c>
      <c r="C36" s="50" t="s">
        <v>98</v>
      </c>
      <c r="D36" s="51" t="s">
        <v>99</v>
      </c>
      <c r="E36" s="51" t="s">
        <v>335</v>
      </c>
      <c r="F36" s="54" t="s">
        <v>336</v>
      </c>
      <c r="G36" s="51" t="s">
        <v>337</v>
      </c>
      <c r="H36" s="51" t="s">
        <v>338</v>
      </c>
      <c r="I36" s="51" t="s">
        <v>339</v>
      </c>
      <c r="J36" s="54"/>
      <c r="K36" s="51"/>
      <c r="L36" s="51"/>
      <c r="M36" s="51" t="s">
        <v>142</v>
      </c>
      <c r="N36" s="51"/>
      <c r="O36" s="51"/>
      <c r="P36" s="51"/>
      <c r="Q36" s="54" t="s">
        <v>340</v>
      </c>
      <c r="R36" s="54" t="s">
        <v>341</v>
      </c>
      <c r="S36" s="51" t="s">
        <v>106</v>
      </c>
      <c r="T36" s="99"/>
      <c r="U36" s="99"/>
      <c r="V36" s="55" t="s">
        <v>109</v>
      </c>
    </row>
    <row r="37" spans="1:22" ht="89.25" x14ac:dyDescent="0.25">
      <c r="A37" s="56"/>
      <c r="B37" s="49" t="s">
        <v>342</v>
      </c>
      <c r="C37" s="50" t="s">
        <v>98</v>
      </c>
      <c r="D37" s="51" t="s">
        <v>99</v>
      </c>
      <c r="E37" s="51" t="s">
        <v>335</v>
      </c>
      <c r="F37" s="54" t="s">
        <v>343</v>
      </c>
      <c r="G37" s="51" t="s">
        <v>344</v>
      </c>
      <c r="H37" s="51" t="s">
        <v>345</v>
      </c>
      <c r="I37" s="51" t="s">
        <v>346</v>
      </c>
      <c r="J37" s="54"/>
      <c r="K37" s="51"/>
      <c r="L37" s="51"/>
      <c r="M37" s="51" t="s">
        <v>142</v>
      </c>
      <c r="N37" s="51"/>
      <c r="O37" s="51"/>
      <c r="P37" s="51"/>
      <c r="Q37" s="54"/>
      <c r="R37" s="54" t="s">
        <v>347</v>
      </c>
      <c r="S37" s="51" t="s">
        <v>106</v>
      </c>
      <c r="T37" s="99"/>
      <c r="U37" s="99"/>
      <c r="V37" s="55" t="s">
        <v>109</v>
      </c>
    </row>
    <row r="38" spans="1:22" ht="76.5" x14ac:dyDescent="0.25">
      <c r="A38" s="56"/>
      <c r="B38" s="49" t="s">
        <v>348</v>
      </c>
      <c r="C38" s="50" t="s">
        <v>98</v>
      </c>
      <c r="D38" s="51" t="s">
        <v>99</v>
      </c>
      <c r="E38" s="51" t="s">
        <v>335</v>
      </c>
      <c r="F38" s="54" t="s">
        <v>349</v>
      </c>
      <c r="G38" s="51" t="s">
        <v>350</v>
      </c>
      <c r="H38" s="51" t="s">
        <v>351</v>
      </c>
      <c r="I38" s="51" t="s">
        <v>352</v>
      </c>
      <c r="J38" s="54" t="s">
        <v>353</v>
      </c>
      <c r="K38" s="51" t="s">
        <v>354</v>
      </c>
      <c r="L38" s="51" t="s">
        <v>355</v>
      </c>
      <c r="M38" s="51" t="s">
        <v>142</v>
      </c>
      <c r="N38" s="51"/>
      <c r="O38" s="51"/>
      <c r="P38" s="51"/>
      <c r="Q38" s="54" t="s">
        <v>356</v>
      </c>
      <c r="R38" s="54" t="s">
        <v>357</v>
      </c>
      <c r="S38" s="51" t="s">
        <v>106</v>
      </c>
      <c r="T38" s="99"/>
      <c r="U38" s="99"/>
      <c r="V38" s="55" t="s">
        <v>109</v>
      </c>
    </row>
    <row r="39" spans="1:22" ht="63.75" x14ac:dyDescent="0.25">
      <c r="A39" s="56"/>
      <c r="B39" s="49" t="s">
        <v>358</v>
      </c>
      <c r="C39" s="50" t="s">
        <v>98</v>
      </c>
      <c r="D39" s="51" t="s">
        <v>99</v>
      </c>
      <c r="E39" s="51" t="s">
        <v>359</v>
      </c>
      <c r="F39" s="54" t="s">
        <v>360</v>
      </c>
      <c r="G39" s="51" t="s">
        <v>361</v>
      </c>
      <c r="H39" s="51" t="s">
        <v>362</v>
      </c>
      <c r="I39" s="51" t="s">
        <v>363</v>
      </c>
      <c r="J39" s="54" t="s">
        <v>353</v>
      </c>
      <c r="K39" s="51" t="s">
        <v>354</v>
      </c>
      <c r="L39" s="51" t="s">
        <v>355</v>
      </c>
      <c r="M39" s="51" t="s">
        <v>142</v>
      </c>
      <c r="N39" s="51"/>
      <c r="O39" s="51"/>
      <c r="P39" s="51"/>
      <c r="Q39" s="54"/>
      <c r="R39" s="54" t="s">
        <v>357</v>
      </c>
      <c r="S39" s="51" t="s">
        <v>106</v>
      </c>
      <c r="T39" s="99"/>
      <c r="U39" s="99"/>
      <c r="V39" s="55" t="s">
        <v>109</v>
      </c>
    </row>
    <row r="40" spans="1:22" ht="76.5" x14ac:dyDescent="0.25">
      <c r="A40" s="56"/>
      <c r="B40" s="59" t="s">
        <v>364</v>
      </c>
      <c r="C40" s="50" t="s">
        <v>98</v>
      </c>
      <c r="D40" s="51" t="s">
        <v>99</v>
      </c>
      <c r="E40" s="51" t="s">
        <v>170</v>
      </c>
      <c r="F40" s="54" t="s">
        <v>365</v>
      </c>
      <c r="G40" s="51" t="s">
        <v>366</v>
      </c>
      <c r="H40" s="51" t="s">
        <v>367</v>
      </c>
      <c r="I40" s="51" t="s">
        <v>368</v>
      </c>
      <c r="J40" s="54"/>
      <c r="K40" s="51"/>
      <c r="L40" s="51"/>
      <c r="M40" s="51" t="s">
        <v>104</v>
      </c>
      <c r="N40" s="51" t="s">
        <v>369</v>
      </c>
      <c r="O40" s="51" t="s">
        <v>370</v>
      </c>
      <c r="P40" s="51" t="s">
        <v>371</v>
      </c>
      <c r="Q40" s="54"/>
      <c r="R40" s="54"/>
      <c r="S40" s="51" t="s">
        <v>106</v>
      </c>
      <c r="T40" s="99"/>
      <c r="U40" s="99"/>
      <c r="V40" s="55" t="s">
        <v>109</v>
      </c>
    </row>
    <row r="41" spans="1:22" ht="255" x14ac:dyDescent="0.25">
      <c r="A41" s="60" t="s">
        <v>372</v>
      </c>
      <c r="B41" s="49" t="s">
        <v>373</v>
      </c>
      <c r="C41" s="50" t="s">
        <v>237</v>
      </c>
      <c r="D41" s="51" t="s">
        <v>99</v>
      </c>
      <c r="E41" s="51" t="s">
        <v>374</v>
      </c>
      <c r="F41" s="54" t="s">
        <v>375</v>
      </c>
      <c r="G41" s="51" t="s">
        <v>376</v>
      </c>
      <c r="H41" s="51" t="s">
        <v>377</v>
      </c>
      <c r="I41" s="61" t="s">
        <v>378</v>
      </c>
      <c r="J41" s="54"/>
      <c r="K41" s="51"/>
      <c r="L41" s="51"/>
      <c r="M41" s="51" t="s">
        <v>104</v>
      </c>
      <c r="N41" s="51" t="s">
        <v>128</v>
      </c>
      <c r="O41" s="51" t="s">
        <v>129</v>
      </c>
      <c r="P41" s="51" t="s">
        <v>130</v>
      </c>
      <c r="Q41" s="54"/>
      <c r="R41" s="54"/>
      <c r="S41" s="51" t="s">
        <v>144</v>
      </c>
      <c r="T41" s="99"/>
      <c r="U41" s="99"/>
      <c r="V41" s="55"/>
    </row>
    <row r="42" spans="1:22" ht="153" x14ac:dyDescent="0.25">
      <c r="A42" s="62"/>
      <c r="B42" s="49" t="s">
        <v>379</v>
      </c>
      <c r="C42" s="50" t="s">
        <v>98</v>
      </c>
      <c r="D42" s="51" t="s">
        <v>99</v>
      </c>
      <c r="E42" s="51" t="s">
        <v>374</v>
      </c>
      <c r="F42" s="54" t="s">
        <v>380</v>
      </c>
      <c r="G42" s="51" t="s">
        <v>381</v>
      </c>
      <c r="H42" s="51" t="s">
        <v>382</v>
      </c>
      <c r="I42" s="61" t="s">
        <v>383</v>
      </c>
      <c r="J42" s="54"/>
      <c r="K42" s="51"/>
      <c r="L42" s="51"/>
      <c r="M42" s="51" t="s">
        <v>104</v>
      </c>
      <c r="N42" s="51" t="s">
        <v>384</v>
      </c>
      <c r="O42" s="51" t="s">
        <v>385</v>
      </c>
      <c r="P42" s="51" t="s">
        <v>386</v>
      </c>
      <c r="Q42" s="54"/>
      <c r="R42" s="54"/>
      <c r="S42" s="51" t="s">
        <v>144</v>
      </c>
      <c r="T42" s="99"/>
      <c r="U42" s="99"/>
      <c r="V42" s="55" t="s">
        <v>109</v>
      </c>
    </row>
    <row r="43" spans="1:22" ht="89.25" x14ac:dyDescent="0.25">
      <c r="A43" s="62"/>
      <c r="B43" s="49" t="s">
        <v>387</v>
      </c>
      <c r="C43" s="50" t="s">
        <v>237</v>
      </c>
      <c r="D43" s="51" t="s">
        <v>99</v>
      </c>
      <c r="E43" s="51" t="s">
        <v>77</v>
      </c>
      <c r="F43" s="54" t="s">
        <v>388</v>
      </c>
      <c r="G43" s="51" t="s">
        <v>389</v>
      </c>
      <c r="H43" s="51" t="s">
        <v>390</v>
      </c>
      <c r="I43" s="51" t="s">
        <v>391</v>
      </c>
      <c r="J43" s="54"/>
      <c r="K43" s="51"/>
      <c r="L43" s="51"/>
      <c r="M43" s="51" t="s">
        <v>104</v>
      </c>
      <c r="N43" s="51" t="s">
        <v>128</v>
      </c>
      <c r="O43" s="51" t="s">
        <v>129</v>
      </c>
      <c r="P43" s="51" t="s">
        <v>130</v>
      </c>
      <c r="Q43" s="54"/>
      <c r="R43" s="54"/>
      <c r="S43" s="51" t="s">
        <v>106</v>
      </c>
      <c r="T43" s="99"/>
      <c r="U43" s="99"/>
      <c r="V43" s="55"/>
    </row>
    <row r="44" spans="1:22" ht="89.25" x14ac:dyDescent="0.25">
      <c r="A44" s="62"/>
      <c r="B44" s="49" t="s">
        <v>392</v>
      </c>
      <c r="C44" s="50" t="s">
        <v>98</v>
      </c>
      <c r="D44" s="51" t="s">
        <v>99</v>
      </c>
      <c r="E44" s="51" t="s">
        <v>393</v>
      </c>
      <c r="F44" s="54" t="s">
        <v>394</v>
      </c>
      <c r="G44" s="51" t="s">
        <v>395</v>
      </c>
      <c r="H44" s="51" t="s">
        <v>396</v>
      </c>
      <c r="I44" s="51" t="s">
        <v>397</v>
      </c>
      <c r="J44" s="54"/>
      <c r="K44" s="51"/>
      <c r="L44" s="51"/>
      <c r="M44" s="51" t="s">
        <v>104</v>
      </c>
      <c r="N44" s="51" t="s">
        <v>398</v>
      </c>
      <c r="O44" s="51" t="s">
        <v>399</v>
      </c>
      <c r="P44" s="51" t="s">
        <v>400</v>
      </c>
      <c r="Q44" s="54" t="s">
        <v>401</v>
      </c>
      <c r="R44" s="54"/>
      <c r="S44" s="51" t="s">
        <v>106</v>
      </c>
      <c r="T44" s="99"/>
      <c r="U44" s="99"/>
      <c r="V44" s="55" t="s">
        <v>109</v>
      </c>
    </row>
    <row r="45" spans="1:22" ht="127.5" x14ac:dyDescent="0.25">
      <c r="A45" s="62"/>
      <c r="B45" s="49" t="s">
        <v>402</v>
      </c>
      <c r="C45" s="50" t="s">
        <v>98</v>
      </c>
      <c r="D45" s="51" t="s">
        <v>99</v>
      </c>
      <c r="E45" s="51" t="s">
        <v>393</v>
      </c>
      <c r="F45" s="54" t="s">
        <v>403</v>
      </c>
      <c r="G45" s="51" t="s">
        <v>404</v>
      </c>
      <c r="H45" s="51" t="s">
        <v>405</v>
      </c>
      <c r="I45" s="51" t="s">
        <v>406</v>
      </c>
      <c r="J45" s="51" t="s">
        <v>407</v>
      </c>
      <c r="K45" s="51" t="s">
        <v>408</v>
      </c>
      <c r="L45" s="51" t="s">
        <v>409</v>
      </c>
      <c r="M45" s="51" t="s">
        <v>104</v>
      </c>
      <c r="N45" s="51" t="s">
        <v>410</v>
      </c>
      <c r="O45" s="51" t="s">
        <v>411</v>
      </c>
      <c r="P45" s="51" t="s">
        <v>412</v>
      </c>
      <c r="Q45" s="54" t="s">
        <v>401</v>
      </c>
      <c r="R45" s="54"/>
      <c r="S45" s="51" t="s">
        <v>106</v>
      </c>
      <c r="T45" s="99"/>
      <c r="U45" s="99"/>
      <c r="V45" s="55" t="s">
        <v>109</v>
      </c>
    </row>
    <row r="46" spans="1:22" ht="331.5" x14ac:dyDescent="0.25">
      <c r="A46" s="62"/>
      <c r="B46" s="49" t="s">
        <v>413</v>
      </c>
      <c r="C46" s="50" t="s">
        <v>98</v>
      </c>
      <c r="D46" s="51" t="s">
        <v>99</v>
      </c>
      <c r="E46" s="51" t="s">
        <v>393</v>
      </c>
      <c r="F46" s="54" t="s">
        <v>414</v>
      </c>
      <c r="G46" s="51" t="s">
        <v>415</v>
      </c>
      <c r="H46" s="51" t="s">
        <v>416</v>
      </c>
      <c r="I46" s="51" t="s">
        <v>417</v>
      </c>
      <c r="J46" s="54"/>
      <c r="K46" s="51"/>
      <c r="L46" s="51"/>
      <c r="M46" s="51" t="s">
        <v>268</v>
      </c>
      <c r="N46" s="51" t="s">
        <v>418</v>
      </c>
      <c r="O46" s="51" t="s">
        <v>419</v>
      </c>
      <c r="P46" s="51" t="s">
        <v>420</v>
      </c>
      <c r="Q46" s="54" t="s">
        <v>421</v>
      </c>
      <c r="R46" s="54" t="s">
        <v>422</v>
      </c>
      <c r="S46" s="51" t="s">
        <v>106</v>
      </c>
      <c r="T46" s="99"/>
      <c r="U46" s="99"/>
      <c r="V46" s="55" t="s">
        <v>109</v>
      </c>
    </row>
    <row r="47" spans="1:22" ht="127.5" x14ac:dyDescent="0.25">
      <c r="A47" s="62"/>
      <c r="B47" s="49" t="s">
        <v>423</v>
      </c>
      <c r="C47" s="50" t="s">
        <v>98</v>
      </c>
      <c r="D47" s="51" t="s">
        <v>99</v>
      </c>
      <c r="E47" s="51" t="s">
        <v>393</v>
      </c>
      <c r="F47" s="54" t="s">
        <v>424</v>
      </c>
      <c r="G47" s="51" t="s">
        <v>425</v>
      </c>
      <c r="H47" s="51" t="s">
        <v>426</v>
      </c>
      <c r="I47" s="51" t="s">
        <v>427</v>
      </c>
      <c r="J47" s="54"/>
      <c r="K47" s="51"/>
      <c r="L47" s="51"/>
      <c r="M47" s="51" t="s">
        <v>104</v>
      </c>
      <c r="N47" s="51" t="s">
        <v>410</v>
      </c>
      <c r="O47" s="51" t="s">
        <v>411</v>
      </c>
      <c r="P47" s="51" t="s">
        <v>412</v>
      </c>
      <c r="Q47" s="54" t="s">
        <v>428</v>
      </c>
      <c r="R47" s="54"/>
      <c r="S47" s="51" t="s">
        <v>106</v>
      </c>
      <c r="T47" s="99"/>
      <c r="U47" s="99"/>
      <c r="V47" s="55" t="s">
        <v>109</v>
      </c>
    </row>
    <row r="48" spans="1:22" ht="306" x14ac:dyDescent="0.25">
      <c r="A48" s="62"/>
      <c r="B48" s="49" t="s">
        <v>429</v>
      </c>
      <c r="C48" s="50" t="s">
        <v>98</v>
      </c>
      <c r="D48" s="51" t="s">
        <v>99</v>
      </c>
      <c r="E48" s="51" t="s">
        <v>393</v>
      </c>
      <c r="F48" s="54" t="s">
        <v>430</v>
      </c>
      <c r="G48" s="51" t="s">
        <v>431</v>
      </c>
      <c r="H48" s="51" t="s">
        <v>432</v>
      </c>
      <c r="I48" s="51" t="s">
        <v>433</v>
      </c>
      <c r="J48" s="54"/>
      <c r="K48" s="51"/>
      <c r="L48" s="51"/>
      <c r="M48" s="51" t="s">
        <v>268</v>
      </c>
      <c r="N48" s="51" t="s">
        <v>434</v>
      </c>
      <c r="O48" s="51" t="s">
        <v>435</v>
      </c>
      <c r="P48" s="51" t="s">
        <v>436</v>
      </c>
      <c r="Q48" s="54" t="s">
        <v>437</v>
      </c>
      <c r="R48" s="54" t="s">
        <v>438</v>
      </c>
      <c r="S48" s="51" t="s">
        <v>106</v>
      </c>
      <c r="T48" s="99"/>
      <c r="U48" s="99"/>
      <c r="V48" s="55" t="s">
        <v>109</v>
      </c>
    </row>
    <row r="49" spans="1:22" ht="127.5" x14ac:dyDescent="0.25">
      <c r="A49" s="62"/>
      <c r="B49" s="49" t="s">
        <v>439</v>
      </c>
      <c r="C49" s="50" t="s">
        <v>194</v>
      </c>
      <c r="D49" s="51" t="s">
        <v>99</v>
      </c>
      <c r="E49" s="51" t="s">
        <v>393</v>
      </c>
      <c r="F49" s="54" t="s">
        <v>440</v>
      </c>
      <c r="G49" s="51" t="s">
        <v>441</v>
      </c>
      <c r="H49" s="51" t="s">
        <v>442</v>
      </c>
      <c r="I49" s="51" t="s">
        <v>443</v>
      </c>
      <c r="J49" s="54"/>
      <c r="K49" s="51"/>
      <c r="L49" s="51"/>
      <c r="M49" s="51" t="s">
        <v>104</v>
      </c>
      <c r="N49" s="51" t="s">
        <v>444</v>
      </c>
      <c r="O49" s="51" t="s">
        <v>445</v>
      </c>
      <c r="P49" s="51" t="s">
        <v>446</v>
      </c>
      <c r="Q49" s="54"/>
      <c r="R49" s="54"/>
      <c r="S49" s="51" t="s">
        <v>106</v>
      </c>
      <c r="T49" s="99"/>
      <c r="U49" s="99"/>
      <c r="V49" s="55"/>
    </row>
    <row r="50" spans="1:22" ht="280.5" x14ac:dyDescent="0.25">
      <c r="A50" s="62"/>
      <c r="B50" s="49" t="s">
        <v>447</v>
      </c>
      <c r="C50" s="50" t="s">
        <v>194</v>
      </c>
      <c r="D50" s="51" t="s">
        <v>99</v>
      </c>
      <c r="E50" s="51" t="s">
        <v>393</v>
      </c>
      <c r="F50" s="54" t="s">
        <v>448</v>
      </c>
      <c r="G50" s="51" t="s">
        <v>449</v>
      </c>
      <c r="H50" s="51" t="s">
        <v>450</v>
      </c>
      <c r="I50" s="51" t="s">
        <v>451</v>
      </c>
      <c r="J50" s="54"/>
      <c r="K50" s="51"/>
      <c r="L50" s="51"/>
      <c r="M50" s="51" t="s">
        <v>268</v>
      </c>
      <c r="N50" s="51" t="s">
        <v>452</v>
      </c>
      <c r="O50" s="51" t="s">
        <v>453</v>
      </c>
      <c r="P50" s="51" t="s">
        <v>454</v>
      </c>
      <c r="Q50" s="54" t="s">
        <v>455</v>
      </c>
      <c r="R50" s="54" t="s">
        <v>456</v>
      </c>
      <c r="S50" s="51" t="s">
        <v>106</v>
      </c>
      <c r="T50" s="99"/>
      <c r="U50" s="99"/>
      <c r="V50" s="55"/>
    </row>
    <row r="51" spans="1:22" ht="344.25" x14ac:dyDescent="0.25">
      <c r="A51" s="62"/>
      <c r="B51" s="49" t="s">
        <v>457</v>
      </c>
      <c r="C51" s="50" t="s">
        <v>237</v>
      </c>
      <c r="D51" s="51" t="s">
        <v>99</v>
      </c>
      <c r="E51" s="51" t="s">
        <v>393</v>
      </c>
      <c r="F51" s="54" t="s">
        <v>458</v>
      </c>
      <c r="G51" s="51" t="s">
        <v>459</v>
      </c>
      <c r="H51" s="51" t="s">
        <v>460</v>
      </c>
      <c r="I51" s="51" t="s">
        <v>461</v>
      </c>
      <c r="J51" s="54"/>
      <c r="K51" s="51"/>
      <c r="L51" s="51"/>
      <c r="M51" s="51" t="s">
        <v>268</v>
      </c>
      <c r="N51" s="51" t="s">
        <v>462</v>
      </c>
      <c r="O51" s="51" t="s">
        <v>463</v>
      </c>
      <c r="P51" s="51" t="s">
        <v>464</v>
      </c>
      <c r="Q51" s="54" t="s">
        <v>401</v>
      </c>
      <c r="R51" s="54" t="s">
        <v>465</v>
      </c>
      <c r="S51" s="51" t="s">
        <v>106</v>
      </c>
      <c r="T51" s="99"/>
      <c r="U51" s="99"/>
      <c r="V51" s="55"/>
    </row>
    <row r="52" spans="1:22" ht="306" x14ac:dyDescent="0.25">
      <c r="A52" s="62"/>
      <c r="B52" s="49" t="s">
        <v>466</v>
      </c>
      <c r="C52" s="50" t="s">
        <v>237</v>
      </c>
      <c r="D52" s="51" t="s">
        <v>99</v>
      </c>
      <c r="E52" s="51" t="s">
        <v>393</v>
      </c>
      <c r="F52" s="54" t="s">
        <v>467</v>
      </c>
      <c r="G52" s="51" t="s">
        <v>468</v>
      </c>
      <c r="H52" s="51" t="s">
        <v>469</v>
      </c>
      <c r="I52" s="51" t="s">
        <v>470</v>
      </c>
      <c r="J52" s="54"/>
      <c r="K52" s="51"/>
      <c r="L52" s="51"/>
      <c r="M52" s="51" t="s">
        <v>268</v>
      </c>
      <c r="N52" s="51" t="s">
        <v>471</v>
      </c>
      <c r="O52" s="51" t="s">
        <v>472</v>
      </c>
      <c r="P52" s="51" t="s">
        <v>473</v>
      </c>
      <c r="Q52" s="54" t="s">
        <v>474</v>
      </c>
      <c r="R52" s="54" t="s">
        <v>475</v>
      </c>
      <c r="S52" s="51" t="s">
        <v>106</v>
      </c>
      <c r="T52" s="99"/>
      <c r="U52" s="99"/>
      <c r="V52" s="55"/>
    </row>
    <row r="53" spans="1:22" ht="306" x14ac:dyDescent="0.25">
      <c r="A53" s="63"/>
      <c r="B53" s="49">
        <v>1.1299999999999999</v>
      </c>
      <c r="C53" s="50" t="s">
        <v>98</v>
      </c>
      <c r="D53" s="51" t="s">
        <v>99</v>
      </c>
      <c r="E53" s="51" t="s">
        <v>476</v>
      </c>
      <c r="F53" s="54" t="s">
        <v>477</v>
      </c>
      <c r="G53" s="51" t="s">
        <v>478</v>
      </c>
      <c r="H53" s="51" t="s">
        <v>479</v>
      </c>
      <c r="I53" s="51" t="s">
        <v>480</v>
      </c>
      <c r="J53" s="54"/>
      <c r="K53" s="51"/>
      <c r="L53" s="51"/>
      <c r="M53" s="51" t="s">
        <v>268</v>
      </c>
      <c r="N53" s="51" t="s">
        <v>481</v>
      </c>
      <c r="O53" s="51" t="s">
        <v>482</v>
      </c>
      <c r="P53" s="51" t="s">
        <v>483</v>
      </c>
      <c r="Q53" s="54"/>
      <c r="R53" s="54" t="s">
        <v>438</v>
      </c>
      <c r="S53" s="51" t="s">
        <v>106</v>
      </c>
      <c r="T53" s="99"/>
      <c r="U53" s="99"/>
      <c r="V53" s="55" t="s">
        <v>109</v>
      </c>
    </row>
    <row r="54" spans="1:22" ht="127.5" x14ac:dyDescent="0.25">
      <c r="A54" s="64" t="s">
        <v>484</v>
      </c>
      <c r="B54" s="49" t="s">
        <v>485</v>
      </c>
      <c r="C54" s="50" t="s">
        <v>98</v>
      </c>
      <c r="D54" s="51" t="s">
        <v>99</v>
      </c>
      <c r="E54" s="51" t="s">
        <v>486</v>
      </c>
      <c r="F54" s="54" t="s">
        <v>487</v>
      </c>
      <c r="G54" s="51" t="s">
        <v>488</v>
      </c>
      <c r="H54" s="51" t="s">
        <v>489</v>
      </c>
      <c r="I54" s="51" t="s">
        <v>490</v>
      </c>
      <c r="J54" s="54"/>
      <c r="K54" s="51"/>
      <c r="L54" s="51"/>
      <c r="M54" s="51" t="s">
        <v>104</v>
      </c>
      <c r="N54" s="51" t="s">
        <v>491</v>
      </c>
      <c r="O54" s="51" t="s">
        <v>492</v>
      </c>
      <c r="P54" s="51" t="s">
        <v>493</v>
      </c>
      <c r="Q54" s="54"/>
      <c r="R54" s="54"/>
      <c r="S54" s="51" t="s">
        <v>106</v>
      </c>
      <c r="T54" s="99"/>
      <c r="U54" s="99"/>
      <c r="V54" s="55" t="s">
        <v>192</v>
      </c>
    </row>
    <row r="55" spans="1:22" ht="318.75" x14ac:dyDescent="0.25">
      <c r="A55" s="65"/>
      <c r="B55" s="49" t="s">
        <v>494</v>
      </c>
      <c r="C55" s="50" t="s">
        <v>98</v>
      </c>
      <c r="D55" s="51" t="s">
        <v>99</v>
      </c>
      <c r="E55" s="51" t="s">
        <v>486</v>
      </c>
      <c r="F55" s="54" t="s">
        <v>495</v>
      </c>
      <c r="G55" s="51" t="s">
        <v>496</v>
      </c>
      <c r="H55" s="51" t="s">
        <v>497</v>
      </c>
      <c r="I55" s="51" t="s">
        <v>498</v>
      </c>
      <c r="J55" s="54"/>
      <c r="K55" s="51"/>
      <c r="L55" s="51"/>
      <c r="M55" s="51" t="s">
        <v>268</v>
      </c>
      <c r="N55" s="51" t="s">
        <v>499</v>
      </c>
      <c r="O55" s="51" t="s">
        <v>500</v>
      </c>
      <c r="P55" s="51" t="s">
        <v>501</v>
      </c>
      <c r="Q55" s="54" t="s">
        <v>502</v>
      </c>
      <c r="R55" s="54" t="s">
        <v>503</v>
      </c>
      <c r="S55" s="51" t="s">
        <v>106</v>
      </c>
      <c r="T55" s="99"/>
      <c r="U55" s="99"/>
      <c r="V55" s="55" t="s">
        <v>109</v>
      </c>
    </row>
    <row r="56" spans="1:22" ht="38.25" x14ac:dyDescent="0.25">
      <c r="A56" s="65"/>
      <c r="B56" s="57"/>
      <c r="C56" s="50" t="s">
        <v>98</v>
      </c>
      <c r="D56" s="51" t="s">
        <v>99</v>
      </c>
      <c r="E56" s="51" t="s">
        <v>504</v>
      </c>
      <c r="F56" s="54" t="s">
        <v>505</v>
      </c>
      <c r="G56" s="51" t="s">
        <v>506</v>
      </c>
      <c r="H56" s="51" t="s">
        <v>507</v>
      </c>
      <c r="I56" s="51" t="s">
        <v>508</v>
      </c>
      <c r="J56" s="54"/>
      <c r="K56" s="51"/>
      <c r="L56" s="51"/>
      <c r="M56" s="51" t="s">
        <v>122</v>
      </c>
      <c r="N56" s="51"/>
      <c r="O56" s="51"/>
      <c r="P56" s="51"/>
      <c r="Q56" s="54"/>
      <c r="R56" s="54"/>
      <c r="S56" s="51"/>
      <c r="T56" s="99"/>
      <c r="U56" s="99"/>
      <c r="V56" s="55"/>
    </row>
    <row r="57" spans="1:22" ht="114.75" x14ac:dyDescent="0.25">
      <c r="A57" s="65"/>
      <c r="B57" s="49" t="s">
        <v>509</v>
      </c>
      <c r="C57" s="66" t="s">
        <v>98</v>
      </c>
      <c r="D57" s="51" t="s">
        <v>99</v>
      </c>
      <c r="E57" s="51" t="s">
        <v>510</v>
      </c>
      <c r="F57" s="54" t="s">
        <v>511</v>
      </c>
      <c r="G57" s="51" t="s">
        <v>512</v>
      </c>
      <c r="H57" s="51" t="s">
        <v>513</v>
      </c>
      <c r="I57" s="51" t="s">
        <v>514</v>
      </c>
      <c r="J57" s="54"/>
      <c r="K57" s="51"/>
      <c r="L57" s="51"/>
      <c r="M57" s="51" t="s">
        <v>104</v>
      </c>
      <c r="N57" s="51" t="s">
        <v>515</v>
      </c>
      <c r="O57" s="51" t="s">
        <v>516</v>
      </c>
      <c r="P57" s="51" t="s">
        <v>517</v>
      </c>
      <c r="Q57" s="54"/>
      <c r="R57" s="54"/>
      <c r="S57" s="51" t="s">
        <v>106</v>
      </c>
      <c r="T57" s="99"/>
      <c r="U57" s="99"/>
      <c r="V57" s="55" t="s">
        <v>109</v>
      </c>
    </row>
    <row r="58" spans="1:22" ht="114.75" x14ac:dyDescent="0.25">
      <c r="A58" s="65"/>
      <c r="B58" s="49" t="s">
        <v>518</v>
      </c>
      <c r="C58" s="50" t="s">
        <v>98</v>
      </c>
      <c r="D58" s="51" t="s">
        <v>99</v>
      </c>
      <c r="E58" s="51" t="s">
        <v>519</v>
      </c>
      <c r="F58" s="54" t="s">
        <v>520</v>
      </c>
      <c r="G58" s="51" t="s">
        <v>521</v>
      </c>
      <c r="H58" s="51" t="s">
        <v>522</v>
      </c>
      <c r="I58" s="51" t="s">
        <v>523</v>
      </c>
      <c r="J58" s="51" t="s">
        <v>524</v>
      </c>
      <c r="K58" s="51" t="s">
        <v>525</v>
      </c>
      <c r="L58" s="51" t="s">
        <v>526</v>
      </c>
      <c r="M58" s="51" t="s">
        <v>104</v>
      </c>
      <c r="N58" s="51" t="s">
        <v>128</v>
      </c>
      <c r="O58" s="51" t="s">
        <v>129</v>
      </c>
      <c r="P58" s="51" t="s">
        <v>130</v>
      </c>
      <c r="Q58" s="54" t="s">
        <v>527</v>
      </c>
      <c r="R58" s="54" t="s">
        <v>528</v>
      </c>
      <c r="S58" s="51" t="s">
        <v>106</v>
      </c>
      <c r="T58" s="99"/>
      <c r="U58" s="99"/>
      <c r="V58" s="55" t="s">
        <v>109</v>
      </c>
    </row>
    <row r="59" spans="1:22" ht="76.5" x14ac:dyDescent="0.25">
      <c r="A59" s="65"/>
      <c r="B59" s="49" t="s">
        <v>529</v>
      </c>
      <c r="C59" s="50" t="s">
        <v>98</v>
      </c>
      <c r="D59" s="51" t="s">
        <v>99</v>
      </c>
      <c r="E59" s="51" t="s">
        <v>519</v>
      </c>
      <c r="F59" s="54" t="s">
        <v>530</v>
      </c>
      <c r="G59" s="51" t="s">
        <v>531</v>
      </c>
      <c r="H59" s="51" t="s">
        <v>532</v>
      </c>
      <c r="I59" s="51" t="s">
        <v>533</v>
      </c>
      <c r="J59" s="54" t="s">
        <v>534</v>
      </c>
      <c r="K59" s="51" t="s">
        <v>535</v>
      </c>
      <c r="L59" s="51" t="s">
        <v>536</v>
      </c>
      <c r="M59" s="51" t="s">
        <v>142</v>
      </c>
      <c r="N59" s="51"/>
      <c r="O59" s="51"/>
      <c r="P59" s="51"/>
      <c r="Q59" s="54" t="s">
        <v>537</v>
      </c>
      <c r="R59" s="54" t="s">
        <v>538</v>
      </c>
      <c r="S59" s="51" t="s">
        <v>106</v>
      </c>
      <c r="T59" s="99"/>
      <c r="U59" s="99"/>
      <c r="V59" s="55" t="s">
        <v>109</v>
      </c>
    </row>
    <row r="60" spans="1:22" ht="76.5" x14ac:dyDescent="0.25">
      <c r="A60" s="65"/>
      <c r="B60" s="49" t="s">
        <v>539</v>
      </c>
      <c r="C60" s="50" t="s">
        <v>98</v>
      </c>
      <c r="D60" s="51" t="s">
        <v>99</v>
      </c>
      <c r="E60" s="51" t="s">
        <v>540</v>
      </c>
      <c r="F60" s="54" t="s">
        <v>541</v>
      </c>
      <c r="G60" s="51" t="s">
        <v>542</v>
      </c>
      <c r="H60" s="51" t="s">
        <v>543</v>
      </c>
      <c r="I60" s="51" t="s">
        <v>544</v>
      </c>
      <c r="J60" s="54" t="s">
        <v>545</v>
      </c>
      <c r="K60" s="51" t="s">
        <v>546</v>
      </c>
      <c r="L60" s="51" t="s">
        <v>547</v>
      </c>
      <c r="M60" s="51" t="s">
        <v>142</v>
      </c>
      <c r="N60" s="51"/>
      <c r="O60" s="51"/>
      <c r="P60" s="51"/>
      <c r="Q60" s="54" t="s">
        <v>548</v>
      </c>
      <c r="R60" s="54" t="s">
        <v>538</v>
      </c>
      <c r="S60" s="51" t="s">
        <v>106</v>
      </c>
      <c r="T60" s="99"/>
      <c r="U60" s="99"/>
      <c r="V60" s="55" t="s">
        <v>109</v>
      </c>
    </row>
    <row r="61" spans="1:22" ht="89.25" x14ac:dyDescent="0.25">
      <c r="A61" s="65"/>
      <c r="B61" s="49" t="s">
        <v>549</v>
      </c>
      <c r="C61" s="50" t="s">
        <v>98</v>
      </c>
      <c r="D61" s="51" t="s">
        <v>99</v>
      </c>
      <c r="E61" s="51" t="s">
        <v>550</v>
      </c>
      <c r="F61" s="54" t="s">
        <v>551</v>
      </c>
      <c r="G61" s="51" t="s">
        <v>552</v>
      </c>
      <c r="H61" s="51" t="s">
        <v>553</v>
      </c>
      <c r="I61" s="51" t="s">
        <v>554</v>
      </c>
      <c r="J61" s="54" t="s">
        <v>534</v>
      </c>
      <c r="K61" s="51" t="s">
        <v>535</v>
      </c>
      <c r="L61" s="51" t="s">
        <v>536</v>
      </c>
      <c r="M61" s="51" t="s">
        <v>142</v>
      </c>
      <c r="N61" s="51"/>
      <c r="O61" s="51"/>
      <c r="P61" s="51"/>
      <c r="Q61" s="54"/>
      <c r="R61" s="54" t="s">
        <v>555</v>
      </c>
      <c r="S61" s="51" t="s">
        <v>106</v>
      </c>
      <c r="T61" s="99"/>
      <c r="U61" s="99"/>
      <c r="V61" s="55" t="s">
        <v>109</v>
      </c>
    </row>
    <row r="62" spans="1:22" ht="114.75" x14ac:dyDescent="0.25">
      <c r="A62" s="65"/>
      <c r="B62" s="49" t="s">
        <v>556</v>
      </c>
      <c r="C62" s="66" t="s">
        <v>98</v>
      </c>
      <c r="D62" s="51" t="s">
        <v>99</v>
      </c>
      <c r="E62" s="51" t="s">
        <v>510</v>
      </c>
      <c r="F62" s="54" t="s">
        <v>557</v>
      </c>
      <c r="G62" s="51" t="s">
        <v>558</v>
      </c>
      <c r="H62" s="51" t="s">
        <v>559</v>
      </c>
      <c r="I62" s="51" t="s">
        <v>560</v>
      </c>
      <c r="J62" s="54"/>
      <c r="K62" s="51"/>
      <c r="L62" s="51"/>
      <c r="M62" s="51" t="s">
        <v>104</v>
      </c>
      <c r="N62" s="51" t="s">
        <v>515</v>
      </c>
      <c r="O62" s="51" t="s">
        <v>516</v>
      </c>
      <c r="P62" s="51" t="s">
        <v>517</v>
      </c>
      <c r="Q62" s="54"/>
      <c r="R62" s="54"/>
      <c r="S62" s="51" t="s">
        <v>106</v>
      </c>
      <c r="T62" s="99"/>
      <c r="U62" s="99"/>
      <c r="V62" s="55" t="s">
        <v>109</v>
      </c>
    </row>
    <row r="63" spans="1:22" ht="76.5" x14ac:dyDescent="0.25">
      <c r="A63" s="65"/>
      <c r="B63" s="49" t="s">
        <v>561</v>
      </c>
      <c r="C63" s="50" t="s">
        <v>98</v>
      </c>
      <c r="D63" s="51" t="s">
        <v>99</v>
      </c>
      <c r="E63" s="51" t="s">
        <v>519</v>
      </c>
      <c r="F63" s="54" t="s">
        <v>562</v>
      </c>
      <c r="G63" s="51" t="s">
        <v>563</v>
      </c>
      <c r="H63" s="51" t="s">
        <v>564</v>
      </c>
      <c r="I63" s="51" t="s">
        <v>565</v>
      </c>
      <c r="J63" s="54" t="s">
        <v>534</v>
      </c>
      <c r="K63" s="51" t="s">
        <v>535</v>
      </c>
      <c r="L63" s="51" t="s">
        <v>536</v>
      </c>
      <c r="M63" s="51" t="s">
        <v>142</v>
      </c>
      <c r="N63" s="51"/>
      <c r="O63" s="51"/>
      <c r="P63" s="51"/>
      <c r="Q63" s="54" t="s">
        <v>537</v>
      </c>
      <c r="R63" s="54" t="s">
        <v>538</v>
      </c>
      <c r="S63" s="51" t="s">
        <v>106</v>
      </c>
      <c r="T63" s="99"/>
      <c r="U63" s="99"/>
      <c r="V63" s="55" t="s">
        <v>109</v>
      </c>
    </row>
    <row r="64" spans="1:22" ht="76.5" x14ac:dyDescent="0.25">
      <c r="A64" s="65"/>
      <c r="B64" s="49" t="s">
        <v>566</v>
      </c>
      <c r="C64" s="50" t="s">
        <v>98</v>
      </c>
      <c r="D64" s="51" t="s">
        <v>99</v>
      </c>
      <c r="E64" s="51" t="s">
        <v>540</v>
      </c>
      <c r="F64" s="54" t="s">
        <v>567</v>
      </c>
      <c r="G64" s="51" t="s">
        <v>568</v>
      </c>
      <c r="H64" s="51" t="s">
        <v>569</v>
      </c>
      <c r="I64" s="51" t="s">
        <v>570</v>
      </c>
      <c r="J64" s="54" t="s">
        <v>545</v>
      </c>
      <c r="K64" s="51" t="s">
        <v>546</v>
      </c>
      <c r="L64" s="51" t="s">
        <v>547</v>
      </c>
      <c r="M64" s="51" t="s">
        <v>142</v>
      </c>
      <c r="N64" s="51"/>
      <c r="O64" s="51"/>
      <c r="P64" s="51"/>
      <c r="Q64" s="54" t="s">
        <v>548</v>
      </c>
      <c r="R64" s="54" t="s">
        <v>538</v>
      </c>
      <c r="S64" s="51" t="s">
        <v>106</v>
      </c>
      <c r="T64" s="99"/>
      <c r="U64" s="99"/>
      <c r="V64" s="55" t="s">
        <v>109</v>
      </c>
    </row>
    <row r="65" spans="1:22" ht="89.25" x14ac:dyDescent="0.25">
      <c r="A65" s="65"/>
      <c r="B65" s="49" t="s">
        <v>571</v>
      </c>
      <c r="C65" s="50" t="s">
        <v>98</v>
      </c>
      <c r="D65" s="51" t="s">
        <v>99</v>
      </c>
      <c r="E65" s="51" t="s">
        <v>550</v>
      </c>
      <c r="F65" s="54" t="s">
        <v>572</v>
      </c>
      <c r="G65" s="51" t="s">
        <v>573</v>
      </c>
      <c r="H65" s="51" t="s">
        <v>574</v>
      </c>
      <c r="I65" s="51" t="s">
        <v>575</v>
      </c>
      <c r="J65" s="54" t="s">
        <v>534</v>
      </c>
      <c r="K65" s="51" t="s">
        <v>535</v>
      </c>
      <c r="L65" s="51" t="s">
        <v>536</v>
      </c>
      <c r="M65" s="51" t="s">
        <v>142</v>
      </c>
      <c r="N65" s="51"/>
      <c r="O65" s="51"/>
      <c r="P65" s="51"/>
      <c r="Q65" s="54"/>
      <c r="R65" s="54" t="s">
        <v>555</v>
      </c>
      <c r="S65" s="51" t="s">
        <v>106</v>
      </c>
      <c r="T65" s="99"/>
      <c r="U65" s="99"/>
      <c r="V65" s="55" t="s">
        <v>109</v>
      </c>
    </row>
    <row r="66" spans="1:22" ht="140.25" x14ac:dyDescent="0.25">
      <c r="A66" s="67" t="s">
        <v>576</v>
      </c>
      <c r="B66" s="49" t="s">
        <v>577</v>
      </c>
      <c r="C66" s="66" t="s">
        <v>98</v>
      </c>
      <c r="D66" s="51" t="s">
        <v>99</v>
      </c>
      <c r="E66" s="51" t="s">
        <v>578</v>
      </c>
      <c r="F66" s="54" t="s">
        <v>579</v>
      </c>
      <c r="G66" s="51" t="s">
        <v>580</v>
      </c>
      <c r="H66" s="51" t="s">
        <v>581</v>
      </c>
      <c r="I66" s="51" t="s">
        <v>582</v>
      </c>
      <c r="J66" s="54"/>
      <c r="K66" s="51"/>
      <c r="L66" s="51"/>
      <c r="M66" s="51" t="s">
        <v>268</v>
      </c>
      <c r="N66" s="51" t="s">
        <v>583</v>
      </c>
      <c r="O66" s="51" t="s">
        <v>584</v>
      </c>
      <c r="P66" s="51" t="s">
        <v>585</v>
      </c>
      <c r="Q66" s="54" t="s">
        <v>586</v>
      </c>
      <c r="R66" s="54" t="s">
        <v>587</v>
      </c>
      <c r="S66" s="51" t="s">
        <v>106</v>
      </c>
      <c r="T66" s="99"/>
      <c r="U66" s="99"/>
      <c r="V66" s="55" t="s">
        <v>109</v>
      </c>
    </row>
    <row r="67" spans="1:22" ht="76.5" x14ac:dyDescent="0.25">
      <c r="A67" s="64" t="s">
        <v>484</v>
      </c>
      <c r="B67" s="57"/>
      <c r="C67" s="50" t="s">
        <v>194</v>
      </c>
      <c r="D67" s="51" t="s">
        <v>99</v>
      </c>
      <c r="E67" s="51" t="s">
        <v>588</v>
      </c>
      <c r="F67" s="54" t="s">
        <v>505</v>
      </c>
      <c r="G67" s="51" t="s">
        <v>589</v>
      </c>
      <c r="H67" s="51" t="s">
        <v>590</v>
      </c>
      <c r="I67" s="51" t="s">
        <v>591</v>
      </c>
      <c r="J67" s="54"/>
      <c r="K67" s="51"/>
      <c r="L67" s="51"/>
      <c r="M67" s="51" t="s">
        <v>122</v>
      </c>
      <c r="N67" s="51"/>
      <c r="O67" s="51"/>
      <c r="P67" s="51"/>
      <c r="Q67" s="54"/>
      <c r="R67" s="54"/>
      <c r="S67" s="51"/>
      <c r="T67" s="99"/>
      <c r="U67" s="99"/>
      <c r="V67" s="55"/>
    </row>
    <row r="68" spans="1:22" ht="102" x14ac:dyDescent="0.25">
      <c r="A68" s="65"/>
      <c r="B68" s="49" t="s">
        <v>592</v>
      </c>
      <c r="C68" s="58" t="s">
        <v>194</v>
      </c>
      <c r="D68" s="51" t="s">
        <v>99</v>
      </c>
      <c r="E68" s="51" t="s">
        <v>588</v>
      </c>
      <c r="F68" s="54" t="s">
        <v>593</v>
      </c>
      <c r="G68" s="51" t="s">
        <v>594</v>
      </c>
      <c r="H68" s="51" t="s">
        <v>595</v>
      </c>
      <c r="I68" s="51" t="s">
        <v>596</v>
      </c>
      <c r="J68" s="54"/>
      <c r="K68" s="51"/>
      <c r="L68" s="51"/>
      <c r="M68" s="51" t="s">
        <v>597</v>
      </c>
      <c r="N68" s="51"/>
      <c r="O68" s="51"/>
      <c r="P68" s="51"/>
      <c r="Q68" s="54"/>
      <c r="R68" s="54" t="s">
        <v>598</v>
      </c>
      <c r="S68" s="51" t="s">
        <v>106</v>
      </c>
      <c r="T68" s="99"/>
      <c r="U68" s="99"/>
      <c r="V68" s="55"/>
    </row>
    <row r="69" spans="1:22" ht="127.5" x14ac:dyDescent="0.25">
      <c r="A69" s="65"/>
      <c r="B69" s="49" t="s">
        <v>599</v>
      </c>
      <c r="C69" s="50" t="s">
        <v>194</v>
      </c>
      <c r="D69" s="51" t="s">
        <v>99</v>
      </c>
      <c r="E69" s="51" t="s">
        <v>588</v>
      </c>
      <c r="F69" s="54" t="s">
        <v>600</v>
      </c>
      <c r="G69" s="51" t="s">
        <v>601</v>
      </c>
      <c r="H69" s="51" t="s">
        <v>602</v>
      </c>
      <c r="I69" s="51" t="s">
        <v>603</v>
      </c>
      <c r="J69" s="54"/>
      <c r="K69" s="51"/>
      <c r="L69" s="51"/>
      <c r="M69" s="51" t="s">
        <v>142</v>
      </c>
      <c r="N69" s="51"/>
      <c r="O69" s="51"/>
      <c r="P69" s="51"/>
      <c r="Q69" s="54"/>
      <c r="R69" s="54" t="s">
        <v>604</v>
      </c>
      <c r="S69" s="51" t="s">
        <v>106</v>
      </c>
      <c r="T69" s="99"/>
      <c r="U69" s="99"/>
      <c r="V69" s="55"/>
    </row>
    <row r="70" spans="1:22" ht="178.5" x14ac:dyDescent="0.25">
      <c r="A70" s="65"/>
      <c r="B70" s="49" t="s">
        <v>605</v>
      </c>
      <c r="C70" s="50" t="s">
        <v>194</v>
      </c>
      <c r="D70" s="51" t="s">
        <v>99</v>
      </c>
      <c r="E70" s="51" t="s">
        <v>588</v>
      </c>
      <c r="F70" s="54" t="s">
        <v>606</v>
      </c>
      <c r="G70" s="51" t="s">
        <v>607</v>
      </c>
      <c r="H70" s="51" t="s">
        <v>608</v>
      </c>
      <c r="I70" s="51" t="s">
        <v>609</v>
      </c>
      <c r="J70" s="54"/>
      <c r="K70" s="51"/>
      <c r="L70" s="51"/>
      <c r="M70" s="51" t="s">
        <v>104</v>
      </c>
      <c r="N70" s="51" t="s">
        <v>610</v>
      </c>
      <c r="O70" s="51" t="s">
        <v>611</v>
      </c>
      <c r="P70" s="51" t="s">
        <v>612</v>
      </c>
      <c r="Q70" s="54"/>
      <c r="R70" s="54"/>
      <c r="S70" s="51" t="s">
        <v>106</v>
      </c>
      <c r="T70" s="99"/>
      <c r="U70" s="99"/>
      <c r="V70" s="55"/>
    </row>
    <row r="71" spans="1:22" ht="216.75" x14ac:dyDescent="0.25">
      <c r="A71" s="65"/>
      <c r="B71" s="59" t="s">
        <v>613</v>
      </c>
      <c r="C71" s="50" t="s">
        <v>194</v>
      </c>
      <c r="D71" s="51" t="s">
        <v>99</v>
      </c>
      <c r="E71" s="51" t="s">
        <v>588</v>
      </c>
      <c r="F71" s="54" t="s">
        <v>614</v>
      </c>
      <c r="G71" s="51" t="s">
        <v>615</v>
      </c>
      <c r="H71" s="51" t="s">
        <v>616</v>
      </c>
      <c r="I71" s="51" t="s">
        <v>617</v>
      </c>
      <c r="J71" s="54"/>
      <c r="K71" s="51"/>
      <c r="L71" s="51"/>
      <c r="M71" s="51" t="s">
        <v>142</v>
      </c>
      <c r="N71" s="51"/>
      <c r="O71" s="51"/>
      <c r="P71" s="51"/>
      <c r="Q71" s="54" t="s">
        <v>618</v>
      </c>
      <c r="R71" s="54" t="s">
        <v>604</v>
      </c>
      <c r="S71" s="51" t="s">
        <v>106</v>
      </c>
      <c r="T71" s="99"/>
      <c r="U71" s="99"/>
      <c r="V71" s="55"/>
    </row>
    <row r="72" spans="1:22" ht="102" x14ac:dyDescent="0.25">
      <c r="A72" s="65"/>
      <c r="B72" s="49" t="s">
        <v>619</v>
      </c>
      <c r="C72" s="58" t="s">
        <v>194</v>
      </c>
      <c r="D72" s="51" t="s">
        <v>99</v>
      </c>
      <c r="E72" s="51" t="s">
        <v>588</v>
      </c>
      <c r="F72" s="54" t="s">
        <v>620</v>
      </c>
      <c r="G72" s="51" t="s">
        <v>621</v>
      </c>
      <c r="H72" s="51" t="s">
        <v>622</v>
      </c>
      <c r="I72" s="51" t="s">
        <v>623</v>
      </c>
      <c r="J72" s="54" t="s">
        <v>624</v>
      </c>
      <c r="K72" s="51" t="s">
        <v>625</v>
      </c>
      <c r="L72" s="51" t="s">
        <v>626</v>
      </c>
      <c r="M72" s="51" t="s">
        <v>597</v>
      </c>
      <c r="N72" s="51"/>
      <c r="O72" s="51"/>
      <c r="P72" s="51"/>
      <c r="Q72" s="54"/>
      <c r="R72" s="54" t="s">
        <v>627</v>
      </c>
      <c r="S72" s="51" t="s">
        <v>106</v>
      </c>
      <c r="T72" s="99"/>
      <c r="U72" s="99"/>
      <c r="V72" s="55"/>
    </row>
    <row r="73" spans="1:22" ht="127.5" x14ac:dyDescent="0.25">
      <c r="A73" s="65"/>
      <c r="B73" s="49" t="s">
        <v>628</v>
      </c>
      <c r="C73" s="50" t="s">
        <v>194</v>
      </c>
      <c r="D73" s="51" t="s">
        <v>99</v>
      </c>
      <c r="E73" s="51" t="s">
        <v>588</v>
      </c>
      <c r="F73" s="54" t="s">
        <v>629</v>
      </c>
      <c r="G73" s="51" t="s">
        <v>630</v>
      </c>
      <c r="H73" s="51" t="s">
        <v>631</v>
      </c>
      <c r="I73" s="51" t="s">
        <v>632</v>
      </c>
      <c r="J73" s="54"/>
      <c r="K73" s="51"/>
      <c r="L73" s="51"/>
      <c r="M73" s="51" t="s">
        <v>142</v>
      </c>
      <c r="N73" s="51"/>
      <c r="O73" s="51"/>
      <c r="P73" s="51"/>
      <c r="Q73" s="54" t="s">
        <v>633</v>
      </c>
      <c r="R73" s="54" t="s">
        <v>634</v>
      </c>
      <c r="S73" s="51" t="s">
        <v>106</v>
      </c>
      <c r="T73" s="99"/>
      <c r="U73" s="99"/>
      <c r="V73" s="55"/>
    </row>
    <row r="74" spans="1:22" ht="178.5" x14ac:dyDescent="0.25">
      <c r="A74" s="65"/>
      <c r="B74" s="49" t="s">
        <v>635</v>
      </c>
      <c r="C74" s="50" t="s">
        <v>194</v>
      </c>
      <c r="D74" s="51" t="s">
        <v>99</v>
      </c>
      <c r="E74" s="51" t="s">
        <v>588</v>
      </c>
      <c r="F74" s="54" t="s">
        <v>636</v>
      </c>
      <c r="G74" s="51" t="s">
        <v>607</v>
      </c>
      <c r="H74" s="51" t="s">
        <v>608</v>
      </c>
      <c r="I74" s="51" t="s">
        <v>609</v>
      </c>
      <c r="J74" s="54"/>
      <c r="K74" s="51"/>
      <c r="L74" s="51"/>
      <c r="M74" s="51" t="s">
        <v>104</v>
      </c>
      <c r="N74" s="51" t="s">
        <v>610</v>
      </c>
      <c r="O74" s="51" t="s">
        <v>611</v>
      </c>
      <c r="P74" s="51" t="s">
        <v>612</v>
      </c>
      <c r="Q74" s="54" t="s">
        <v>633</v>
      </c>
      <c r="R74" s="52"/>
      <c r="S74" s="51" t="s">
        <v>106</v>
      </c>
      <c r="T74" s="99"/>
      <c r="U74" s="99"/>
      <c r="V74" s="55"/>
    </row>
    <row r="75" spans="1:22" ht="216.75" x14ac:dyDescent="0.25">
      <c r="A75" s="65"/>
      <c r="B75" s="59" t="s">
        <v>637</v>
      </c>
      <c r="C75" s="50" t="s">
        <v>194</v>
      </c>
      <c r="D75" s="51" t="s">
        <v>99</v>
      </c>
      <c r="E75" s="51" t="s">
        <v>588</v>
      </c>
      <c r="F75" s="54" t="s">
        <v>638</v>
      </c>
      <c r="G75" s="51" t="s">
        <v>615</v>
      </c>
      <c r="H75" s="51" t="s">
        <v>616</v>
      </c>
      <c r="I75" s="51" t="s">
        <v>617</v>
      </c>
      <c r="J75" s="54"/>
      <c r="K75" s="51"/>
      <c r="L75" s="51"/>
      <c r="M75" s="51" t="s">
        <v>142</v>
      </c>
      <c r="N75" s="51"/>
      <c r="O75" s="51"/>
      <c r="P75" s="51"/>
      <c r="Q75" s="54" t="s">
        <v>639</v>
      </c>
      <c r="R75" s="54" t="s">
        <v>634</v>
      </c>
      <c r="S75" s="51" t="s">
        <v>106</v>
      </c>
      <c r="T75" s="99"/>
      <c r="U75" s="99"/>
      <c r="V75" s="55"/>
    </row>
    <row r="76" spans="1:22" ht="102" x14ac:dyDescent="0.25">
      <c r="A76" s="65"/>
      <c r="B76" s="49" t="s">
        <v>640</v>
      </c>
      <c r="C76" s="50" t="s">
        <v>194</v>
      </c>
      <c r="D76" s="51" t="s">
        <v>99</v>
      </c>
      <c r="E76" s="51" t="s">
        <v>588</v>
      </c>
      <c r="F76" s="54" t="s">
        <v>641</v>
      </c>
      <c r="G76" s="51" t="s">
        <v>642</v>
      </c>
      <c r="H76" s="51" t="s">
        <v>643</v>
      </c>
      <c r="I76" s="51" t="s">
        <v>644</v>
      </c>
      <c r="J76" s="54"/>
      <c r="K76" s="51"/>
      <c r="L76" s="51"/>
      <c r="M76" s="51" t="s">
        <v>104</v>
      </c>
      <c r="N76" s="51" t="s">
        <v>645</v>
      </c>
      <c r="O76" s="51" t="s">
        <v>646</v>
      </c>
      <c r="P76" s="51" t="s">
        <v>647</v>
      </c>
      <c r="Q76" s="54"/>
      <c r="R76" s="54"/>
      <c r="S76" s="51" t="s">
        <v>106</v>
      </c>
      <c r="T76" s="99"/>
      <c r="U76" s="99"/>
      <c r="V76" s="55"/>
    </row>
    <row r="77" spans="1:22" ht="140.25" x14ac:dyDescent="0.25">
      <c r="A77" s="65"/>
      <c r="B77" s="49" t="s">
        <v>648</v>
      </c>
      <c r="C77" s="50" t="s">
        <v>194</v>
      </c>
      <c r="D77" s="51" t="s">
        <v>99</v>
      </c>
      <c r="E77" s="51" t="s">
        <v>588</v>
      </c>
      <c r="F77" s="54" t="s">
        <v>649</v>
      </c>
      <c r="G77" s="51" t="s">
        <v>650</v>
      </c>
      <c r="H77" s="51" t="s">
        <v>651</v>
      </c>
      <c r="I77" s="51" t="s">
        <v>652</v>
      </c>
      <c r="J77" s="54"/>
      <c r="K77" s="51"/>
      <c r="L77" s="51"/>
      <c r="M77" s="51" t="s">
        <v>104</v>
      </c>
      <c r="N77" s="51" t="s">
        <v>444</v>
      </c>
      <c r="O77" s="51" t="s">
        <v>445</v>
      </c>
      <c r="P77" s="51" t="s">
        <v>446</v>
      </c>
      <c r="Q77" s="54" t="s">
        <v>653</v>
      </c>
      <c r="R77" s="54"/>
      <c r="S77" s="51" t="s">
        <v>106</v>
      </c>
      <c r="T77" s="99"/>
      <c r="U77" s="99"/>
      <c r="V77" s="55"/>
    </row>
    <row r="78" spans="1:22" ht="204" x14ac:dyDescent="0.25">
      <c r="A78" s="65"/>
      <c r="B78" s="49" t="s">
        <v>654</v>
      </c>
      <c r="C78" s="50" t="s">
        <v>194</v>
      </c>
      <c r="D78" s="51" t="s">
        <v>99</v>
      </c>
      <c r="E78" s="51" t="s">
        <v>588</v>
      </c>
      <c r="F78" s="54" t="s">
        <v>655</v>
      </c>
      <c r="G78" s="51" t="s">
        <v>656</v>
      </c>
      <c r="H78" s="51" t="s">
        <v>657</v>
      </c>
      <c r="I78" s="51" t="s">
        <v>658</v>
      </c>
      <c r="J78" s="54"/>
      <c r="K78" s="51"/>
      <c r="L78" s="51"/>
      <c r="M78" s="51" t="s">
        <v>268</v>
      </c>
      <c r="N78" s="51" t="s">
        <v>659</v>
      </c>
      <c r="O78" s="51" t="s">
        <v>660</v>
      </c>
      <c r="P78" s="51" t="s">
        <v>661</v>
      </c>
      <c r="Q78" s="54" t="s">
        <v>662</v>
      </c>
      <c r="R78" s="54"/>
      <c r="S78" s="51" t="s">
        <v>106</v>
      </c>
      <c r="T78" s="99"/>
      <c r="U78" s="99"/>
      <c r="V78" s="55"/>
    </row>
    <row r="79" spans="1:22" ht="102" x14ac:dyDescent="0.25">
      <c r="A79" s="65"/>
      <c r="B79" s="49" t="s">
        <v>663</v>
      </c>
      <c r="C79" s="50" t="s">
        <v>194</v>
      </c>
      <c r="D79" s="51" t="s">
        <v>99</v>
      </c>
      <c r="E79" s="51" t="s">
        <v>664</v>
      </c>
      <c r="F79" s="54" t="s">
        <v>665</v>
      </c>
      <c r="G79" s="51" t="s">
        <v>666</v>
      </c>
      <c r="H79" s="51" t="s">
        <v>667</v>
      </c>
      <c r="I79" s="51" t="s">
        <v>668</v>
      </c>
      <c r="J79" s="54"/>
      <c r="K79" s="51"/>
      <c r="L79" s="51"/>
      <c r="M79" s="51" t="s">
        <v>104</v>
      </c>
      <c r="N79" s="51" t="s">
        <v>669</v>
      </c>
      <c r="O79" s="51" t="s">
        <v>670</v>
      </c>
      <c r="P79" s="51" t="s">
        <v>671</v>
      </c>
      <c r="Q79" s="54"/>
      <c r="R79" s="54"/>
      <c r="S79" s="51" t="s">
        <v>106</v>
      </c>
      <c r="T79" s="99"/>
      <c r="U79" s="99"/>
      <c r="V79" s="55"/>
    </row>
    <row r="80" spans="1:22" ht="127.5" x14ac:dyDescent="0.25">
      <c r="A80" s="65"/>
      <c r="B80" s="49" t="s">
        <v>672</v>
      </c>
      <c r="C80" s="50" t="s">
        <v>194</v>
      </c>
      <c r="D80" s="51" t="s">
        <v>99</v>
      </c>
      <c r="E80" s="51" t="s">
        <v>664</v>
      </c>
      <c r="F80" s="54" t="s">
        <v>673</v>
      </c>
      <c r="G80" s="51" t="s">
        <v>674</v>
      </c>
      <c r="H80" s="51" t="s">
        <v>675</v>
      </c>
      <c r="I80" s="51" t="s">
        <v>676</v>
      </c>
      <c r="J80" s="54"/>
      <c r="K80" s="51"/>
      <c r="L80" s="51"/>
      <c r="M80" s="51" t="s">
        <v>104</v>
      </c>
      <c r="N80" s="51" t="s">
        <v>677</v>
      </c>
      <c r="O80" s="51" t="s">
        <v>678</v>
      </c>
      <c r="P80" s="51" t="s">
        <v>679</v>
      </c>
      <c r="Q80" s="54" t="s">
        <v>680</v>
      </c>
      <c r="R80" s="54"/>
      <c r="S80" s="51" t="s">
        <v>106</v>
      </c>
      <c r="T80" s="99"/>
      <c r="U80" s="99"/>
      <c r="V80" s="55"/>
    </row>
    <row r="81" spans="1:22" ht="102" x14ac:dyDescent="0.25">
      <c r="A81" s="65"/>
      <c r="B81" s="59" t="s">
        <v>681</v>
      </c>
      <c r="C81" s="50" t="s">
        <v>98</v>
      </c>
      <c r="D81" s="51" t="s">
        <v>99</v>
      </c>
      <c r="E81" s="51" t="s">
        <v>682</v>
      </c>
      <c r="F81" s="54" t="s">
        <v>683</v>
      </c>
      <c r="G81" s="51" t="s">
        <v>684</v>
      </c>
      <c r="H81" s="51" t="s">
        <v>685</v>
      </c>
      <c r="I81" s="51" t="s">
        <v>686</v>
      </c>
      <c r="J81" s="54"/>
      <c r="K81" s="51"/>
      <c r="L81" s="51"/>
      <c r="M81" s="51" t="s">
        <v>104</v>
      </c>
      <c r="N81" s="51" t="s">
        <v>444</v>
      </c>
      <c r="O81" s="51" t="s">
        <v>445</v>
      </c>
      <c r="P81" s="51" t="s">
        <v>446</v>
      </c>
      <c r="Q81" s="54"/>
      <c r="R81" s="54"/>
      <c r="S81" s="51" t="s">
        <v>106</v>
      </c>
      <c r="T81" s="99"/>
      <c r="U81" s="99"/>
      <c r="V81" s="55" t="s">
        <v>109</v>
      </c>
    </row>
    <row r="82" spans="1:22" ht="140.25" x14ac:dyDescent="0.25">
      <c r="A82" s="68"/>
      <c r="B82" s="59" t="s">
        <v>687</v>
      </c>
      <c r="C82" s="50" t="s">
        <v>194</v>
      </c>
      <c r="D82" s="51" t="s">
        <v>99</v>
      </c>
      <c r="E82" s="51" t="s">
        <v>688</v>
      </c>
      <c r="F82" s="54" t="s">
        <v>689</v>
      </c>
      <c r="G82" s="51" t="s">
        <v>690</v>
      </c>
      <c r="H82" s="51" t="s">
        <v>691</v>
      </c>
      <c r="I82" s="51" t="s">
        <v>692</v>
      </c>
      <c r="J82" s="54"/>
      <c r="K82" s="51"/>
      <c r="L82" s="51"/>
      <c r="M82" s="51" t="s">
        <v>104</v>
      </c>
      <c r="N82" s="51" t="s">
        <v>693</v>
      </c>
      <c r="O82" s="51" t="s">
        <v>694</v>
      </c>
      <c r="P82" s="51" t="s">
        <v>695</v>
      </c>
      <c r="Q82" s="54" t="s">
        <v>696</v>
      </c>
      <c r="R82" s="54"/>
      <c r="S82" s="51" t="s">
        <v>106</v>
      </c>
      <c r="T82" s="99"/>
      <c r="U82" s="99"/>
      <c r="V82" s="55"/>
    </row>
    <row r="83" spans="1:22" ht="140.25" x14ac:dyDescent="0.25">
      <c r="A83" s="67" t="s">
        <v>576</v>
      </c>
      <c r="B83" s="49" t="s">
        <v>697</v>
      </c>
      <c r="C83" s="50" t="s">
        <v>98</v>
      </c>
      <c r="D83" s="51" t="s">
        <v>99</v>
      </c>
      <c r="E83" s="51" t="s">
        <v>698</v>
      </c>
      <c r="F83" s="54" t="s">
        <v>699</v>
      </c>
      <c r="G83" s="51" t="s">
        <v>700</v>
      </c>
      <c r="H83" s="51" t="s">
        <v>701</v>
      </c>
      <c r="I83" s="51" t="s">
        <v>702</v>
      </c>
      <c r="J83" s="54"/>
      <c r="K83" s="51"/>
      <c r="L83" s="51"/>
      <c r="M83" s="51" t="s">
        <v>104</v>
      </c>
      <c r="N83" s="51" t="s">
        <v>444</v>
      </c>
      <c r="O83" s="51" t="s">
        <v>445</v>
      </c>
      <c r="P83" s="51" t="s">
        <v>446</v>
      </c>
      <c r="Q83" s="54"/>
      <c r="R83" s="54"/>
      <c r="S83" s="51" t="s">
        <v>106</v>
      </c>
      <c r="T83" s="99"/>
      <c r="U83" s="99"/>
      <c r="V83" s="55" t="s">
        <v>109</v>
      </c>
    </row>
    <row r="84" spans="1:22" ht="127.5" x14ac:dyDescent="0.25">
      <c r="A84" s="69"/>
      <c r="B84" s="49" t="s">
        <v>703</v>
      </c>
      <c r="C84" s="50" t="s">
        <v>98</v>
      </c>
      <c r="D84" s="51" t="s">
        <v>99</v>
      </c>
      <c r="E84" s="51" t="s">
        <v>698</v>
      </c>
      <c r="F84" s="54" t="s">
        <v>704</v>
      </c>
      <c r="G84" s="51" t="s">
        <v>705</v>
      </c>
      <c r="H84" s="51" t="s">
        <v>706</v>
      </c>
      <c r="I84" s="51" t="s">
        <v>707</v>
      </c>
      <c r="J84" s="54"/>
      <c r="K84" s="51"/>
      <c r="L84" s="51"/>
      <c r="M84" s="51" t="s">
        <v>104</v>
      </c>
      <c r="N84" s="51" t="s">
        <v>444</v>
      </c>
      <c r="O84" s="51" t="s">
        <v>445</v>
      </c>
      <c r="P84" s="51" t="s">
        <v>446</v>
      </c>
      <c r="Q84" s="54" t="s">
        <v>708</v>
      </c>
      <c r="R84" s="54"/>
      <c r="S84" s="51" t="s">
        <v>106</v>
      </c>
      <c r="T84" s="99"/>
      <c r="U84" s="99"/>
      <c r="V84" s="55" t="s">
        <v>109</v>
      </c>
    </row>
    <row r="85" spans="1:22" ht="127.5" x14ac:dyDescent="0.25">
      <c r="A85" s="69"/>
      <c r="B85" s="49" t="s">
        <v>709</v>
      </c>
      <c r="C85" s="50" t="s">
        <v>98</v>
      </c>
      <c r="D85" s="51" t="s">
        <v>99</v>
      </c>
      <c r="E85" s="51" t="s">
        <v>698</v>
      </c>
      <c r="F85" s="54" t="s">
        <v>710</v>
      </c>
      <c r="G85" s="51" t="s">
        <v>711</v>
      </c>
      <c r="H85" s="51" t="s">
        <v>712</v>
      </c>
      <c r="I85" s="51" t="s">
        <v>713</v>
      </c>
      <c r="J85" s="54"/>
      <c r="K85" s="51"/>
      <c r="L85" s="51"/>
      <c r="M85" s="51" t="s">
        <v>104</v>
      </c>
      <c r="N85" s="51" t="s">
        <v>444</v>
      </c>
      <c r="O85" s="51" t="s">
        <v>445</v>
      </c>
      <c r="P85" s="51" t="s">
        <v>446</v>
      </c>
      <c r="Q85" s="54" t="s">
        <v>714</v>
      </c>
      <c r="R85" s="54"/>
      <c r="S85" s="51" t="s">
        <v>106</v>
      </c>
      <c r="T85" s="99"/>
      <c r="U85" s="99"/>
      <c r="V85" s="55" t="s">
        <v>109</v>
      </c>
    </row>
    <row r="86" spans="1:22" ht="344.25" x14ac:dyDescent="0.25">
      <c r="A86" s="69"/>
      <c r="B86" s="49" t="s">
        <v>715</v>
      </c>
      <c r="C86" s="50" t="s">
        <v>98</v>
      </c>
      <c r="D86" s="51" t="s">
        <v>99</v>
      </c>
      <c r="E86" s="51" t="s">
        <v>698</v>
      </c>
      <c r="F86" s="54" t="s">
        <v>716</v>
      </c>
      <c r="G86" s="51" t="s">
        <v>717</v>
      </c>
      <c r="H86" s="51" t="s">
        <v>718</v>
      </c>
      <c r="I86" s="51" t="s">
        <v>719</v>
      </c>
      <c r="J86" s="54"/>
      <c r="K86" s="51"/>
      <c r="L86" s="51"/>
      <c r="M86" s="51" t="s">
        <v>268</v>
      </c>
      <c r="N86" s="51" t="s">
        <v>720</v>
      </c>
      <c r="O86" s="51" t="s">
        <v>721</v>
      </c>
      <c r="P86" s="51" t="s">
        <v>722</v>
      </c>
      <c r="Q86" s="54" t="s">
        <v>723</v>
      </c>
      <c r="R86" s="54" t="s">
        <v>438</v>
      </c>
      <c r="S86" s="51" t="s">
        <v>106</v>
      </c>
      <c r="T86" s="99"/>
      <c r="U86" s="99"/>
      <c r="V86" s="55" t="s">
        <v>109</v>
      </c>
    </row>
    <row r="87" spans="1:22" ht="102" x14ac:dyDescent="0.25">
      <c r="A87" s="69"/>
      <c r="B87" s="49" t="s">
        <v>724</v>
      </c>
      <c r="C87" s="66" t="s">
        <v>98</v>
      </c>
      <c r="D87" s="51" t="s">
        <v>99</v>
      </c>
      <c r="E87" s="51" t="s">
        <v>725</v>
      </c>
      <c r="F87" s="54" t="s">
        <v>726</v>
      </c>
      <c r="G87" s="51" t="s">
        <v>727</v>
      </c>
      <c r="H87" s="51" t="s">
        <v>728</v>
      </c>
      <c r="I87" s="51" t="s">
        <v>729</v>
      </c>
      <c r="J87" s="54"/>
      <c r="K87" s="51"/>
      <c r="L87" s="51"/>
      <c r="M87" s="51" t="s">
        <v>104</v>
      </c>
      <c r="N87" s="51" t="s">
        <v>444</v>
      </c>
      <c r="O87" s="51" t="s">
        <v>445</v>
      </c>
      <c r="P87" s="51" t="s">
        <v>446</v>
      </c>
      <c r="Q87" s="54"/>
      <c r="R87" s="54"/>
      <c r="S87" s="51" t="s">
        <v>106</v>
      </c>
      <c r="T87" s="99"/>
      <c r="U87" s="99"/>
      <c r="V87" s="55" t="s">
        <v>109</v>
      </c>
    </row>
    <row r="88" spans="1:22" ht="165.75" x14ac:dyDescent="0.25">
      <c r="A88" s="69"/>
      <c r="B88" s="49" t="s">
        <v>730</v>
      </c>
      <c r="C88" s="66" t="s">
        <v>98</v>
      </c>
      <c r="D88" s="51" t="s">
        <v>99</v>
      </c>
      <c r="E88" s="51" t="s">
        <v>725</v>
      </c>
      <c r="F88" s="54" t="s">
        <v>731</v>
      </c>
      <c r="G88" s="51" t="s">
        <v>732</v>
      </c>
      <c r="H88" s="51" t="s">
        <v>733</v>
      </c>
      <c r="I88" s="51" t="s">
        <v>734</v>
      </c>
      <c r="J88" s="54"/>
      <c r="K88" s="51"/>
      <c r="L88" s="51"/>
      <c r="M88" s="51" t="s">
        <v>268</v>
      </c>
      <c r="N88" s="51" t="s">
        <v>735</v>
      </c>
      <c r="O88" s="51" t="s">
        <v>736</v>
      </c>
      <c r="P88" s="51" t="s">
        <v>737</v>
      </c>
      <c r="Q88" s="54" t="s">
        <v>738</v>
      </c>
      <c r="R88" s="54" t="s">
        <v>438</v>
      </c>
      <c r="S88" s="51" t="s">
        <v>106</v>
      </c>
      <c r="T88" s="99"/>
      <c r="U88" s="99"/>
      <c r="V88" s="55" t="s">
        <v>109</v>
      </c>
    </row>
    <row r="89" spans="1:22" ht="114.75" x14ac:dyDescent="0.25">
      <c r="A89" s="65" t="s">
        <v>484</v>
      </c>
      <c r="B89" s="49" t="s">
        <v>739</v>
      </c>
      <c r="C89" s="50" t="s">
        <v>98</v>
      </c>
      <c r="D89" s="51" t="s">
        <v>99</v>
      </c>
      <c r="E89" s="51" t="s">
        <v>740</v>
      </c>
      <c r="F89" s="54" t="s">
        <v>741</v>
      </c>
      <c r="G89" s="51" t="s">
        <v>742</v>
      </c>
      <c r="H89" s="51" t="s">
        <v>743</v>
      </c>
      <c r="I89" s="51" t="s">
        <v>744</v>
      </c>
      <c r="J89" s="54"/>
      <c r="K89" s="51"/>
      <c r="L89" s="51"/>
      <c r="M89" s="51" t="s">
        <v>104</v>
      </c>
      <c r="N89" s="51" t="s">
        <v>745</v>
      </c>
      <c r="O89" s="51" t="s">
        <v>746</v>
      </c>
      <c r="P89" s="51" t="s">
        <v>747</v>
      </c>
      <c r="Q89" s="54"/>
      <c r="R89" s="54"/>
      <c r="S89" s="51" t="s">
        <v>106</v>
      </c>
      <c r="T89" s="99"/>
      <c r="U89" s="99"/>
      <c r="V89" s="55" t="s">
        <v>109</v>
      </c>
    </row>
    <row r="90" spans="1:22" ht="114.75" x14ac:dyDescent="0.25">
      <c r="A90" s="65"/>
      <c r="B90" s="49" t="s">
        <v>748</v>
      </c>
      <c r="C90" s="50" t="s">
        <v>98</v>
      </c>
      <c r="D90" s="51" t="s">
        <v>99</v>
      </c>
      <c r="E90" s="51" t="s">
        <v>740</v>
      </c>
      <c r="F90" s="54" t="s">
        <v>749</v>
      </c>
      <c r="G90" s="51" t="s">
        <v>750</v>
      </c>
      <c r="H90" s="51" t="s">
        <v>751</v>
      </c>
      <c r="I90" s="51" t="s">
        <v>752</v>
      </c>
      <c r="J90" s="54"/>
      <c r="K90" s="51"/>
      <c r="L90" s="51"/>
      <c r="M90" s="51" t="s">
        <v>104</v>
      </c>
      <c r="N90" s="51" t="s">
        <v>745</v>
      </c>
      <c r="O90" s="51" t="s">
        <v>746</v>
      </c>
      <c r="P90" s="51" t="s">
        <v>747</v>
      </c>
      <c r="Q90" s="54"/>
      <c r="R90" s="54"/>
      <c r="S90" s="51" t="s">
        <v>106</v>
      </c>
      <c r="T90" s="99"/>
      <c r="U90" s="99"/>
      <c r="V90" s="55" t="s">
        <v>109</v>
      </c>
    </row>
    <row r="91" spans="1:22" ht="114.75" x14ac:dyDescent="0.25">
      <c r="A91" s="65"/>
      <c r="B91" s="49" t="s">
        <v>753</v>
      </c>
      <c r="C91" s="50" t="s">
        <v>98</v>
      </c>
      <c r="D91" s="51" t="s">
        <v>99</v>
      </c>
      <c r="E91" s="51" t="s">
        <v>740</v>
      </c>
      <c r="F91" s="54" t="s">
        <v>754</v>
      </c>
      <c r="G91" s="51" t="s">
        <v>755</v>
      </c>
      <c r="H91" s="51" t="s">
        <v>756</v>
      </c>
      <c r="I91" s="51" t="s">
        <v>757</v>
      </c>
      <c r="J91" s="54"/>
      <c r="K91" s="51"/>
      <c r="L91" s="51"/>
      <c r="M91" s="51" t="s">
        <v>104</v>
      </c>
      <c r="N91" s="51" t="s">
        <v>444</v>
      </c>
      <c r="O91" s="51" t="s">
        <v>445</v>
      </c>
      <c r="P91" s="51" t="s">
        <v>446</v>
      </c>
      <c r="Q91" s="54" t="s">
        <v>758</v>
      </c>
      <c r="R91" s="54"/>
      <c r="S91" s="51" t="s">
        <v>106</v>
      </c>
      <c r="T91" s="99"/>
      <c r="U91" s="99"/>
      <c r="V91" s="55" t="s">
        <v>109</v>
      </c>
    </row>
    <row r="92" spans="1:22" ht="140.25" x14ac:dyDescent="0.25">
      <c r="A92" s="65"/>
      <c r="B92" s="49" t="s">
        <v>759</v>
      </c>
      <c r="C92" s="50" t="s">
        <v>98</v>
      </c>
      <c r="D92" s="51" t="s">
        <v>99</v>
      </c>
      <c r="E92" s="51" t="s">
        <v>740</v>
      </c>
      <c r="F92" s="54" t="s">
        <v>760</v>
      </c>
      <c r="G92" s="51" t="s">
        <v>761</v>
      </c>
      <c r="H92" s="51" t="s">
        <v>762</v>
      </c>
      <c r="I92" s="51" t="s">
        <v>763</v>
      </c>
      <c r="J92" s="54"/>
      <c r="K92" s="51"/>
      <c r="L92" s="51"/>
      <c r="M92" s="51" t="s">
        <v>268</v>
      </c>
      <c r="N92" s="51" t="s">
        <v>764</v>
      </c>
      <c r="O92" s="51" t="s">
        <v>765</v>
      </c>
      <c r="P92" s="51" t="s">
        <v>766</v>
      </c>
      <c r="Q92" s="54" t="s">
        <v>767</v>
      </c>
      <c r="R92" s="54" t="s">
        <v>768</v>
      </c>
      <c r="S92" s="51" t="s">
        <v>106</v>
      </c>
      <c r="T92" s="99"/>
      <c r="U92" s="99"/>
      <c r="V92" s="55" t="s">
        <v>109</v>
      </c>
    </row>
    <row r="93" spans="1:22" ht="204" x14ac:dyDescent="0.25">
      <c r="A93" s="68"/>
      <c r="B93" s="49" t="s">
        <v>769</v>
      </c>
      <c r="C93" s="50" t="s">
        <v>194</v>
      </c>
      <c r="D93" s="51" t="s">
        <v>99</v>
      </c>
      <c r="E93" s="51" t="s">
        <v>588</v>
      </c>
      <c r="F93" s="54" t="s">
        <v>770</v>
      </c>
      <c r="G93" s="51" t="s">
        <v>771</v>
      </c>
      <c r="H93" s="51" t="s">
        <v>772</v>
      </c>
      <c r="I93" s="51" t="s">
        <v>773</v>
      </c>
      <c r="J93" s="54"/>
      <c r="K93" s="51"/>
      <c r="L93" s="51"/>
      <c r="M93" s="51" t="s">
        <v>268</v>
      </c>
      <c r="N93" s="51" t="s">
        <v>774</v>
      </c>
      <c r="O93" s="51" t="s">
        <v>775</v>
      </c>
      <c r="P93" s="51" t="s">
        <v>776</v>
      </c>
      <c r="Q93" s="54"/>
      <c r="R93" s="54" t="s">
        <v>777</v>
      </c>
      <c r="S93" s="51" t="s">
        <v>106</v>
      </c>
      <c r="T93" s="99"/>
      <c r="U93" s="99"/>
      <c r="V93" s="55"/>
    </row>
    <row r="94" spans="1:22" ht="102" x14ac:dyDescent="0.25">
      <c r="A94" s="70" t="s">
        <v>778</v>
      </c>
      <c r="B94" s="57"/>
      <c r="C94" s="50" t="s">
        <v>194</v>
      </c>
      <c r="D94" s="51" t="s">
        <v>99</v>
      </c>
      <c r="E94" s="51" t="s">
        <v>779</v>
      </c>
      <c r="F94" s="54" t="s">
        <v>505</v>
      </c>
      <c r="G94" s="51" t="s">
        <v>780</v>
      </c>
      <c r="H94" s="51" t="s">
        <v>781</v>
      </c>
      <c r="I94" s="51" t="s">
        <v>782</v>
      </c>
      <c r="J94" s="54"/>
      <c r="K94" s="51"/>
      <c r="L94" s="51"/>
      <c r="M94" s="51" t="s">
        <v>122</v>
      </c>
      <c r="N94" s="51"/>
      <c r="O94" s="51"/>
      <c r="P94" s="51"/>
      <c r="Q94" s="54"/>
      <c r="R94" s="52"/>
      <c r="S94" s="51"/>
      <c r="T94" s="99"/>
      <c r="U94" s="99"/>
      <c r="V94" s="55"/>
    </row>
    <row r="95" spans="1:22" ht="76.5" x14ac:dyDescent="0.25">
      <c r="A95" s="71"/>
      <c r="B95" s="49" t="s">
        <v>783</v>
      </c>
      <c r="C95" s="50" t="s">
        <v>194</v>
      </c>
      <c r="D95" s="51" t="s">
        <v>99</v>
      </c>
      <c r="E95" s="51" t="s">
        <v>779</v>
      </c>
      <c r="F95" s="54" t="s">
        <v>784</v>
      </c>
      <c r="G95" s="51" t="s">
        <v>785</v>
      </c>
      <c r="H95" s="51" t="s">
        <v>786</v>
      </c>
      <c r="I95" s="51" t="s">
        <v>787</v>
      </c>
      <c r="J95" s="54"/>
      <c r="K95" s="51"/>
      <c r="L95" s="51"/>
      <c r="M95" s="51" t="s">
        <v>104</v>
      </c>
      <c r="N95" s="51" t="s">
        <v>788</v>
      </c>
      <c r="O95" s="51" t="s">
        <v>789</v>
      </c>
      <c r="P95" s="51" t="s">
        <v>790</v>
      </c>
      <c r="Q95" s="54"/>
      <c r="R95" s="54"/>
      <c r="S95" s="51" t="s">
        <v>106</v>
      </c>
      <c r="T95" s="99"/>
      <c r="U95" s="99"/>
      <c r="V95" s="55"/>
    </row>
    <row r="96" spans="1:22" ht="89.25" x14ac:dyDescent="0.25">
      <c r="A96" s="71"/>
      <c r="B96" s="49" t="s">
        <v>791</v>
      </c>
      <c r="C96" s="50" t="s">
        <v>194</v>
      </c>
      <c r="D96" s="51" t="s">
        <v>99</v>
      </c>
      <c r="E96" s="51" t="s">
        <v>779</v>
      </c>
      <c r="F96" s="54" t="s">
        <v>792</v>
      </c>
      <c r="G96" s="51" t="s">
        <v>793</v>
      </c>
      <c r="H96" s="51" t="s">
        <v>794</v>
      </c>
      <c r="I96" s="51" t="s">
        <v>795</v>
      </c>
      <c r="J96" s="54"/>
      <c r="K96" s="51"/>
      <c r="L96" s="51"/>
      <c r="M96" s="51" t="s">
        <v>104</v>
      </c>
      <c r="N96" s="51" t="s">
        <v>796</v>
      </c>
      <c r="O96" s="51" t="s">
        <v>789</v>
      </c>
      <c r="P96" s="51" t="s">
        <v>790</v>
      </c>
      <c r="Q96" s="54"/>
      <c r="R96" s="54"/>
      <c r="S96" s="51" t="s">
        <v>106</v>
      </c>
      <c r="T96" s="99"/>
      <c r="U96" s="99"/>
      <c r="V96" s="55"/>
    </row>
    <row r="97" spans="1:22" ht="102" x14ac:dyDescent="0.25">
      <c r="A97" s="71"/>
      <c r="B97" s="49" t="s">
        <v>797</v>
      </c>
      <c r="C97" s="50" t="s">
        <v>194</v>
      </c>
      <c r="D97" s="51" t="s">
        <v>99</v>
      </c>
      <c r="E97" s="51" t="s">
        <v>779</v>
      </c>
      <c r="F97" s="54" t="s">
        <v>798</v>
      </c>
      <c r="G97" s="51" t="s">
        <v>799</v>
      </c>
      <c r="H97" s="51" t="s">
        <v>800</v>
      </c>
      <c r="I97" s="51" t="s">
        <v>801</v>
      </c>
      <c r="J97" s="54"/>
      <c r="K97" s="51"/>
      <c r="L97" s="51"/>
      <c r="M97" s="51" t="s">
        <v>104</v>
      </c>
      <c r="N97" s="51" t="s">
        <v>796</v>
      </c>
      <c r="O97" s="51" t="s">
        <v>789</v>
      </c>
      <c r="P97" s="51" t="s">
        <v>790</v>
      </c>
      <c r="Q97" s="54"/>
      <c r="R97" s="54"/>
      <c r="S97" s="51" t="s">
        <v>106</v>
      </c>
      <c r="T97" s="99"/>
      <c r="U97" s="99"/>
      <c r="V97" s="55"/>
    </row>
    <row r="98" spans="1:22" ht="114.75" x14ac:dyDescent="0.25">
      <c r="A98" s="71"/>
      <c r="B98" s="49" t="s">
        <v>802</v>
      </c>
      <c r="C98" s="50" t="s">
        <v>194</v>
      </c>
      <c r="D98" s="51" t="s">
        <v>99</v>
      </c>
      <c r="E98" s="51" t="s">
        <v>779</v>
      </c>
      <c r="F98" s="54" t="s">
        <v>803</v>
      </c>
      <c r="G98" s="51" t="s">
        <v>804</v>
      </c>
      <c r="H98" s="51" t="s">
        <v>805</v>
      </c>
      <c r="I98" s="51" t="s">
        <v>806</v>
      </c>
      <c r="J98" s="54"/>
      <c r="K98" s="51"/>
      <c r="L98" s="51"/>
      <c r="M98" s="51" t="s">
        <v>104</v>
      </c>
      <c r="N98" s="51" t="s">
        <v>796</v>
      </c>
      <c r="O98" s="51" t="s">
        <v>789</v>
      </c>
      <c r="P98" s="51" t="s">
        <v>790</v>
      </c>
      <c r="Q98" s="54"/>
      <c r="R98" s="54"/>
      <c r="S98" s="51" t="s">
        <v>106</v>
      </c>
      <c r="T98" s="99"/>
      <c r="U98" s="99"/>
      <c r="V98" s="55"/>
    </row>
    <row r="99" spans="1:22" ht="89.25" x14ac:dyDescent="0.25">
      <c r="A99" s="71"/>
      <c r="B99" s="49" t="s">
        <v>807</v>
      </c>
      <c r="C99" s="50" t="s">
        <v>98</v>
      </c>
      <c r="D99" s="51" t="s">
        <v>99</v>
      </c>
      <c r="E99" s="51" t="s">
        <v>808</v>
      </c>
      <c r="F99" s="54" t="s">
        <v>809</v>
      </c>
      <c r="G99" s="51" t="s">
        <v>810</v>
      </c>
      <c r="H99" s="51" t="s">
        <v>811</v>
      </c>
      <c r="I99" s="51" t="s">
        <v>812</v>
      </c>
      <c r="J99" s="54"/>
      <c r="K99" s="51"/>
      <c r="L99" s="51"/>
      <c r="M99" s="51" t="s">
        <v>104</v>
      </c>
      <c r="N99" s="51" t="s">
        <v>813</v>
      </c>
      <c r="O99" s="51" t="s">
        <v>814</v>
      </c>
      <c r="P99" s="51" t="s">
        <v>815</v>
      </c>
      <c r="Q99" s="54"/>
      <c r="R99" s="54"/>
      <c r="S99" s="51" t="s">
        <v>106</v>
      </c>
      <c r="T99" s="99"/>
      <c r="U99" s="99"/>
      <c r="V99" s="55" t="s">
        <v>109</v>
      </c>
    </row>
    <row r="100" spans="1:22" ht="114.75" x14ac:dyDescent="0.25">
      <c r="A100" s="71"/>
      <c r="B100" s="49" t="s">
        <v>816</v>
      </c>
      <c r="C100" s="50" t="s">
        <v>194</v>
      </c>
      <c r="D100" s="51" t="s">
        <v>99</v>
      </c>
      <c r="E100" s="51" t="s">
        <v>808</v>
      </c>
      <c r="F100" s="54" t="s">
        <v>817</v>
      </c>
      <c r="G100" s="51" t="s">
        <v>818</v>
      </c>
      <c r="H100" s="51" t="s">
        <v>819</v>
      </c>
      <c r="I100" s="51" t="s">
        <v>820</v>
      </c>
      <c r="J100" s="54"/>
      <c r="K100" s="51"/>
      <c r="L100" s="51"/>
      <c r="M100" s="51" t="s">
        <v>104</v>
      </c>
      <c r="N100" s="51" t="s">
        <v>788</v>
      </c>
      <c r="O100" s="51" t="s">
        <v>789</v>
      </c>
      <c r="P100" s="51" t="s">
        <v>790</v>
      </c>
      <c r="Q100" s="54"/>
      <c r="R100" s="54"/>
      <c r="S100" s="51" t="s">
        <v>106</v>
      </c>
      <c r="T100" s="99"/>
      <c r="U100" s="99"/>
      <c r="V100" s="55"/>
    </row>
    <row r="101" spans="1:22" ht="165.75" x14ac:dyDescent="0.25">
      <c r="A101" s="72"/>
      <c r="B101" s="49" t="s">
        <v>821</v>
      </c>
      <c r="C101" s="50" t="s">
        <v>98</v>
      </c>
      <c r="D101" s="51" t="s">
        <v>99</v>
      </c>
      <c r="E101" s="51" t="s">
        <v>808</v>
      </c>
      <c r="F101" s="54" t="s">
        <v>822</v>
      </c>
      <c r="G101" s="51" t="s">
        <v>823</v>
      </c>
      <c r="H101" s="51" t="s">
        <v>824</v>
      </c>
      <c r="I101" s="51" t="s">
        <v>825</v>
      </c>
      <c r="J101" s="54"/>
      <c r="K101" s="51"/>
      <c r="L101" s="51"/>
      <c r="M101" s="51" t="s">
        <v>268</v>
      </c>
      <c r="N101" s="51" t="s">
        <v>826</v>
      </c>
      <c r="O101" s="51" t="s">
        <v>827</v>
      </c>
      <c r="P101" s="51" t="s">
        <v>828</v>
      </c>
      <c r="Q101" s="54" t="s">
        <v>829</v>
      </c>
      <c r="R101" s="54" t="s">
        <v>438</v>
      </c>
      <c r="S101" s="51" t="s">
        <v>106</v>
      </c>
      <c r="T101" s="99"/>
      <c r="U101" s="99"/>
      <c r="V101" s="55" t="s">
        <v>109</v>
      </c>
    </row>
    <row r="102" spans="1:22" ht="178.5" x14ac:dyDescent="0.25">
      <c r="A102" s="67" t="s">
        <v>830</v>
      </c>
      <c r="B102" s="49">
        <v>4.8</v>
      </c>
      <c r="C102" s="50" t="s">
        <v>98</v>
      </c>
      <c r="D102" s="51" t="s">
        <v>99</v>
      </c>
      <c r="E102" s="51" t="s">
        <v>831</v>
      </c>
      <c r="F102" s="54" t="s">
        <v>832</v>
      </c>
      <c r="G102" s="51" t="s">
        <v>833</v>
      </c>
      <c r="H102" s="51" t="s">
        <v>834</v>
      </c>
      <c r="I102" s="51" t="s">
        <v>835</v>
      </c>
      <c r="J102" s="54" t="s">
        <v>836</v>
      </c>
      <c r="K102" s="51" t="s">
        <v>837</v>
      </c>
      <c r="L102" s="51" t="s">
        <v>838</v>
      </c>
      <c r="M102" s="51" t="s">
        <v>104</v>
      </c>
      <c r="N102" s="51" t="s">
        <v>444</v>
      </c>
      <c r="O102" s="51" t="s">
        <v>445</v>
      </c>
      <c r="P102" s="51" t="s">
        <v>446</v>
      </c>
      <c r="Q102" s="54"/>
      <c r="R102" s="54"/>
      <c r="S102" s="51" t="s">
        <v>106</v>
      </c>
      <c r="T102" s="99"/>
      <c r="U102" s="99"/>
      <c r="V102" s="55" t="s">
        <v>109</v>
      </c>
    </row>
    <row r="103" spans="1:22" ht="280.5" x14ac:dyDescent="0.25">
      <c r="A103" s="73"/>
      <c r="B103" s="49" t="s">
        <v>839</v>
      </c>
      <c r="C103" s="50" t="s">
        <v>98</v>
      </c>
      <c r="D103" s="51" t="s">
        <v>99</v>
      </c>
      <c r="E103" s="51" t="s">
        <v>831</v>
      </c>
      <c r="F103" s="54" t="s">
        <v>840</v>
      </c>
      <c r="G103" s="51" t="s">
        <v>841</v>
      </c>
      <c r="H103" s="51" t="s">
        <v>842</v>
      </c>
      <c r="I103" s="51" t="s">
        <v>843</v>
      </c>
      <c r="J103" s="54"/>
      <c r="K103" s="52"/>
      <c r="L103" s="52"/>
      <c r="M103" s="51" t="s">
        <v>268</v>
      </c>
      <c r="N103" s="51" t="s">
        <v>844</v>
      </c>
      <c r="O103" s="51" t="s">
        <v>845</v>
      </c>
      <c r="P103" s="51" t="s">
        <v>846</v>
      </c>
      <c r="Q103" s="54" t="s">
        <v>847</v>
      </c>
      <c r="R103" s="54" t="s">
        <v>438</v>
      </c>
      <c r="S103" s="51" t="s">
        <v>106</v>
      </c>
      <c r="T103" s="99"/>
      <c r="U103" s="99"/>
      <c r="V103" s="55" t="s">
        <v>109</v>
      </c>
    </row>
    <row r="104" spans="1:22" ht="114.75" x14ac:dyDescent="0.25">
      <c r="A104" s="64" t="s">
        <v>848</v>
      </c>
      <c r="B104" s="49" t="s">
        <v>849</v>
      </c>
      <c r="C104" s="50" t="s">
        <v>194</v>
      </c>
      <c r="D104" s="51" t="s">
        <v>99</v>
      </c>
      <c r="E104" s="51" t="s">
        <v>850</v>
      </c>
      <c r="F104" s="54" t="s">
        <v>851</v>
      </c>
      <c r="G104" s="51" t="s">
        <v>852</v>
      </c>
      <c r="H104" s="51" t="s">
        <v>853</v>
      </c>
      <c r="I104" s="51" t="s">
        <v>854</v>
      </c>
      <c r="J104" s="54"/>
      <c r="K104" s="52"/>
      <c r="L104" s="52"/>
      <c r="M104" s="51" t="s">
        <v>104</v>
      </c>
      <c r="N104" s="51" t="s">
        <v>855</v>
      </c>
      <c r="O104" s="51" t="s">
        <v>856</v>
      </c>
      <c r="P104" s="51" t="s">
        <v>857</v>
      </c>
      <c r="Q104" s="54"/>
      <c r="R104" s="54"/>
      <c r="S104" s="51" t="s">
        <v>106</v>
      </c>
      <c r="T104" s="99"/>
      <c r="U104" s="99"/>
      <c r="V104" s="55"/>
    </row>
    <row r="105" spans="1:22" ht="127.5" x14ac:dyDescent="0.25">
      <c r="A105" s="65"/>
      <c r="B105" s="49" t="s">
        <v>858</v>
      </c>
      <c r="C105" s="50" t="s">
        <v>194</v>
      </c>
      <c r="D105" s="51" t="s">
        <v>99</v>
      </c>
      <c r="E105" s="51" t="s">
        <v>850</v>
      </c>
      <c r="F105" s="54" t="s">
        <v>859</v>
      </c>
      <c r="G105" s="51" t="s">
        <v>860</v>
      </c>
      <c r="H105" s="51" t="s">
        <v>861</v>
      </c>
      <c r="I105" s="51" t="s">
        <v>862</v>
      </c>
      <c r="J105" s="54"/>
      <c r="K105" s="52"/>
      <c r="L105" s="52"/>
      <c r="M105" s="51" t="s">
        <v>104</v>
      </c>
      <c r="N105" s="51" t="s">
        <v>410</v>
      </c>
      <c r="O105" s="51" t="s">
        <v>411</v>
      </c>
      <c r="P105" s="51" t="s">
        <v>412</v>
      </c>
      <c r="Q105" s="54"/>
      <c r="R105" s="54"/>
      <c r="S105" s="51" t="s">
        <v>106</v>
      </c>
      <c r="T105" s="99"/>
      <c r="U105" s="99"/>
      <c r="V105" s="55"/>
    </row>
    <row r="106" spans="1:22" ht="242.25" x14ac:dyDescent="0.25">
      <c r="A106" s="65"/>
      <c r="B106" s="49" t="s">
        <v>863</v>
      </c>
      <c r="C106" s="50" t="s">
        <v>194</v>
      </c>
      <c r="D106" s="51" t="s">
        <v>99</v>
      </c>
      <c r="E106" s="51" t="s">
        <v>850</v>
      </c>
      <c r="F106" s="54" t="s">
        <v>864</v>
      </c>
      <c r="G106" s="51" t="s">
        <v>865</v>
      </c>
      <c r="H106" s="51" t="s">
        <v>866</v>
      </c>
      <c r="I106" s="51" t="s">
        <v>867</v>
      </c>
      <c r="J106" s="54"/>
      <c r="K106" s="52"/>
      <c r="L106" s="52"/>
      <c r="M106" s="51" t="s">
        <v>268</v>
      </c>
      <c r="N106" s="51" t="s">
        <v>868</v>
      </c>
      <c r="O106" s="51" t="s">
        <v>869</v>
      </c>
      <c r="P106" s="51" t="s">
        <v>870</v>
      </c>
      <c r="Q106" s="54" t="s">
        <v>871</v>
      </c>
      <c r="R106" s="54" t="s">
        <v>438</v>
      </c>
      <c r="S106" s="51" t="s">
        <v>106</v>
      </c>
      <c r="T106" s="99"/>
      <c r="U106" s="99"/>
      <c r="V106" s="55"/>
    </row>
    <row r="107" spans="1:22" ht="114.75" x14ac:dyDescent="0.25">
      <c r="A107" s="65"/>
      <c r="B107" s="49" t="s">
        <v>872</v>
      </c>
      <c r="C107" s="50" t="s">
        <v>194</v>
      </c>
      <c r="D107" s="51" t="s">
        <v>99</v>
      </c>
      <c r="E107" s="51" t="s">
        <v>873</v>
      </c>
      <c r="F107" s="54" t="s">
        <v>874</v>
      </c>
      <c r="G107" s="51" t="s">
        <v>875</v>
      </c>
      <c r="H107" s="51" t="s">
        <v>876</v>
      </c>
      <c r="I107" s="51" t="s">
        <v>877</v>
      </c>
      <c r="J107" s="54"/>
      <c r="K107" s="52"/>
      <c r="L107" s="52"/>
      <c r="M107" s="51" t="s">
        <v>104</v>
      </c>
      <c r="N107" s="51" t="s">
        <v>410</v>
      </c>
      <c r="O107" s="51" t="s">
        <v>411</v>
      </c>
      <c r="P107" s="51" t="s">
        <v>412</v>
      </c>
      <c r="Q107" s="54"/>
      <c r="R107" s="54"/>
      <c r="S107" s="51" t="s">
        <v>106</v>
      </c>
      <c r="T107" s="99"/>
      <c r="U107" s="99"/>
      <c r="V107" s="55"/>
    </row>
    <row r="108" spans="1:22" ht="204" x14ac:dyDescent="0.25">
      <c r="A108" s="68"/>
      <c r="B108" s="49" t="s">
        <v>878</v>
      </c>
      <c r="C108" s="50" t="s">
        <v>98</v>
      </c>
      <c r="D108" s="51" t="s">
        <v>99</v>
      </c>
      <c r="E108" s="51" t="s">
        <v>476</v>
      </c>
      <c r="F108" s="54" t="s">
        <v>879</v>
      </c>
      <c r="G108" s="51" t="s">
        <v>880</v>
      </c>
      <c r="H108" s="51" t="s">
        <v>881</v>
      </c>
      <c r="I108" s="51" t="s">
        <v>882</v>
      </c>
      <c r="J108" s="54"/>
      <c r="K108" s="52"/>
      <c r="L108" s="52"/>
      <c r="M108" s="51" t="s">
        <v>268</v>
      </c>
      <c r="N108" s="51" t="s">
        <v>883</v>
      </c>
      <c r="O108" s="51" t="s">
        <v>884</v>
      </c>
      <c r="P108" s="51" t="s">
        <v>885</v>
      </c>
      <c r="Q108" s="54"/>
      <c r="R108" s="54" t="s">
        <v>438</v>
      </c>
      <c r="S108" s="51" t="s">
        <v>106</v>
      </c>
      <c r="T108" s="99"/>
      <c r="U108" s="99"/>
      <c r="V108" s="55" t="s">
        <v>109</v>
      </c>
    </row>
    <row r="109" spans="1:22" ht="38.25" x14ac:dyDescent="0.25">
      <c r="A109" s="101" t="s">
        <v>886</v>
      </c>
      <c r="B109" s="49">
        <v>0.31</v>
      </c>
      <c r="C109" s="50" t="s">
        <v>98</v>
      </c>
      <c r="D109" s="51" t="s">
        <v>99</v>
      </c>
      <c r="E109" s="51" t="s">
        <v>887</v>
      </c>
      <c r="F109" s="54" t="s">
        <v>888</v>
      </c>
      <c r="G109" s="51" t="s">
        <v>889</v>
      </c>
      <c r="H109" s="51" t="s">
        <v>890</v>
      </c>
      <c r="I109" s="51" t="s">
        <v>891</v>
      </c>
      <c r="J109" s="54"/>
      <c r="K109" s="52"/>
      <c r="L109" s="52"/>
      <c r="M109" s="51" t="s">
        <v>892</v>
      </c>
      <c r="N109" s="51"/>
      <c r="O109" s="51"/>
      <c r="P109" s="51"/>
      <c r="Q109" s="54"/>
      <c r="R109" s="54"/>
      <c r="S109" s="51" t="s">
        <v>106</v>
      </c>
      <c r="T109" s="99"/>
      <c r="U109" s="99"/>
      <c r="V109" s="55" t="s">
        <v>109</v>
      </c>
    </row>
    <row r="110" spans="1:22" ht="25.5" x14ac:dyDescent="0.25">
      <c r="A110" s="102"/>
      <c r="B110" s="57"/>
      <c r="C110" s="50" t="s">
        <v>98</v>
      </c>
      <c r="D110" s="51" t="s">
        <v>99</v>
      </c>
      <c r="E110" s="51" t="s">
        <v>893</v>
      </c>
      <c r="F110" s="54" t="s">
        <v>894</v>
      </c>
      <c r="G110" s="51" t="s">
        <v>132</v>
      </c>
      <c r="H110" s="51" t="s">
        <v>895</v>
      </c>
      <c r="I110" s="51" t="s">
        <v>896</v>
      </c>
      <c r="J110" s="54"/>
      <c r="K110" s="52"/>
      <c r="L110" s="52"/>
      <c r="M110" s="51" t="s">
        <v>122</v>
      </c>
      <c r="N110" s="51"/>
      <c r="O110" s="51"/>
      <c r="P110" s="51"/>
      <c r="Q110" s="54"/>
      <c r="R110" s="54"/>
      <c r="S110" s="51"/>
      <c r="T110" s="99"/>
      <c r="U110" s="99"/>
      <c r="V110" s="55"/>
    </row>
    <row r="111" spans="1:22" ht="26.25" thickBot="1" x14ac:dyDescent="0.3">
      <c r="A111" s="103"/>
      <c r="B111" s="74"/>
      <c r="C111" s="75" t="s">
        <v>98</v>
      </c>
      <c r="D111" s="76" t="s">
        <v>99</v>
      </c>
      <c r="E111" s="76" t="s">
        <v>887</v>
      </c>
      <c r="F111" s="77" t="s">
        <v>897</v>
      </c>
      <c r="G111" s="76" t="s">
        <v>898</v>
      </c>
      <c r="H111" s="76" t="s">
        <v>899</v>
      </c>
      <c r="I111" s="76" t="s">
        <v>900</v>
      </c>
      <c r="J111" s="77"/>
      <c r="K111" s="77"/>
      <c r="L111" s="77"/>
      <c r="M111" s="78" t="s">
        <v>892</v>
      </c>
      <c r="N111" s="76"/>
      <c r="O111" s="76"/>
      <c r="P111" s="76"/>
      <c r="Q111" s="80"/>
      <c r="R111" s="77"/>
      <c r="S111" s="78"/>
      <c r="T111" s="100"/>
      <c r="U111" s="100"/>
      <c r="V111" s="79"/>
    </row>
  </sheetData>
  <mergeCells count="3">
    <mergeCell ref="T2:T111"/>
    <mergeCell ref="U2:U111"/>
    <mergeCell ref="A109:A111"/>
  </mergeCells>
  <conditionalFormatting sqref="A1:U1 C2:C111">
    <cfRule type="cellIs" dxfId="4" priority="1" operator="equal">
      <formula>"Remove?"</formula>
    </cfRule>
    <cfRule type="cellIs" dxfId="3" priority="2" operator="equal">
      <formula>"BNF &amp; Non-BNF"</formula>
    </cfRule>
    <cfRule type="cellIs" dxfId="2" priority="3" operator="equal">
      <formula>"Non-BNF"</formula>
    </cfRule>
    <cfRule type="cellIs" dxfId="1" priority="4" operator="equal">
      <formula>"BNF"</formula>
    </cfRule>
  </conditionalFormatting>
  <conditionalFormatting sqref="B76:B80 B72:B74 B41:B70 B2:B39 B83:B111">
    <cfRule type="duplicateValues" dxfId="0" priority="5"/>
  </conditionalFormatting>
  <dataValidations count="1">
    <dataValidation type="list" allowBlank="1" showInputMessage="1" showErrorMessage="1" sqref="C1:C111" xr:uid="{CB437D3C-3A77-4EAA-8578-4D4F64DD8FA3}">
      <formula1>"BNF, Non-BNF, BNF &amp; Non-BNF, Remove?"</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4BD5F-6904-4B0B-A067-B3F9770330DD}">
  <sheetPr>
    <tabColor theme="0" tint="-0.249977111117893"/>
  </sheetPr>
  <dimension ref="A1:F10"/>
  <sheetViews>
    <sheetView workbookViewId="0">
      <pane ySplit="1" topLeftCell="A2" activePane="bottomLeft" state="frozen"/>
      <selection pane="bottomLeft" activeCell="H8" sqref="H8"/>
    </sheetView>
  </sheetViews>
  <sheetFormatPr defaultColWidth="8.85546875" defaultRowHeight="15" x14ac:dyDescent="0.25"/>
  <cols>
    <col min="1" max="4" width="14.5703125" style="10" customWidth="1"/>
    <col min="5" max="16384" width="8.85546875" style="10"/>
  </cols>
  <sheetData>
    <row r="1" spans="1:6" s="30" customFormat="1" ht="47.25" x14ac:dyDescent="0.25">
      <c r="A1" s="40" t="s">
        <v>65</v>
      </c>
      <c r="B1" s="41" t="s">
        <v>66</v>
      </c>
      <c r="C1" s="41" t="s">
        <v>31</v>
      </c>
      <c r="D1" s="41" t="s">
        <v>67</v>
      </c>
      <c r="E1" s="41" t="s">
        <v>32</v>
      </c>
      <c r="F1" s="42" t="s">
        <v>33</v>
      </c>
    </row>
    <row r="2" spans="1:6" x14ac:dyDescent="0.25">
      <c r="A2" s="106" t="s">
        <v>68</v>
      </c>
      <c r="B2" s="107" t="s">
        <v>69</v>
      </c>
      <c r="C2" s="43" t="s">
        <v>70</v>
      </c>
      <c r="D2" s="109">
        <v>31700</v>
      </c>
      <c r="E2" s="43">
        <v>73</v>
      </c>
      <c r="F2" s="44">
        <v>19</v>
      </c>
    </row>
    <row r="3" spans="1:6" x14ac:dyDescent="0.25">
      <c r="A3" s="106"/>
      <c r="B3" s="108"/>
      <c r="C3" s="43" t="s">
        <v>71</v>
      </c>
      <c r="D3" s="109"/>
      <c r="E3" s="43">
        <v>86</v>
      </c>
      <c r="F3" s="44">
        <v>75</v>
      </c>
    </row>
    <row r="4" spans="1:6" x14ac:dyDescent="0.25">
      <c r="A4" s="106"/>
      <c r="B4" s="107" t="s">
        <v>72</v>
      </c>
      <c r="C4" s="43" t="s">
        <v>70</v>
      </c>
      <c r="D4" s="109">
        <v>602308</v>
      </c>
      <c r="E4" s="43">
        <v>75</v>
      </c>
      <c r="F4" s="44">
        <v>65</v>
      </c>
    </row>
    <row r="5" spans="1:6" x14ac:dyDescent="0.25">
      <c r="A5" s="106"/>
      <c r="B5" s="108"/>
      <c r="C5" s="43" t="s">
        <v>71</v>
      </c>
      <c r="D5" s="109"/>
      <c r="E5" s="43">
        <v>85</v>
      </c>
      <c r="F5" s="44">
        <v>138</v>
      </c>
    </row>
    <row r="6" spans="1:6" x14ac:dyDescent="0.25">
      <c r="A6" s="106" t="s">
        <v>73</v>
      </c>
      <c r="B6" s="107" t="s">
        <v>69</v>
      </c>
      <c r="C6" s="43" t="s">
        <v>70</v>
      </c>
      <c r="D6" s="109">
        <v>9706</v>
      </c>
      <c r="E6" s="43">
        <v>30</v>
      </c>
      <c r="F6" s="44">
        <v>16</v>
      </c>
    </row>
    <row r="7" spans="1:6" x14ac:dyDescent="0.25">
      <c r="A7" s="106"/>
      <c r="B7" s="108"/>
      <c r="C7" s="43" t="s">
        <v>71</v>
      </c>
      <c r="D7" s="109"/>
      <c r="E7" s="43">
        <v>30</v>
      </c>
      <c r="F7" s="44">
        <v>39</v>
      </c>
    </row>
    <row r="8" spans="1:6" x14ac:dyDescent="0.25">
      <c r="A8" s="106"/>
      <c r="B8" s="107" t="s">
        <v>72</v>
      </c>
      <c r="C8" s="43" t="s">
        <v>70</v>
      </c>
      <c r="D8" s="109">
        <v>1101494</v>
      </c>
      <c r="E8" s="43">
        <v>30</v>
      </c>
      <c r="F8" s="44">
        <v>21</v>
      </c>
    </row>
    <row r="9" spans="1:6" x14ac:dyDescent="0.25">
      <c r="A9" s="106"/>
      <c r="B9" s="108"/>
      <c r="C9" s="43" t="s">
        <v>71</v>
      </c>
      <c r="D9" s="109"/>
      <c r="E9" s="43">
        <v>30</v>
      </c>
      <c r="F9" s="44">
        <v>62</v>
      </c>
    </row>
    <row r="10" spans="1:6" ht="15.75" thickBot="1" x14ac:dyDescent="0.3">
      <c r="A10" s="104" t="s">
        <v>74</v>
      </c>
      <c r="B10" s="105"/>
      <c r="C10" s="105"/>
      <c r="D10" s="45">
        <f>SUM(D2:D9)</f>
        <v>1745208</v>
      </c>
      <c r="E10" s="46">
        <f t="shared" ref="E10" si="0">SUM(E2:E9)</f>
        <v>439</v>
      </c>
      <c r="F10" s="47">
        <f>SUM(F2:F9)</f>
        <v>435</v>
      </c>
    </row>
  </sheetData>
  <mergeCells count="11">
    <mergeCell ref="A10:C10"/>
    <mergeCell ref="A2:A5"/>
    <mergeCell ref="B2:B3"/>
    <mergeCell ref="D2:D3"/>
    <mergeCell ref="B4:B5"/>
    <mergeCell ref="D4:D5"/>
    <mergeCell ref="A6:A9"/>
    <mergeCell ref="B6:B7"/>
    <mergeCell ref="D6:D7"/>
    <mergeCell ref="B8:B9"/>
    <mergeCell ref="D8:D9"/>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FDF4B-071C-4BBE-B9C9-C8A1BCAD7ED6}">
  <sheetPr>
    <tabColor theme="0" tint="-0.249977111117893"/>
  </sheetPr>
  <dimension ref="A1:LF298"/>
  <sheetViews>
    <sheetView topLeftCell="KD1" workbookViewId="0">
      <pane ySplit="1" topLeftCell="A2" activePane="bottomLeft" state="frozen"/>
      <selection pane="bottomLeft" activeCell="KP1" sqref="KP1"/>
    </sheetView>
  </sheetViews>
  <sheetFormatPr defaultColWidth="11.42578125" defaultRowHeight="15" x14ac:dyDescent="0.25"/>
  <cols>
    <col min="10" max="29" width="11.42578125" bestFit="1" customWidth="1"/>
    <col min="32" max="110" width="11.42578125" bestFit="1" customWidth="1"/>
  </cols>
  <sheetData>
    <row r="1" spans="1:318" ht="15.75" x14ac:dyDescent="0.25">
      <c r="A1" s="93" t="s">
        <v>1032</v>
      </c>
      <c r="B1" s="93" t="s">
        <v>1033</v>
      </c>
      <c r="C1" s="93" t="s">
        <v>1034</v>
      </c>
      <c r="D1" s="93" t="s">
        <v>1035</v>
      </c>
      <c r="E1" s="93" t="s">
        <v>930</v>
      </c>
      <c r="F1" s="93" t="s">
        <v>1036</v>
      </c>
      <c r="G1" s="93" t="s">
        <v>927</v>
      </c>
      <c r="H1" s="93" t="s">
        <v>938</v>
      </c>
      <c r="I1" s="93" t="s">
        <v>1037</v>
      </c>
      <c r="J1" s="93" t="s">
        <v>1038</v>
      </c>
      <c r="K1" s="93" t="s">
        <v>1039</v>
      </c>
      <c r="L1" s="93" t="s">
        <v>1040</v>
      </c>
      <c r="M1" s="93" t="s">
        <v>1041</v>
      </c>
      <c r="N1" s="93" t="s">
        <v>1042</v>
      </c>
      <c r="O1" s="93" t="s">
        <v>1043</v>
      </c>
      <c r="P1" s="93" t="s">
        <v>1044</v>
      </c>
      <c r="Q1" s="93" t="s">
        <v>1045</v>
      </c>
      <c r="R1" s="93" t="s">
        <v>1046</v>
      </c>
      <c r="S1" s="93" t="s">
        <v>1047</v>
      </c>
      <c r="T1" s="93" t="s">
        <v>1048</v>
      </c>
      <c r="U1" s="93" t="s">
        <v>1049</v>
      </c>
      <c r="V1" s="93" t="s">
        <v>1050</v>
      </c>
      <c r="W1" s="93" t="s">
        <v>1051</v>
      </c>
      <c r="X1" s="93" t="s">
        <v>1052</v>
      </c>
      <c r="Y1" s="93" t="s">
        <v>1053</v>
      </c>
      <c r="Z1" s="93" t="s">
        <v>1054</v>
      </c>
      <c r="AA1" s="93" t="s">
        <v>1055</v>
      </c>
      <c r="AB1" s="93" t="s">
        <v>939</v>
      </c>
      <c r="AC1" s="93" t="s">
        <v>940</v>
      </c>
      <c r="AD1" s="93" t="s">
        <v>941</v>
      </c>
      <c r="AE1" s="93" t="s">
        <v>1056</v>
      </c>
      <c r="AF1" s="93" t="s">
        <v>1057</v>
      </c>
      <c r="AG1" s="93" t="s">
        <v>1058</v>
      </c>
      <c r="AH1" s="93" t="s">
        <v>931</v>
      </c>
      <c r="AI1" s="93" t="s">
        <v>1059</v>
      </c>
      <c r="AJ1" s="93" t="s">
        <v>929</v>
      </c>
      <c r="AK1" s="93" t="s">
        <v>1060</v>
      </c>
      <c r="AL1" s="93" t="s">
        <v>1061</v>
      </c>
      <c r="AM1" s="93" t="s">
        <v>1062</v>
      </c>
      <c r="AN1" s="93" t="s">
        <v>1063</v>
      </c>
      <c r="AO1" s="93" t="s">
        <v>1064</v>
      </c>
      <c r="AP1" s="93" t="s">
        <v>1065</v>
      </c>
      <c r="AQ1" s="93" t="s">
        <v>1066</v>
      </c>
      <c r="AR1" s="93" t="s">
        <v>1067</v>
      </c>
      <c r="AS1" s="93" t="s">
        <v>1068</v>
      </c>
      <c r="AT1" s="93" t="s">
        <v>1069</v>
      </c>
      <c r="AU1" s="93" t="s">
        <v>1070</v>
      </c>
      <c r="AV1" s="93" t="s">
        <v>1071</v>
      </c>
      <c r="AW1" s="93" t="s">
        <v>1072</v>
      </c>
      <c r="AX1" s="93" t="s">
        <v>1073</v>
      </c>
      <c r="AY1" s="93" t="s">
        <v>1074</v>
      </c>
      <c r="AZ1" s="93" t="s">
        <v>1075</v>
      </c>
      <c r="BA1" s="93" t="s">
        <v>1076</v>
      </c>
      <c r="BB1" s="93" t="s">
        <v>1077</v>
      </c>
      <c r="BC1" s="93" t="s">
        <v>1078</v>
      </c>
      <c r="BD1" s="93" t="s">
        <v>1079</v>
      </c>
      <c r="BE1" s="93" t="s">
        <v>1080</v>
      </c>
      <c r="BF1" s="93" t="s">
        <v>1081</v>
      </c>
      <c r="BG1" s="93" t="s">
        <v>1082</v>
      </c>
      <c r="BH1" s="93" t="s">
        <v>1083</v>
      </c>
      <c r="BI1" s="93" t="s">
        <v>1084</v>
      </c>
      <c r="BJ1" s="93" t="s">
        <v>1085</v>
      </c>
      <c r="BK1" s="93" t="s">
        <v>1086</v>
      </c>
      <c r="BL1" s="93" t="s">
        <v>1087</v>
      </c>
      <c r="BM1" s="93" t="s">
        <v>1088</v>
      </c>
      <c r="BN1" s="93" t="s">
        <v>1089</v>
      </c>
      <c r="BO1" s="93" t="s">
        <v>1090</v>
      </c>
      <c r="BP1" s="93" t="s">
        <v>1091</v>
      </c>
      <c r="BQ1" s="93" t="s">
        <v>1092</v>
      </c>
      <c r="BR1" s="93" t="s">
        <v>1093</v>
      </c>
      <c r="BS1" s="93" t="s">
        <v>1094</v>
      </c>
      <c r="BT1" s="93" t="s">
        <v>1095</v>
      </c>
      <c r="BU1" s="93" t="s">
        <v>1096</v>
      </c>
      <c r="BV1" s="93" t="s">
        <v>1097</v>
      </c>
      <c r="BW1" s="93" t="s">
        <v>1098</v>
      </c>
      <c r="BX1" s="93" t="s">
        <v>1099</v>
      </c>
      <c r="BY1" s="93" t="s">
        <v>1100</v>
      </c>
      <c r="BZ1" s="93" t="s">
        <v>1101</v>
      </c>
      <c r="CA1" s="93" t="s">
        <v>1102</v>
      </c>
      <c r="CB1" s="93" t="s">
        <v>1103</v>
      </c>
      <c r="CC1" s="93" t="s">
        <v>1104</v>
      </c>
      <c r="CD1" s="93" t="s">
        <v>1105</v>
      </c>
      <c r="CE1" s="93" t="s">
        <v>1106</v>
      </c>
      <c r="CF1" s="93" t="s">
        <v>1107</v>
      </c>
      <c r="CG1" s="93" t="s">
        <v>1108</v>
      </c>
      <c r="CH1" s="93" t="s">
        <v>1109</v>
      </c>
      <c r="CI1" s="93" t="s">
        <v>1110</v>
      </c>
      <c r="CJ1" s="93" t="s">
        <v>1111</v>
      </c>
      <c r="CK1" s="93" t="s">
        <v>1112</v>
      </c>
      <c r="CL1" s="93" t="s">
        <v>1113</v>
      </c>
      <c r="CM1" s="93" t="s">
        <v>1114</v>
      </c>
      <c r="CN1" s="93" t="s">
        <v>1115</v>
      </c>
      <c r="CO1" s="93" t="s">
        <v>1116</v>
      </c>
      <c r="CP1" s="93" t="s">
        <v>1117</v>
      </c>
      <c r="CQ1" s="93" t="s">
        <v>1118</v>
      </c>
      <c r="CR1" s="93" t="s">
        <v>1119</v>
      </c>
      <c r="CS1" s="93" t="s">
        <v>1120</v>
      </c>
      <c r="CT1" s="93" t="s">
        <v>928</v>
      </c>
      <c r="CU1" s="93" t="s">
        <v>1121</v>
      </c>
      <c r="CV1" s="93" t="s">
        <v>1122</v>
      </c>
      <c r="CW1" s="93" t="s">
        <v>1123</v>
      </c>
      <c r="CX1" s="93" t="s">
        <v>1124</v>
      </c>
      <c r="CY1" s="93" t="s">
        <v>1125</v>
      </c>
      <c r="CZ1" s="93" t="s">
        <v>1126</v>
      </c>
      <c r="DA1" s="93" t="s">
        <v>1127</v>
      </c>
      <c r="DB1" s="93" t="s">
        <v>1128</v>
      </c>
      <c r="DC1" s="93" t="s">
        <v>1129</v>
      </c>
      <c r="DD1" s="93" t="s">
        <v>1130</v>
      </c>
      <c r="DE1" s="93" t="s">
        <v>1131</v>
      </c>
      <c r="DF1" s="93" t="s">
        <v>942</v>
      </c>
      <c r="DG1" s="93" t="s">
        <v>1132</v>
      </c>
      <c r="DH1" s="93" t="s">
        <v>1133</v>
      </c>
      <c r="DI1" s="93" t="s">
        <v>1134</v>
      </c>
      <c r="DJ1" s="93" t="s">
        <v>1135</v>
      </c>
      <c r="DK1" s="93" t="s">
        <v>1136</v>
      </c>
      <c r="DL1" s="93" t="s">
        <v>1137</v>
      </c>
      <c r="DM1" s="93" t="s">
        <v>1138</v>
      </c>
      <c r="DN1" s="93" t="s">
        <v>1139</v>
      </c>
      <c r="DO1" s="93" t="s">
        <v>1140</v>
      </c>
      <c r="DP1" s="93" t="s">
        <v>1141</v>
      </c>
      <c r="DQ1" s="93" t="s">
        <v>1142</v>
      </c>
      <c r="DR1" s="93" t="s">
        <v>1143</v>
      </c>
      <c r="DS1" s="93" t="s">
        <v>1144</v>
      </c>
      <c r="DT1" s="93" t="s">
        <v>1145</v>
      </c>
      <c r="DU1" s="93" t="s">
        <v>1146</v>
      </c>
      <c r="DV1" s="93" t="s">
        <v>1147</v>
      </c>
      <c r="DW1" s="93" t="s">
        <v>1148</v>
      </c>
      <c r="DX1" s="93" t="s">
        <v>1149</v>
      </c>
      <c r="DY1" s="93" t="s">
        <v>944</v>
      </c>
      <c r="DZ1" s="93" t="s">
        <v>943</v>
      </c>
      <c r="EA1" s="93" t="s">
        <v>1150</v>
      </c>
      <c r="EB1" s="93" t="s">
        <v>1151</v>
      </c>
      <c r="EC1" s="93" t="s">
        <v>946</v>
      </c>
      <c r="ED1" s="93" t="s">
        <v>945</v>
      </c>
      <c r="EE1" s="93" t="s">
        <v>1152</v>
      </c>
      <c r="EF1" s="93" t="s">
        <v>1153</v>
      </c>
      <c r="EG1" s="93" t="s">
        <v>1154</v>
      </c>
      <c r="EH1" s="93" t="s">
        <v>1155</v>
      </c>
      <c r="EI1" s="93" t="s">
        <v>1156</v>
      </c>
      <c r="EJ1" s="93" t="s">
        <v>1157</v>
      </c>
      <c r="EK1" s="93" t="s">
        <v>1158</v>
      </c>
      <c r="EL1" s="93" t="s">
        <v>1159</v>
      </c>
      <c r="EM1" s="93" t="s">
        <v>1160</v>
      </c>
      <c r="EN1" s="93" t="s">
        <v>1161</v>
      </c>
      <c r="EO1" s="93" t="s">
        <v>1162</v>
      </c>
      <c r="EP1" s="93" t="s">
        <v>1163</v>
      </c>
      <c r="EQ1" s="93" t="s">
        <v>1164</v>
      </c>
      <c r="ER1" s="93" t="s">
        <v>1165</v>
      </c>
      <c r="ES1" s="93" t="s">
        <v>1166</v>
      </c>
      <c r="ET1" s="93" t="s">
        <v>1167</v>
      </c>
      <c r="EU1" s="93" t="s">
        <v>1168</v>
      </c>
      <c r="EV1" s="93" t="s">
        <v>1169</v>
      </c>
      <c r="EW1" s="93" t="s">
        <v>1170</v>
      </c>
      <c r="EX1" s="93" t="s">
        <v>1171</v>
      </c>
      <c r="EY1" s="93" t="s">
        <v>1172</v>
      </c>
      <c r="EZ1" s="93" t="s">
        <v>1173</v>
      </c>
      <c r="FA1" s="93" t="s">
        <v>1174</v>
      </c>
      <c r="FB1" s="93" t="s">
        <v>1175</v>
      </c>
      <c r="FC1" s="93" t="s">
        <v>1176</v>
      </c>
      <c r="FD1" s="93" t="s">
        <v>1177</v>
      </c>
      <c r="FE1" s="93" t="s">
        <v>1178</v>
      </c>
      <c r="FF1" s="93" t="s">
        <v>1179</v>
      </c>
      <c r="FG1" s="93" t="s">
        <v>1180</v>
      </c>
      <c r="FH1" s="93" t="s">
        <v>1181</v>
      </c>
      <c r="FI1" s="93" t="s">
        <v>1182</v>
      </c>
      <c r="FJ1" s="93" t="s">
        <v>1183</v>
      </c>
      <c r="FK1" s="93" t="s">
        <v>1184</v>
      </c>
      <c r="FL1" s="93" t="s">
        <v>1185</v>
      </c>
      <c r="FM1" s="93" t="s">
        <v>1186</v>
      </c>
      <c r="FN1" s="93" t="s">
        <v>1187</v>
      </c>
      <c r="FO1" s="93" t="s">
        <v>1188</v>
      </c>
      <c r="FP1" s="93" t="s">
        <v>1189</v>
      </c>
      <c r="FQ1" s="93" t="s">
        <v>1190</v>
      </c>
      <c r="FR1" s="93" t="s">
        <v>1191</v>
      </c>
      <c r="FS1" s="93" t="s">
        <v>1192</v>
      </c>
      <c r="FT1" s="93" t="s">
        <v>1193</v>
      </c>
      <c r="FU1" s="93" t="s">
        <v>1194</v>
      </c>
      <c r="FV1" s="93" t="s">
        <v>1195</v>
      </c>
      <c r="FW1" s="93" t="s">
        <v>1196</v>
      </c>
      <c r="FX1" s="93" t="s">
        <v>1197</v>
      </c>
      <c r="FY1" s="93" t="s">
        <v>1198</v>
      </c>
      <c r="FZ1" s="93" t="s">
        <v>1199</v>
      </c>
      <c r="GA1" s="93" t="s">
        <v>1200</v>
      </c>
      <c r="GB1" s="93" t="s">
        <v>1201</v>
      </c>
      <c r="GC1" s="93" t="s">
        <v>1202</v>
      </c>
      <c r="GD1" s="93" t="s">
        <v>1203</v>
      </c>
      <c r="GE1" s="93" t="s">
        <v>1204</v>
      </c>
      <c r="GF1" s="93" t="s">
        <v>1205</v>
      </c>
      <c r="GG1" s="93" t="s">
        <v>1206</v>
      </c>
      <c r="GH1" s="93" t="s">
        <v>1207</v>
      </c>
      <c r="GI1" s="93" t="s">
        <v>1208</v>
      </c>
      <c r="GJ1" s="93" t="s">
        <v>1209</v>
      </c>
      <c r="GK1" s="93" t="s">
        <v>1210</v>
      </c>
      <c r="GL1" s="93" t="s">
        <v>1211</v>
      </c>
      <c r="GM1" s="93" t="s">
        <v>1212</v>
      </c>
      <c r="GN1" s="93" t="s">
        <v>1213</v>
      </c>
      <c r="GO1" s="93" t="s">
        <v>1214</v>
      </c>
      <c r="GP1" s="93" t="s">
        <v>1215</v>
      </c>
      <c r="GQ1" s="93" t="s">
        <v>1216</v>
      </c>
      <c r="GR1" s="93" t="s">
        <v>1217</v>
      </c>
      <c r="GS1" s="93" t="s">
        <v>1218</v>
      </c>
      <c r="GT1" s="93" t="s">
        <v>1219</v>
      </c>
      <c r="GU1" s="93" t="s">
        <v>1220</v>
      </c>
      <c r="GV1" s="93" t="s">
        <v>1221</v>
      </c>
      <c r="GW1" s="93" t="s">
        <v>1222</v>
      </c>
      <c r="GX1" s="93" t="s">
        <v>1223</v>
      </c>
      <c r="GY1" s="93" t="s">
        <v>1224</v>
      </c>
      <c r="GZ1" s="93" t="s">
        <v>1225</v>
      </c>
      <c r="HA1" s="93" t="s">
        <v>1226</v>
      </c>
      <c r="HB1" s="93" t="s">
        <v>1227</v>
      </c>
      <c r="HC1" s="93" t="s">
        <v>1228</v>
      </c>
      <c r="HD1" s="93" t="s">
        <v>1229</v>
      </c>
      <c r="HE1" s="93" t="s">
        <v>1230</v>
      </c>
      <c r="HF1" s="93" t="s">
        <v>1231</v>
      </c>
      <c r="HG1" s="93" t="s">
        <v>1232</v>
      </c>
      <c r="HH1" s="93" t="s">
        <v>1233</v>
      </c>
      <c r="HI1" s="93" t="s">
        <v>1234</v>
      </c>
      <c r="HJ1" s="93" t="s">
        <v>1235</v>
      </c>
      <c r="HK1" s="93" t="s">
        <v>1236</v>
      </c>
      <c r="HL1" s="93" t="s">
        <v>1237</v>
      </c>
      <c r="HM1" s="93" t="s">
        <v>1238</v>
      </c>
      <c r="HN1" s="93" t="s">
        <v>1239</v>
      </c>
      <c r="HO1" s="93" t="s">
        <v>1240</v>
      </c>
      <c r="HP1" s="93" t="s">
        <v>1241</v>
      </c>
      <c r="HQ1" s="93" t="s">
        <v>1242</v>
      </c>
      <c r="HR1" s="93" t="s">
        <v>1243</v>
      </c>
      <c r="HS1" s="93" t="s">
        <v>1244</v>
      </c>
      <c r="HT1" s="93" t="s">
        <v>1245</v>
      </c>
      <c r="HU1" s="93" t="s">
        <v>1246</v>
      </c>
      <c r="HV1" s="93" t="s">
        <v>1247</v>
      </c>
      <c r="HW1" s="93" t="s">
        <v>1248</v>
      </c>
      <c r="HX1" s="93" t="s">
        <v>1249</v>
      </c>
      <c r="HY1" s="93" t="s">
        <v>1250</v>
      </c>
      <c r="HZ1" s="93" t="s">
        <v>1251</v>
      </c>
      <c r="IA1" s="93" t="s">
        <v>1252</v>
      </c>
      <c r="IB1" s="93" t="s">
        <v>1253</v>
      </c>
      <c r="IC1" s="93" t="s">
        <v>1254</v>
      </c>
      <c r="ID1" s="93" t="s">
        <v>1255</v>
      </c>
      <c r="IE1" s="93" t="s">
        <v>1256</v>
      </c>
      <c r="IF1" s="93" t="s">
        <v>1257</v>
      </c>
      <c r="IG1" s="93" t="s">
        <v>1258</v>
      </c>
      <c r="IH1" s="93" t="s">
        <v>1259</v>
      </c>
      <c r="II1" s="93" t="s">
        <v>1260</v>
      </c>
      <c r="IJ1" s="93" t="s">
        <v>1261</v>
      </c>
      <c r="IK1" s="93" t="s">
        <v>1262</v>
      </c>
      <c r="IL1" s="93" t="s">
        <v>1263</v>
      </c>
      <c r="IM1" s="93" t="s">
        <v>1264</v>
      </c>
      <c r="IN1" s="93" t="s">
        <v>1265</v>
      </c>
      <c r="IO1" s="93" t="s">
        <v>1266</v>
      </c>
      <c r="IP1" s="93" t="s">
        <v>1267</v>
      </c>
      <c r="IQ1" s="93" t="s">
        <v>1268</v>
      </c>
      <c r="IR1" s="93" t="s">
        <v>1269</v>
      </c>
      <c r="IS1" s="93" t="s">
        <v>1270</v>
      </c>
      <c r="IT1" s="93" t="s">
        <v>1271</v>
      </c>
      <c r="IU1" s="93" t="s">
        <v>1272</v>
      </c>
      <c r="IV1" s="93" t="s">
        <v>1273</v>
      </c>
      <c r="IW1" s="93" t="s">
        <v>1274</v>
      </c>
      <c r="IX1" s="93" t="s">
        <v>1275</v>
      </c>
      <c r="IY1" s="93" t="s">
        <v>1276</v>
      </c>
      <c r="IZ1" s="93" t="s">
        <v>1277</v>
      </c>
      <c r="JA1" s="93" t="s">
        <v>1278</v>
      </c>
      <c r="JB1" s="93" t="s">
        <v>1279</v>
      </c>
      <c r="JC1" s="93" t="s">
        <v>1280</v>
      </c>
      <c r="JD1" s="93" t="s">
        <v>1281</v>
      </c>
      <c r="JE1" s="93" t="s">
        <v>1282</v>
      </c>
      <c r="JF1" s="93" t="s">
        <v>1283</v>
      </c>
      <c r="JG1" s="93" t="s">
        <v>1284</v>
      </c>
      <c r="JH1" s="93" t="s">
        <v>1285</v>
      </c>
      <c r="JI1" s="93" t="s">
        <v>1286</v>
      </c>
      <c r="JJ1" s="93" t="s">
        <v>1287</v>
      </c>
      <c r="JK1" s="93" t="s">
        <v>1288</v>
      </c>
      <c r="JL1" s="93" t="s">
        <v>1289</v>
      </c>
      <c r="JM1" s="93" t="s">
        <v>1290</v>
      </c>
      <c r="JN1" s="93" t="s">
        <v>1291</v>
      </c>
      <c r="JO1" s="93" t="s">
        <v>1292</v>
      </c>
      <c r="JP1" s="93" t="s">
        <v>1293</v>
      </c>
      <c r="JQ1" s="93" t="s">
        <v>984</v>
      </c>
      <c r="JR1" s="93" t="s">
        <v>985</v>
      </c>
      <c r="JS1" s="93" t="s">
        <v>936</v>
      </c>
      <c r="JT1" s="93" t="s">
        <v>1294</v>
      </c>
      <c r="JU1" s="93" t="s">
        <v>1295</v>
      </c>
      <c r="JV1" s="93" t="s">
        <v>983</v>
      </c>
      <c r="JW1" s="93" t="s">
        <v>1296</v>
      </c>
      <c r="JX1" s="93" t="s">
        <v>903</v>
      </c>
      <c r="JY1" s="93" t="s">
        <v>1297</v>
      </c>
      <c r="JZ1" s="93" t="s">
        <v>937</v>
      </c>
      <c r="KA1" s="93" t="s">
        <v>905</v>
      </c>
      <c r="KB1" s="93" t="s">
        <v>906</v>
      </c>
      <c r="KC1" s="93" t="s">
        <v>907</v>
      </c>
      <c r="KD1" s="93" t="s">
        <v>909</v>
      </c>
      <c r="KE1" s="93" t="s">
        <v>910</v>
      </c>
      <c r="KF1" s="93" t="s">
        <v>918</v>
      </c>
      <c r="KG1" s="93" t="s">
        <v>911</v>
      </c>
      <c r="KH1" s="93" t="s">
        <v>1298</v>
      </c>
      <c r="KI1" s="93" t="s">
        <v>1299</v>
      </c>
      <c r="KJ1" s="93" t="s">
        <v>1300</v>
      </c>
      <c r="KK1" s="93" t="s">
        <v>1301</v>
      </c>
      <c r="KL1" s="93" t="s">
        <v>916</v>
      </c>
      <c r="KM1" s="93" t="s">
        <v>919</v>
      </c>
      <c r="KN1" s="93" t="s">
        <v>912</v>
      </c>
      <c r="KO1" s="93" t="s">
        <v>915</v>
      </c>
      <c r="KP1" s="93" t="s">
        <v>913</v>
      </c>
      <c r="KQ1" s="93" t="s">
        <v>917</v>
      </c>
      <c r="KR1" s="93" t="s">
        <v>914</v>
      </c>
      <c r="KS1" s="93" t="s">
        <v>920</v>
      </c>
      <c r="KT1" s="93" t="s">
        <v>921</v>
      </c>
      <c r="KU1" s="93" t="s">
        <v>923</v>
      </c>
      <c r="KV1" s="93" t="s">
        <v>924</v>
      </c>
      <c r="KW1" s="93" t="s">
        <v>925</v>
      </c>
      <c r="KX1" s="93" t="s">
        <v>922</v>
      </c>
      <c r="KY1" s="93" t="s">
        <v>926</v>
      </c>
      <c r="KZ1" s="93" t="s">
        <v>902</v>
      </c>
      <c r="LA1" s="93" t="s">
        <v>908</v>
      </c>
      <c r="LB1" s="93" t="s">
        <v>932</v>
      </c>
      <c r="LC1" s="93" t="s">
        <v>5481</v>
      </c>
      <c r="LD1" s="93" t="s">
        <v>5477</v>
      </c>
      <c r="LE1" s="93" t="s">
        <v>7510</v>
      </c>
      <c r="LF1" s="93" t="s">
        <v>7511</v>
      </c>
    </row>
    <row r="2" spans="1:318" x14ac:dyDescent="0.25">
      <c r="A2" t="s">
        <v>1302</v>
      </c>
      <c r="B2" t="s">
        <v>1303</v>
      </c>
      <c r="C2" t="s">
        <v>1304</v>
      </c>
      <c r="D2" t="s">
        <v>1305</v>
      </c>
      <c r="E2" t="s">
        <v>1306</v>
      </c>
      <c r="G2" t="s">
        <v>1307</v>
      </c>
      <c r="H2">
        <v>3</v>
      </c>
      <c r="I2" t="s">
        <v>1307</v>
      </c>
      <c r="J2" t="s">
        <v>1308</v>
      </c>
      <c r="K2" t="s">
        <v>1309</v>
      </c>
      <c r="L2" t="s">
        <v>1309</v>
      </c>
      <c r="M2" t="s">
        <v>1309</v>
      </c>
      <c r="N2" t="s">
        <v>1309</v>
      </c>
      <c r="O2" t="s">
        <v>1309</v>
      </c>
      <c r="P2" t="s">
        <v>1309</v>
      </c>
      <c r="Q2" t="s">
        <v>1310</v>
      </c>
      <c r="R2" t="s">
        <v>1309</v>
      </c>
      <c r="U2" t="s">
        <v>1311</v>
      </c>
      <c r="V2" t="s">
        <v>1312</v>
      </c>
      <c r="W2" t="s">
        <v>1312</v>
      </c>
      <c r="X2" t="s">
        <v>1312</v>
      </c>
      <c r="Y2" t="s">
        <v>1312</v>
      </c>
      <c r="Z2" t="s">
        <v>1312</v>
      </c>
      <c r="AC2">
        <v>2</v>
      </c>
      <c r="AE2">
        <v>10000</v>
      </c>
      <c r="AF2" t="s">
        <v>1313</v>
      </c>
      <c r="AH2" t="s">
        <v>1314</v>
      </c>
      <c r="AJ2" t="s">
        <v>1315</v>
      </c>
      <c r="AL2" t="s">
        <v>1316</v>
      </c>
      <c r="BS2" t="s">
        <v>1307</v>
      </c>
      <c r="CE2" t="s">
        <v>1317</v>
      </c>
      <c r="CF2" t="s">
        <v>1309</v>
      </c>
      <c r="CG2" t="s">
        <v>1309</v>
      </c>
      <c r="CH2" t="s">
        <v>1309</v>
      </c>
      <c r="CI2" t="s">
        <v>1309</v>
      </c>
      <c r="CJ2" t="s">
        <v>1309</v>
      </c>
      <c r="CK2" t="s">
        <v>1309</v>
      </c>
      <c r="CL2" t="s">
        <v>1309</v>
      </c>
      <c r="CM2" t="s">
        <v>1309</v>
      </c>
      <c r="CN2" t="s">
        <v>1310</v>
      </c>
      <c r="CO2" t="s">
        <v>1310</v>
      </c>
      <c r="CP2" t="s">
        <v>1309</v>
      </c>
      <c r="CQ2" t="s">
        <v>1309</v>
      </c>
      <c r="CR2" t="s">
        <v>1309</v>
      </c>
      <c r="CT2" t="s">
        <v>4435</v>
      </c>
      <c r="CV2" t="s">
        <v>1308</v>
      </c>
      <c r="CW2" t="s">
        <v>1310</v>
      </c>
      <c r="CX2" t="s">
        <v>1309</v>
      </c>
      <c r="CY2" t="s">
        <v>1309</v>
      </c>
      <c r="CZ2" t="s">
        <v>1309</v>
      </c>
      <c r="DA2" t="s">
        <v>1309</v>
      </c>
      <c r="DB2" t="s">
        <v>1309</v>
      </c>
      <c r="DC2" t="s">
        <v>1309</v>
      </c>
      <c r="DE2" t="s">
        <v>1318</v>
      </c>
      <c r="DF2" t="s">
        <v>1319</v>
      </c>
      <c r="DG2">
        <v>500</v>
      </c>
      <c r="DH2">
        <v>2500</v>
      </c>
      <c r="DI2">
        <v>850</v>
      </c>
      <c r="DJ2" t="s">
        <v>1318</v>
      </c>
      <c r="DK2">
        <v>1500</v>
      </c>
      <c r="DL2">
        <v>2800</v>
      </c>
      <c r="DM2">
        <v>900</v>
      </c>
      <c r="DN2" t="s">
        <v>1320</v>
      </c>
      <c r="DO2" t="s">
        <v>1310</v>
      </c>
      <c r="DP2" t="s">
        <v>1309</v>
      </c>
      <c r="DQ2" t="s">
        <v>1309</v>
      </c>
      <c r="DR2" t="s">
        <v>1309</v>
      </c>
      <c r="DS2" t="s">
        <v>1309</v>
      </c>
      <c r="DT2" t="s">
        <v>1310</v>
      </c>
      <c r="DU2" t="s">
        <v>1309</v>
      </c>
      <c r="DV2" t="s">
        <v>1309</v>
      </c>
      <c r="DW2" t="s">
        <v>1309</v>
      </c>
      <c r="DY2" t="s">
        <v>1321</v>
      </c>
      <c r="DZ2">
        <v>300</v>
      </c>
      <c r="EA2" t="s">
        <v>1319</v>
      </c>
      <c r="EC2" t="s">
        <v>1322</v>
      </c>
      <c r="ED2">
        <v>500</v>
      </c>
      <c r="EE2" t="s">
        <v>1319</v>
      </c>
      <c r="EG2" t="s">
        <v>5357</v>
      </c>
      <c r="ET2" t="s">
        <v>1307</v>
      </c>
      <c r="EV2" t="s">
        <v>1307</v>
      </c>
      <c r="EX2" t="s">
        <v>1319</v>
      </c>
      <c r="EY2" t="s">
        <v>1319</v>
      </c>
      <c r="FA2" t="s">
        <v>1323</v>
      </c>
      <c r="FB2" t="s">
        <v>1310</v>
      </c>
      <c r="FC2" t="s">
        <v>1309</v>
      </c>
      <c r="FD2" t="s">
        <v>1309</v>
      </c>
      <c r="FE2" t="s">
        <v>1309</v>
      </c>
      <c r="FF2" t="s">
        <v>1309</v>
      </c>
      <c r="FG2" t="s">
        <v>1309</v>
      </c>
      <c r="FH2" t="s">
        <v>1309</v>
      </c>
      <c r="FI2" t="s">
        <v>1309</v>
      </c>
      <c r="FJ2" t="s">
        <v>1309</v>
      </c>
      <c r="FK2" t="s">
        <v>1309</v>
      </c>
      <c r="FL2" t="s">
        <v>1309</v>
      </c>
      <c r="FM2" t="s">
        <v>1309</v>
      </c>
      <c r="FN2" t="s">
        <v>1309</v>
      </c>
      <c r="FO2" t="s">
        <v>1309</v>
      </c>
      <c r="FP2" t="s">
        <v>1309</v>
      </c>
      <c r="FQ2" t="s">
        <v>1309</v>
      </c>
      <c r="FR2" t="s">
        <v>1309</v>
      </c>
      <c r="FT2" t="s">
        <v>1307</v>
      </c>
      <c r="GI2" t="s">
        <v>1324</v>
      </c>
      <c r="GJ2" t="s">
        <v>1324</v>
      </c>
      <c r="GT2" t="s">
        <v>1325</v>
      </c>
      <c r="GU2" t="s">
        <v>1310</v>
      </c>
      <c r="GV2" t="s">
        <v>1309</v>
      </c>
      <c r="GW2" t="s">
        <v>1309</v>
      </c>
      <c r="GX2" t="s">
        <v>1309</v>
      </c>
      <c r="GY2" t="s">
        <v>1309</v>
      </c>
      <c r="GZ2" t="s">
        <v>1309</v>
      </c>
      <c r="HA2" t="s">
        <v>1309</v>
      </c>
      <c r="HB2" t="s">
        <v>1309</v>
      </c>
      <c r="HC2" t="s">
        <v>1309</v>
      </c>
      <c r="HD2" t="s">
        <v>1309</v>
      </c>
      <c r="HE2" t="s">
        <v>1309</v>
      </c>
      <c r="HF2" t="s">
        <v>1309</v>
      </c>
      <c r="HH2" t="s">
        <v>1326</v>
      </c>
      <c r="HI2" t="s">
        <v>1326</v>
      </c>
      <c r="HJ2" t="s">
        <v>1326</v>
      </c>
      <c r="HK2" t="s">
        <v>1327</v>
      </c>
      <c r="HL2" t="s">
        <v>1328</v>
      </c>
      <c r="HM2" t="s">
        <v>1326</v>
      </c>
      <c r="HN2" t="s">
        <v>1329</v>
      </c>
      <c r="HO2" t="s">
        <v>1309</v>
      </c>
      <c r="HP2" t="s">
        <v>1309</v>
      </c>
      <c r="HQ2" t="s">
        <v>1309</v>
      </c>
      <c r="HR2" t="s">
        <v>1310</v>
      </c>
      <c r="HS2" t="s">
        <v>1309</v>
      </c>
      <c r="HT2" t="s">
        <v>1309</v>
      </c>
      <c r="HU2" t="s">
        <v>1309</v>
      </c>
      <c r="HV2" t="s">
        <v>1309</v>
      </c>
      <c r="HW2" t="s">
        <v>1309</v>
      </c>
      <c r="HX2" t="s">
        <v>1309</v>
      </c>
      <c r="HY2" t="s">
        <v>1309</v>
      </c>
      <c r="IA2" t="s">
        <v>1307</v>
      </c>
      <c r="IQ2" t="s">
        <v>1330</v>
      </c>
      <c r="IS2" t="s">
        <v>1331</v>
      </c>
      <c r="JF2" t="s">
        <v>1331</v>
      </c>
      <c r="JG2" t="s">
        <v>1332</v>
      </c>
      <c r="JH2" t="s">
        <v>1309</v>
      </c>
      <c r="JI2" t="s">
        <v>1309</v>
      </c>
      <c r="JJ2" t="s">
        <v>1309</v>
      </c>
      <c r="JK2" t="s">
        <v>1309</v>
      </c>
      <c r="JL2" t="s">
        <v>1310</v>
      </c>
      <c r="JM2" t="s">
        <v>1309</v>
      </c>
      <c r="JN2" t="s">
        <v>1309</v>
      </c>
      <c r="JO2" t="s">
        <v>1309</v>
      </c>
      <c r="JQ2" s="92" t="s">
        <v>1333</v>
      </c>
      <c r="JR2" s="92" t="s">
        <v>1334</v>
      </c>
      <c r="JS2" s="92">
        <v>42</v>
      </c>
      <c r="JT2" s="92" t="s">
        <v>1319</v>
      </c>
      <c r="JU2" s="92" t="s">
        <v>1335</v>
      </c>
      <c r="JV2" s="92" t="s">
        <v>1336</v>
      </c>
      <c r="JW2" s="92" t="s">
        <v>1296</v>
      </c>
      <c r="JX2" s="92" t="s">
        <v>71</v>
      </c>
      <c r="JY2" s="92" t="s">
        <v>5549</v>
      </c>
      <c r="JZ2" s="92" t="s">
        <v>1337</v>
      </c>
      <c r="KA2" s="92" t="s">
        <v>4845</v>
      </c>
      <c r="KB2" s="92" t="s">
        <v>1338</v>
      </c>
      <c r="KC2" s="92" t="s">
        <v>109</v>
      </c>
      <c r="KD2" s="92" t="s">
        <v>4847</v>
      </c>
      <c r="KE2" s="92" t="s">
        <v>1340</v>
      </c>
      <c r="KF2" s="92">
        <v>3850</v>
      </c>
      <c r="KG2" s="92" t="s">
        <v>1340</v>
      </c>
      <c r="KH2" s="92" t="s">
        <v>192</v>
      </c>
      <c r="KI2" s="92" t="s">
        <v>192</v>
      </c>
      <c r="KJ2" s="92" t="s">
        <v>192</v>
      </c>
      <c r="KK2" s="92" t="s">
        <v>192</v>
      </c>
      <c r="KL2" s="92" t="s">
        <v>1341</v>
      </c>
      <c r="KM2" s="92">
        <v>5200</v>
      </c>
      <c r="KN2" s="92" t="s">
        <v>1340</v>
      </c>
      <c r="KO2" s="92" t="s">
        <v>1341</v>
      </c>
      <c r="KP2" s="92" t="s">
        <v>1342</v>
      </c>
      <c r="KQ2" s="92" t="s">
        <v>192</v>
      </c>
      <c r="KR2" s="92">
        <v>8</v>
      </c>
      <c r="KS2" s="92" t="s">
        <v>1343</v>
      </c>
      <c r="KT2" s="92" t="s">
        <v>1344</v>
      </c>
      <c r="KU2" s="92">
        <v>10</v>
      </c>
      <c r="KV2" s="92" t="s">
        <v>1345</v>
      </c>
      <c r="KW2" s="92" t="s">
        <v>1344</v>
      </c>
      <c r="KX2" s="92" t="s">
        <v>1346</v>
      </c>
      <c r="KY2" s="92" t="s">
        <v>1347</v>
      </c>
      <c r="KZ2" s="92" t="s">
        <v>5795</v>
      </c>
      <c r="LA2" s="92" t="s">
        <v>109</v>
      </c>
      <c r="LB2" s="92" t="s">
        <v>109</v>
      </c>
      <c r="LC2" s="92" t="s">
        <v>5566</v>
      </c>
      <c r="LD2" s="92" t="s">
        <v>5566</v>
      </c>
      <c r="LE2" s="92"/>
      <c r="LF2" s="92"/>
    </row>
    <row r="3" spans="1:318" x14ac:dyDescent="0.25">
      <c r="A3" t="s">
        <v>1348</v>
      </c>
      <c r="B3" t="s">
        <v>1349</v>
      </c>
      <c r="C3" t="s">
        <v>1304</v>
      </c>
      <c r="D3" t="s">
        <v>1305</v>
      </c>
      <c r="E3" t="s">
        <v>1306</v>
      </c>
      <c r="G3" t="s">
        <v>1307</v>
      </c>
      <c r="H3">
        <v>5</v>
      </c>
      <c r="I3" t="s">
        <v>1318</v>
      </c>
      <c r="J3" t="s">
        <v>1350</v>
      </c>
      <c r="K3" t="s">
        <v>1309</v>
      </c>
      <c r="L3" t="s">
        <v>1310</v>
      </c>
      <c r="M3" t="s">
        <v>1310</v>
      </c>
      <c r="N3" t="s">
        <v>1310</v>
      </c>
      <c r="O3" t="s">
        <v>1310</v>
      </c>
      <c r="P3" t="s">
        <v>1309</v>
      </c>
      <c r="Q3" t="s">
        <v>1309</v>
      </c>
      <c r="R3" t="s">
        <v>1309</v>
      </c>
      <c r="S3">
        <v>1</v>
      </c>
      <c r="T3">
        <v>2</v>
      </c>
      <c r="U3" t="s">
        <v>1311</v>
      </c>
      <c r="V3" t="s">
        <v>1311</v>
      </c>
      <c r="W3" t="s">
        <v>1312</v>
      </c>
      <c r="X3" t="s">
        <v>1312</v>
      </c>
      <c r="Y3" t="s">
        <v>1312</v>
      </c>
      <c r="Z3" t="s">
        <v>1312</v>
      </c>
      <c r="AA3">
        <v>0</v>
      </c>
      <c r="AC3">
        <v>3</v>
      </c>
      <c r="AD3">
        <v>12000</v>
      </c>
      <c r="AE3">
        <v>10000</v>
      </c>
      <c r="AF3" t="s">
        <v>1351</v>
      </c>
      <c r="AH3" t="s">
        <v>1352</v>
      </c>
      <c r="AJ3" t="s">
        <v>1353</v>
      </c>
      <c r="AL3" t="s">
        <v>1354</v>
      </c>
      <c r="BA3" t="s">
        <v>1354</v>
      </c>
      <c r="BS3" t="s">
        <v>1307</v>
      </c>
      <c r="CE3" t="s">
        <v>1355</v>
      </c>
      <c r="CF3" t="s">
        <v>1309</v>
      </c>
      <c r="CG3" t="s">
        <v>1309</v>
      </c>
      <c r="CH3" t="s">
        <v>1309</v>
      </c>
      <c r="CI3" t="s">
        <v>1309</v>
      </c>
      <c r="CJ3" t="s">
        <v>1309</v>
      </c>
      <c r="CK3" t="s">
        <v>1309</v>
      </c>
      <c r="CL3" t="s">
        <v>1309</v>
      </c>
      <c r="CM3" t="s">
        <v>1309</v>
      </c>
      <c r="CN3" t="s">
        <v>1310</v>
      </c>
      <c r="CO3" t="s">
        <v>1309</v>
      </c>
      <c r="CP3" t="s">
        <v>1309</v>
      </c>
      <c r="CQ3" t="s">
        <v>1309</v>
      </c>
      <c r="CR3" t="s">
        <v>1309</v>
      </c>
      <c r="CT3" t="s">
        <v>4436</v>
      </c>
      <c r="CV3" t="s">
        <v>1357</v>
      </c>
      <c r="CW3" t="s">
        <v>1309</v>
      </c>
      <c r="CX3" t="s">
        <v>1309</v>
      </c>
      <c r="CY3" t="s">
        <v>1309</v>
      </c>
      <c r="CZ3" t="s">
        <v>1309</v>
      </c>
      <c r="DA3" t="s">
        <v>1310</v>
      </c>
      <c r="DB3" t="s">
        <v>1309</v>
      </c>
      <c r="DC3" t="s">
        <v>1309</v>
      </c>
      <c r="DE3" t="s">
        <v>1358</v>
      </c>
      <c r="DF3" t="s">
        <v>1319</v>
      </c>
      <c r="DG3">
        <v>250</v>
      </c>
      <c r="DI3">
        <v>250</v>
      </c>
      <c r="DJ3" t="s">
        <v>1358</v>
      </c>
      <c r="DK3">
        <v>250</v>
      </c>
      <c r="DM3">
        <v>300</v>
      </c>
      <c r="DN3" t="s">
        <v>1320</v>
      </c>
      <c r="DO3" t="s">
        <v>1310</v>
      </c>
      <c r="DP3" t="s">
        <v>1309</v>
      </c>
      <c r="DQ3" t="s">
        <v>1309</v>
      </c>
      <c r="DR3" t="s">
        <v>1309</v>
      </c>
      <c r="DS3" t="s">
        <v>1309</v>
      </c>
      <c r="DT3" t="s">
        <v>1310</v>
      </c>
      <c r="DU3" t="s">
        <v>1309</v>
      </c>
      <c r="DV3" t="s">
        <v>1309</v>
      </c>
      <c r="DW3" t="s">
        <v>1309</v>
      </c>
      <c r="DY3" t="s">
        <v>1359</v>
      </c>
      <c r="DZ3">
        <v>300</v>
      </c>
      <c r="EA3" t="s">
        <v>1319</v>
      </c>
      <c r="EC3" t="s">
        <v>1360</v>
      </c>
      <c r="ED3">
        <v>500</v>
      </c>
      <c r="EE3" t="s">
        <v>1319</v>
      </c>
      <c r="EG3" t="s">
        <v>5356</v>
      </c>
      <c r="EI3" t="s">
        <v>1307</v>
      </c>
      <c r="ET3" t="s">
        <v>1307</v>
      </c>
      <c r="EV3" t="s">
        <v>1319</v>
      </c>
      <c r="EW3" t="s">
        <v>1361</v>
      </c>
      <c r="EX3" t="s">
        <v>1319</v>
      </c>
      <c r="EY3" t="s">
        <v>1319</v>
      </c>
      <c r="EZ3" t="s">
        <v>1319</v>
      </c>
      <c r="FA3" t="s">
        <v>1362</v>
      </c>
      <c r="FB3" t="s">
        <v>1309</v>
      </c>
      <c r="FC3" t="s">
        <v>1309</v>
      </c>
      <c r="FD3" t="s">
        <v>1309</v>
      </c>
      <c r="FE3" t="s">
        <v>1309</v>
      </c>
      <c r="FF3" t="s">
        <v>1309</v>
      </c>
      <c r="FG3" t="s">
        <v>1310</v>
      </c>
      <c r="FH3" t="s">
        <v>1310</v>
      </c>
      <c r="FI3" t="s">
        <v>1310</v>
      </c>
      <c r="FJ3" t="s">
        <v>1310</v>
      </c>
      <c r="FK3" t="s">
        <v>1310</v>
      </c>
      <c r="FL3" t="s">
        <v>1309</v>
      </c>
      <c r="FM3" t="s">
        <v>1309</v>
      </c>
      <c r="FN3" t="s">
        <v>1310</v>
      </c>
      <c r="FO3" t="s">
        <v>1309</v>
      </c>
      <c r="FP3" t="s">
        <v>1309</v>
      </c>
      <c r="FQ3" t="s">
        <v>1309</v>
      </c>
      <c r="FR3" t="s">
        <v>1309</v>
      </c>
      <c r="FT3" t="s">
        <v>1307</v>
      </c>
      <c r="GI3" t="s">
        <v>1324</v>
      </c>
      <c r="GJ3" t="s">
        <v>1324</v>
      </c>
      <c r="GT3" t="s">
        <v>1325</v>
      </c>
      <c r="GU3" t="s">
        <v>1310</v>
      </c>
      <c r="GV3" t="s">
        <v>1309</v>
      </c>
      <c r="GW3" t="s">
        <v>1309</v>
      </c>
      <c r="GX3" t="s">
        <v>1309</v>
      </c>
      <c r="GY3" t="s">
        <v>1309</v>
      </c>
      <c r="GZ3" t="s">
        <v>1309</v>
      </c>
      <c r="HA3" t="s">
        <v>1309</v>
      </c>
      <c r="HB3" t="s">
        <v>1309</v>
      </c>
      <c r="HC3" t="s">
        <v>1309</v>
      </c>
      <c r="HD3" t="s">
        <v>1309</v>
      </c>
      <c r="HE3" t="s">
        <v>1309</v>
      </c>
      <c r="HF3" t="s">
        <v>1309</v>
      </c>
      <c r="HH3" t="s">
        <v>1363</v>
      </c>
      <c r="HI3" t="s">
        <v>1363</v>
      </c>
      <c r="HJ3" t="s">
        <v>1363</v>
      </c>
      <c r="HK3" t="s">
        <v>1363</v>
      </c>
      <c r="HL3" t="s">
        <v>1364</v>
      </c>
      <c r="HM3" t="s">
        <v>1363</v>
      </c>
      <c r="IA3" t="s">
        <v>1307</v>
      </c>
      <c r="IQ3" t="s">
        <v>1365</v>
      </c>
      <c r="IS3" t="s">
        <v>1316</v>
      </c>
      <c r="JF3" t="s">
        <v>1316</v>
      </c>
      <c r="JG3" t="s">
        <v>1332</v>
      </c>
      <c r="JH3" t="s">
        <v>1309</v>
      </c>
      <c r="JI3" t="s">
        <v>1309</v>
      </c>
      <c r="JJ3" t="s">
        <v>1309</v>
      </c>
      <c r="JK3" t="s">
        <v>1309</v>
      </c>
      <c r="JL3" t="s">
        <v>1310</v>
      </c>
      <c r="JM3" t="s">
        <v>1309</v>
      </c>
      <c r="JN3" t="s">
        <v>1309</v>
      </c>
      <c r="JO3" t="s">
        <v>1309</v>
      </c>
      <c r="JQ3" s="92" t="s">
        <v>1366</v>
      </c>
      <c r="JR3" s="92" t="s">
        <v>1367</v>
      </c>
      <c r="JS3" s="92">
        <v>74</v>
      </c>
      <c r="JT3" s="92" t="s">
        <v>1319</v>
      </c>
      <c r="JU3" s="92" t="s">
        <v>1335</v>
      </c>
      <c r="JV3" s="92" t="s">
        <v>1368</v>
      </c>
      <c r="JW3" s="92" t="s">
        <v>1296</v>
      </c>
      <c r="JX3" s="92" t="s">
        <v>70</v>
      </c>
      <c r="JY3" s="92" t="s">
        <v>5549</v>
      </c>
      <c r="JZ3" s="92" t="s">
        <v>1369</v>
      </c>
      <c r="KA3" s="92" t="s">
        <v>4846</v>
      </c>
      <c r="KB3" s="92" t="s">
        <v>1370</v>
      </c>
      <c r="KC3" s="92" t="s">
        <v>109</v>
      </c>
      <c r="KD3" s="92" t="s">
        <v>4848</v>
      </c>
      <c r="KE3" s="92" t="s">
        <v>1371</v>
      </c>
      <c r="KF3" s="92">
        <v>500</v>
      </c>
      <c r="KG3" s="92" t="s">
        <v>1372</v>
      </c>
      <c r="KH3" s="92" t="s">
        <v>192</v>
      </c>
      <c r="KI3" s="92" t="s">
        <v>109</v>
      </c>
      <c r="KJ3" s="92" t="s">
        <v>192</v>
      </c>
      <c r="KK3" s="92" t="s">
        <v>109</v>
      </c>
      <c r="KL3" s="92" t="s">
        <v>1373</v>
      </c>
      <c r="KM3" s="92">
        <v>550</v>
      </c>
      <c r="KN3" s="92" t="s">
        <v>1372</v>
      </c>
      <c r="KO3" s="92" t="s">
        <v>1374</v>
      </c>
      <c r="KP3" s="92" t="s">
        <v>1375</v>
      </c>
      <c r="KQ3" s="92" t="s">
        <v>192</v>
      </c>
      <c r="KR3" s="92"/>
      <c r="KS3" s="92" t="s">
        <v>1343</v>
      </c>
      <c r="KT3" s="92" t="s">
        <v>1344</v>
      </c>
      <c r="KU3" s="92"/>
      <c r="KV3" s="92" t="s">
        <v>1345</v>
      </c>
      <c r="KW3" s="92" t="s">
        <v>1344</v>
      </c>
      <c r="KX3" s="92" t="s">
        <v>1376</v>
      </c>
      <c r="KY3" s="92" t="s">
        <v>1377</v>
      </c>
      <c r="KZ3" s="92" t="s">
        <v>1378</v>
      </c>
      <c r="LA3" s="92" t="s">
        <v>109</v>
      </c>
      <c r="LB3" s="92" t="s">
        <v>109</v>
      </c>
      <c r="LC3" s="92" t="s">
        <v>1372</v>
      </c>
      <c r="LD3" s="92" t="s">
        <v>1372</v>
      </c>
      <c r="LE3" s="92" t="s">
        <v>109</v>
      </c>
      <c r="LF3" s="92" t="s">
        <v>109</v>
      </c>
    </row>
    <row r="4" spans="1:318" x14ac:dyDescent="0.25">
      <c r="A4" t="s">
        <v>1379</v>
      </c>
      <c r="B4" t="s">
        <v>1380</v>
      </c>
      <c r="C4" t="s">
        <v>1304</v>
      </c>
      <c r="D4" t="s">
        <v>1305</v>
      </c>
      <c r="E4" t="s">
        <v>1381</v>
      </c>
      <c r="G4" t="s">
        <v>1319</v>
      </c>
      <c r="H4">
        <v>4</v>
      </c>
      <c r="I4" t="s">
        <v>1358</v>
      </c>
      <c r="J4" t="s">
        <v>1382</v>
      </c>
      <c r="K4" t="s">
        <v>1309</v>
      </c>
      <c r="L4" t="s">
        <v>1310</v>
      </c>
      <c r="M4" t="s">
        <v>1309</v>
      </c>
      <c r="N4" t="s">
        <v>1309</v>
      </c>
      <c r="O4" t="s">
        <v>1309</v>
      </c>
      <c r="P4" t="s">
        <v>1310</v>
      </c>
      <c r="Q4" t="s">
        <v>1309</v>
      </c>
      <c r="R4" t="s">
        <v>1309</v>
      </c>
      <c r="S4">
        <v>3</v>
      </c>
      <c r="U4" t="s">
        <v>1312</v>
      </c>
      <c r="V4" t="s">
        <v>1312</v>
      </c>
      <c r="W4" t="s">
        <v>1312</v>
      </c>
      <c r="X4" t="s">
        <v>1312</v>
      </c>
      <c r="Y4" t="s">
        <v>1312</v>
      </c>
      <c r="Z4" t="s">
        <v>1312</v>
      </c>
      <c r="AC4">
        <v>1</v>
      </c>
      <c r="AD4">
        <v>4000</v>
      </c>
      <c r="AE4">
        <v>3000</v>
      </c>
      <c r="AF4" t="s">
        <v>1351</v>
      </c>
      <c r="AH4" t="s">
        <v>1383</v>
      </c>
      <c r="AJ4" t="s">
        <v>1315</v>
      </c>
      <c r="AL4" t="s">
        <v>1354</v>
      </c>
      <c r="BS4" t="s">
        <v>1307</v>
      </c>
      <c r="CE4" t="s">
        <v>1384</v>
      </c>
      <c r="CF4" t="s">
        <v>1310</v>
      </c>
      <c r="CG4" t="s">
        <v>1309</v>
      </c>
      <c r="CH4" t="s">
        <v>1309</v>
      </c>
      <c r="CI4" t="s">
        <v>1309</v>
      </c>
      <c r="CJ4" t="s">
        <v>1309</v>
      </c>
      <c r="CK4" t="s">
        <v>1309</v>
      </c>
      <c r="CL4" t="s">
        <v>1309</v>
      </c>
      <c r="CM4" t="s">
        <v>1309</v>
      </c>
      <c r="CN4" t="s">
        <v>1309</v>
      </c>
      <c r="CO4" t="s">
        <v>1309</v>
      </c>
      <c r="CP4" t="s">
        <v>1309</v>
      </c>
      <c r="CQ4" t="s">
        <v>1309</v>
      </c>
      <c r="CR4" t="s">
        <v>1309</v>
      </c>
      <c r="CT4" t="s">
        <v>4436</v>
      </c>
      <c r="CV4" t="s">
        <v>1308</v>
      </c>
      <c r="CW4" t="s">
        <v>1310</v>
      </c>
      <c r="CX4" t="s">
        <v>1309</v>
      </c>
      <c r="CY4" t="s">
        <v>1309</v>
      </c>
      <c r="CZ4" t="s">
        <v>1309</v>
      </c>
      <c r="DA4" t="s">
        <v>1309</v>
      </c>
      <c r="DB4" t="s">
        <v>1309</v>
      </c>
      <c r="DC4" t="s">
        <v>1309</v>
      </c>
      <c r="DE4" t="s">
        <v>1318</v>
      </c>
      <c r="DF4" t="s">
        <v>1307</v>
      </c>
      <c r="DI4">
        <v>600</v>
      </c>
      <c r="DJ4" t="s">
        <v>1307</v>
      </c>
      <c r="DM4">
        <v>600</v>
      </c>
      <c r="DN4" t="s">
        <v>1385</v>
      </c>
      <c r="DO4" t="s">
        <v>1309</v>
      </c>
      <c r="DP4" t="s">
        <v>1309</v>
      </c>
      <c r="DQ4" t="s">
        <v>1309</v>
      </c>
      <c r="DR4" t="s">
        <v>1310</v>
      </c>
      <c r="DS4" t="s">
        <v>1309</v>
      </c>
      <c r="DT4" t="s">
        <v>1310</v>
      </c>
      <c r="DU4" t="s">
        <v>1309</v>
      </c>
      <c r="DV4" t="s">
        <v>1309</v>
      </c>
      <c r="DW4" t="s">
        <v>1309</v>
      </c>
      <c r="DY4" t="s">
        <v>1321</v>
      </c>
      <c r="DZ4">
        <v>300</v>
      </c>
      <c r="EA4" t="s">
        <v>1386</v>
      </c>
      <c r="EC4" t="s">
        <v>1387</v>
      </c>
      <c r="ED4">
        <v>500</v>
      </c>
      <c r="EE4" t="s">
        <v>1386</v>
      </c>
      <c r="EG4" t="s">
        <v>5356</v>
      </c>
      <c r="EI4" t="s">
        <v>1307</v>
      </c>
      <c r="ET4" t="s">
        <v>1307</v>
      </c>
      <c r="EV4" t="s">
        <v>1307</v>
      </c>
      <c r="EX4" t="s">
        <v>1319</v>
      </c>
      <c r="EZ4" t="s">
        <v>1307</v>
      </c>
      <c r="FA4" t="s">
        <v>1388</v>
      </c>
      <c r="FB4" t="s">
        <v>1309</v>
      </c>
      <c r="FC4" t="s">
        <v>1309</v>
      </c>
      <c r="FD4" t="s">
        <v>1309</v>
      </c>
      <c r="FE4" t="s">
        <v>1309</v>
      </c>
      <c r="FF4" t="s">
        <v>1309</v>
      </c>
      <c r="FG4" t="s">
        <v>1309</v>
      </c>
      <c r="FH4" t="s">
        <v>1309</v>
      </c>
      <c r="FI4" t="s">
        <v>1309</v>
      </c>
      <c r="FJ4" t="s">
        <v>1309</v>
      </c>
      <c r="FK4" t="s">
        <v>1309</v>
      </c>
      <c r="FL4" t="s">
        <v>1310</v>
      </c>
      <c r="FM4" t="s">
        <v>1309</v>
      </c>
      <c r="FN4" t="s">
        <v>1310</v>
      </c>
      <c r="FO4" t="s">
        <v>1309</v>
      </c>
      <c r="FP4" t="s">
        <v>1309</v>
      </c>
      <c r="FQ4" t="s">
        <v>1309</v>
      </c>
      <c r="FR4" t="s">
        <v>1309</v>
      </c>
      <c r="FT4" t="s">
        <v>1319</v>
      </c>
      <c r="FU4" t="s">
        <v>1389</v>
      </c>
      <c r="FV4" t="s">
        <v>1310</v>
      </c>
      <c r="FW4" t="s">
        <v>1310</v>
      </c>
      <c r="FX4" t="s">
        <v>1309</v>
      </c>
      <c r="FY4" t="s">
        <v>1309</v>
      </c>
      <c r="FZ4" t="s">
        <v>1309</v>
      </c>
      <c r="GA4" t="s">
        <v>1310</v>
      </c>
      <c r="GB4" t="s">
        <v>1309</v>
      </c>
      <c r="GC4" t="s">
        <v>1309</v>
      </c>
      <c r="GD4" t="s">
        <v>1309</v>
      </c>
      <c r="GE4" t="s">
        <v>1309</v>
      </c>
      <c r="GF4" t="s">
        <v>1309</v>
      </c>
      <c r="GG4" t="s">
        <v>1309</v>
      </c>
      <c r="GI4" t="s">
        <v>1324</v>
      </c>
      <c r="GJ4" t="s">
        <v>1324</v>
      </c>
      <c r="GT4" t="s">
        <v>1325</v>
      </c>
      <c r="GU4" t="s">
        <v>1310</v>
      </c>
      <c r="GV4" t="s">
        <v>1309</v>
      </c>
      <c r="GW4" t="s">
        <v>1309</v>
      </c>
      <c r="GX4" t="s">
        <v>1309</v>
      </c>
      <c r="GY4" t="s">
        <v>1309</v>
      </c>
      <c r="GZ4" t="s">
        <v>1309</v>
      </c>
      <c r="HA4" t="s">
        <v>1309</v>
      </c>
      <c r="HB4" t="s">
        <v>1309</v>
      </c>
      <c r="HC4" t="s">
        <v>1309</v>
      </c>
      <c r="HD4" t="s">
        <v>1309</v>
      </c>
      <c r="HE4" t="s">
        <v>1309</v>
      </c>
      <c r="HF4" t="s">
        <v>1309</v>
      </c>
      <c r="HH4" t="s">
        <v>1390</v>
      </c>
      <c r="HI4" t="s">
        <v>1390</v>
      </c>
      <c r="HJ4" t="s">
        <v>1390</v>
      </c>
      <c r="HK4" t="s">
        <v>1390</v>
      </c>
      <c r="HL4" t="s">
        <v>1328</v>
      </c>
      <c r="HM4" t="s">
        <v>1390</v>
      </c>
      <c r="HN4" t="s">
        <v>1391</v>
      </c>
      <c r="HO4" t="s">
        <v>1309</v>
      </c>
      <c r="HP4" t="s">
        <v>1309</v>
      </c>
      <c r="HQ4" t="s">
        <v>1310</v>
      </c>
      <c r="HR4" t="s">
        <v>1310</v>
      </c>
      <c r="HS4" t="s">
        <v>1310</v>
      </c>
      <c r="HT4" t="s">
        <v>1309</v>
      </c>
      <c r="HU4" t="s">
        <v>1309</v>
      </c>
      <c r="HV4" t="s">
        <v>1309</v>
      </c>
      <c r="HW4" t="s">
        <v>1309</v>
      </c>
      <c r="HX4" t="s">
        <v>1309</v>
      </c>
      <c r="HY4" t="s">
        <v>1309</v>
      </c>
      <c r="IA4" t="s">
        <v>1319</v>
      </c>
      <c r="IB4" t="s">
        <v>1392</v>
      </c>
      <c r="IC4" t="s">
        <v>1309</v>
      </c>
      <c r="ID4" t="s">
        <v>1309</v>
      </c>
      <c r="IE4" t="s">
        <v>1309</v>
      </c>
      <c r="IF4" t="s">
        <v>1309</v>
      </c>
      <c r="IG4" t="s">
        <v>1309</v>
      </c>
      <c r="IH4" t="s">
        <v>1309</v>
      </c>
      <c r="II4" t="s">
        <v>1309</v>
      </c>
      <c r="IJ4" t="s">
        <v>1309</v>
      </c>
      <c r="IK4" t="s">
        <v>1310</v>
      </c>
      <c r="IL4" t="s">
        <v>1309</v>
      </c>
      <c r="IM4" t="s">
        <v>1309</v>
      </c>
      <c r="IN4" t="s">
        <v>1309</v>
      </c>
      <c r="IO4" t="s">
        <v>1309</v>
      </c>
      <c r="IQ4" t="s">
        <v>1330</v>
      </c>
      <c r="IS4" t="s">
        <v>1316</v>
      </c>
      <c r="JF4" t="s">
        <v>1331</v>
      </c>
      <c r="JG4" t="s">
        <v>1393</v>
      </c>
      <c r="JH4" t="s">
        <v>1310</v>
      </c>
      <c r="JI4" t="s">
        <v>1309</v>
      </c>
      <c r="JJ4" t="s">
        <v>1309</v>
      </c>
      <c r="JK4" t="s">
        <v>1309</v>
      </c>
      <c r="JL4" t="s">
        <v>1309</v>
      </c>
      <c r="JM4" t="s">
        <v>1309</v>
      </c>
      <c r="JN4" t="s">
        <v>1309</v>
      </c>
      <c r="JO4" t="s">
        <v>1309</v>
      </c>
      <c r="JQ4" s="92" t="s">
        <v>1394</v>
      </c>
      <c r="JR4" s="92" t="s">
        <v>1395</v>
      </c>
      <c r="JS4" s="92">
        <v>25</v>
      </c>
      <c r="JT4" s="92" t="s">
        <v>1319</v>
      </c>
      <c r="JU4" s="92" t="s">
        <v>1396</v>
      </c>
      <c r="JV4" s="92" t="s">
        <v>1336</v>
      </c>
      <c r="JW4" s="92" t="s">
        <v>1296</v>
      </c>
      <c r="JX4" s="92" t="s">
        <v>70</v>
      </c>
      <c r="JY4" s="92" t="s">
        <v>1397</v>
      </c>
      <c r="JZ4" s="92" t="s">
        <v>1398</v>
      </c>
      <c r="KA4" s="92" t="s">
        <v>4845</v>
      </c>
      <c r="KB4" s="92" t="s">
        <v>1399</v>
      </c>
      <c r="KC4" s="92" t="s">
        <v>109</v>
      </c>
      <c r="KD4" s="92" t="s">
        <v>4844</v>
      </c>
      <c r="KE4" s="92" t="s">
        <v>5560</v>
      </c>
      <c r="KF4" s="92">
        <v>600</v>
      </c>
      <c r="KG4" s="92" t="s">
        <v>4438</v>
      </c>
      <c r="KH4" s="92" t="s">
        <v>109</v>
      </c>
      <c r="KI4" s="92" t="s">
        <v>109</v>
      </c>
      <c r="KJ4" s="92" t="s">
        <v>109</v>
      </c>
      <c r="KK4" s="92" t="s">
        <v>109</v>
      </c>
      <c r="KL4" s="92" t="s">
        <v>1374</v>
      </c>
      <c r="KM4" s="92">
        <v>600</v>
      </c>
      <c r="KN4" s="92" t="s">
        <v>4438</v>
      </c>
      <c r="KO4" s="92" t="s">
        <v>1374</v>
      </c>
      <c r="KP4" s="92" t="s">
        <v>1401</v>
      </c>
      <c r="KQ4" s="92" t="s">
        <v>109</v>
      </c>
      <c r="KR4" s="92"/>
      <c r="KS4" s="92" t="s">
        <v>1343</v>
      </c>
      <c r="KT4" s="92" t="s">
        <v>1402</v>
      </c>
      <c r="KU4" s="92"/>
      <c r="KV4" s="92" t="s">
        <v>1345</v>
      </c>
      <c r="KW4" s="92" t="s">
        <v>1402</v>
      </c>
      <c r="KX4" s="92" t="s">
        <v>1346</v>
      </c>
      <c r="KY4" s="92" t="s">
        <v>1347</v>
      </c>
      <c r="KZ4" s="92" t="s">
        <v>1403</v>
      </c>
      <c r="LA4" s="92" t="s">
        <v>109</v>
      </c>
      <c r="LB4" s="92" t="s">
        <v>109</v>
      </c>
      <c r="LC4" s="92" t="s">
        <v>4438</v>
      </c>
      <c r="LD4" s="92" t="s">
        <v>4438</v>
      </c>
      <c r="LE4" s="92" t="s">
        <v>109</v>
      </c>
      <c r="LF4" s="92" t="s">
        <v>109</v>
      </c>
    </row>
    <row r="5" spans="1:318" x14ac:dyDescent="0.25">
      <c r="A5" t="s">
        <v>1404</v>
      </c>
      <c r="B5" t="s">
        <v>1405</v>
      </c>
      <c r="C5" t="s">
        <v>1304</v>
      </c>
      <c r="D5" t="s">
        <v>1305</v>
      </c>
      <c r="E5" t="s">
        <v>1306</v>
      </c>
      <c r="G5" t="s">
        <v>1307</v>
      </c>
      <c r="H5">
        <v>3</v>
      </c>
      <c r="I5" t="s">
        <v>1307</v>
      </c>
      <c r="J5" t="s">
        <v>1406</v>
      </c>
      <c r="K5" t="s">
        <v>1309</v>
      </c>
      <c r="L5" t="s">
        <v>1310</v>
      </c>
      <c r="M5" t="s">
        <v>1309</v>
      </c>
      <c r="N5" t="s">
        <v>1309</v>
      </c>
      <c r="O5" t="s">
        <v>1309</v>
      </c>
      <c r="P5" t="s">
        <v>1309</v>
      </c>
      <c r="Q5" t="s">
        <v>1309</v>
      </c>
      <c r="R5" t="s">
        <v>1309</v>
      </c>
      <c r="S5">
        <v>1</v>
      </c>
      <c r="U5" t="s">
        <v>1311</v>
      </c>
      <c r="V5" t="s">
        <v>1312</v>
      </c>
      <c r="W5" t="s">
        <v>1312</v>
      </c>
      <c r="X5" t="s">
        <v>1312</v>
      </c>
      <c r="Y5" t="s">
        <v>1312</v>
      </c>
      <c r="Z5" t="s">
        <v>1312</v>
      </c>
      <c r="AC5">
        <v>2</v>
      </c>
      <c r="AD5">
        <v>25000</v>
      </c>
      <c r="AE5">
        <v>18000</v>
      </c>
      <c r="AF5" t="s">
        <v>1313</v>
      </c>
      <c r="AH5" t="s">
        <v>1383</v>
      </c>
      <c r="AJ5" t="s">
        <v>1315</v>
      </c>
      <c r="AL5" t="s">
        <v>1316</v>
      </c>
      <c r="BS5" t="s">
        <v>1307</v>
      </c>
      <c r="CE5" t="s">
        <v>1407</v>
      </c>
      <c r="CF5" t="s">
        <v>1309</v>
      </c>
      <c r="CG5" t="s">
        <v>1309</v>
      </c>
      <c r="CH5" t="s">
        <v>1309</v>
      </c>
      <c r="CI5" t="s">
        <v>1309</v>
      </c>
      <c r="CJ5" t="s">
        <v>1310</v>
      </c>
      <c r="CK5" t="s">
        <v>1310</v>
      </c>
      <c r="CL5" t="s">
        <v>1309</v>
      </c>
      <c r="CM5" t="s">
        <v>1310</v>
      </c>
      <c r="CN5" t="s">
        <v>1310</v>
      </c>
      <c r="CO5" t="s">
        <v>1310</v>
      </c>
      <c r="CP5" t="s">
        <v>1309</v>
      </c>
      <c r="CQ5" t="s">
        <v>1309</v>
      </c>
      <c r="CR5" t="s">
        <v>1309</v>
      </c>
      <c r="CT5" t="s">
        <v>4435</v>
      </c>
      <c r="CV5" t="s">
        <v>1357</v>
      </c>
      <c r="CW5" t="s">
        <v>1309</v>
      </c>
      <c r="CX5" t="s">
        <v>1309</v>
      </c>
      <c r="CY5" t="s">
        <v>1309</v>
      </c>
      <c r="CZ5" t="s">
        <v>1309</v>
      </c>
      <c r="DA5" t="s">
        <v>1310</v>
      </c>
      <c r="DB5" t="s">
        <v>1309</v>
      </c>
      <c r="DC5" t="s">
        <v>1309</v>
      </c>
      <c r="DE5" t="s">
        <v>1358</v>
      </c>
      <c r="DF5" t="s">
        <v>1307</v>
      </c>
      <c r="DH5">
        <v>3200</v>
      </c>
      <c r="DI5">
        <v>700</v>
      </c>
      <c r="DJ5" t="s">
        <v>1358</v>
      </c>
      <c r="DL5">
        <v>3500</v>
      </c>
      <c r="DM5">
        <v>800</v>
      </c>
      <c r="DN5" t="s">
        <v>1320</v>
      </c>
      <c r="DO5" t="s">
        <v>1310</v>
      </c>
      <c r="DP5" t="s">
        <v>1309</v>
      </c>
      <c r="DQ5" t="s">
        <v>1309</v>
      </c>
      <c r="DR5" t="s">
        <v>1309</v>
      </c>
      <c r="DS5" t="s">
        <v>1309</v>
      </c>
      <c r="DT5" t="s">
        <v>1310</v>
      </c>
      <c r="DU5" t="s">
        <v>1309</v>
      </c>
      <c r="DV5" t="s">
        <v>1309</v>
      </c>
      <c r="DW5" t="s">
        <v>1309</v>
      </c>
      <c r="DY5" t="s">
        <v>1408</v>
      </c>
      <c r="DZ5">
        <v>500</v>
      </c>
      <c r="EA5" t="s">
        <v>1386</v>
      </c>
      <c r="EC5" t="s">
        <v>1387</v>
      </c>
      <c r="ED5">
        <v>600</v>
      </c>
      <c r="EE5" t="s">
        <v>1386</v>
      </c>
      <c r="EG5" t="s">
        <v>5356</v>
      </c>
      <c r="EI5" t="s">
        <v>1307</v>
      </c>
      <c r="ET5" t="s">
        <v>1307</v>
      </c>
      <c r="EV5" t="s">
        <v>1319</v>
      </c>
      <c r="EW5" t="s">
        <v>1409</v>
      </c>
      <c r="EX5" t="s">
        <v>1319</v>
      </c>
      <c r="FA5" t="s">
        <v>1410</v>
      </c>
      <c r="FB5" t="s">
        <v>1309</v>
      </c>
      <c r="FC5" t="s">
        <v>1309</v>
      </c>
      <c r="FD5" t="s">
        <v>1309</v>
      </c>
      <c r="FE5" t="s">
        <v>1309</v>
      </c>
      <c r="FF5" t="s">
        <v>1309</v>
      </c>
      <c r="FG5" t="s">
        <v>1309</v>
      </c>
      <c r="FH5" t="s">
        <v>1309</v>
      </c>
      <c r="FI5" t="s">
        <v>1310</v>
      </c>
      <c r="FJ5" t="s">
        <v>1309</v>
      </c>
      <c r="FK5" t="s">
        <v>1309</v>
      </c>
      <c r="FL5" t="s">
        <v>1310</v>
      </c>
      <c r="FM5" t="s">
        <v>1310</v>
      </c>
      <c r="FN5" t="s">
        <v>1309</v>
      </c>
      <c r="FO5" t="s">
        <v>1310</v>
      </c>
      <c r="FP5" t="s">
        <v>1309</v>
      </c>
      <c r="FQ5" t="s">
        <v>1309</v>
      </c>
      <c r="FR5" t="s">
        <v>1309</v>
      </c>
      <c r="FT5" t="s">
        <v>1307</v>
      </c>
      <c r="GI5" t="s">
        <v>1411</v>
      </c>
      <c r="GJ5" t="s">
        <v>1411</v>
      </c>
      <c r="GT5" t="s">
        <v>1325</v>
      </c>
      <c r="GU5" t="s">
        <v>1310</v>
      </c>
      <c r="GV5" t="s">
        <v>1309</v>
      </c>
      <c r="GW5" t="s">
        <v>1309</v>
      </c>
      <c r="GX5" t="s">
        <v>1309</v>
      </c>
      <c r="GY5" t="s">
        <v>1309</v>
      </c>
      <c r="GZ5" t="s">
        <v>1309</v>
      </c>
      <c r="HA5" t="s">
        <v>1309</v>
      </c>
      <c r="HB5" t="s">
        <v>1309</v>
      </c>
      <c r="HC5" t="s">
        <v>1309</v>
      </c>
      <c r="HD5" t="s">
        <v>1309</v>
      </c>
      <c r="HE5" t="s">
        <v>1309</v>
      </c>
      <c r="HF5" t="s">
        <v>1309</v>
      </c>
      <c r="HH5" t="s">
        <v>1326</v>
      </c>
      <c r="HI5" t="s">
        <v>1327</v>
      </c>
      <c r="HJ5" t="s">
        <v>1326</v>
      </c>
      <c r="HK5" t="s">
        <v>1327</v>
      </c>
      <c r="HL5" t="s">
        <v>1364</v>
      </c>
      <c r="HM5" t="s">
        <v>1326</v>
      </c>
      <c r="IA5" t="s">
        <v>1319</v>
      </c>
      <c r="IB5" t="s">
        <v>1412</v>
      </c>
      <c r="IC5" t="s">
        <v>1309</v>
      </c>
      <c r="ID5" t="s">
        <v>1310</v>
      </c>
      <c r="IE5" t="s">
        <v>1309</v>
      </c>
      <c r="IF5" t="s">
        <v>1309</v>
      </c>
      <c r="IG5" t="s">
        <v>1310</v>
      </c>
      <c r="IH5" t="s">
        <v>1309</v>
      </c>
      <c r="II5" t="s">
        <v>1309</v>
      </c>
      <c r="IJ5" t="s">
        <v>1309</v>
      </c>
      <c r="IK5" t="s">
        <v>1309</v>
      </c>
      <c r="IL5" t="s">
        <v>1309</v>
      </c>
      <c r="IM5" t="s">
        <v>1309</v>
      </c>
      <c r="IN5" t="s">
        <v>1309</v>
      </c>
      <c r="IO5" t="s">
        <v>1309</v>
      </c>
      <c r="IQ5" t="s">
        <v>1365</v>
      </c>
      <c r="IS5" t="s">
        <v>1331</v>
      </c>
      <c r="JF5" t="s">
        <v>1413</v>
      </c>
      <c r="JG5" t="s">
        <v>1414</v>
      </c>
      <c r="JH5" t="s">
        <v>1309</v>
      </c>
      <c r="JI5" t="s">
        <v>1309</v>
      </c>
      <c r="JJ5" t="s">
        <v>1309</v>
      </c>
      <c r="JK5" t="s">
        <v>1309</v>
      </c>
      <c r="JL5" t="s">
        <v>1309</v>
      </c>
      <c r="JM5" t="s">
        <v>1309</v>
      </c>
      <c r="JN5" t="s">
        <v>1310</v>
      </c>
      <c r="JO5" t="s">
        <v>1309</v>
      </c>
      <c r="JQ5" s="92" t="s">
        <v>1333</v>
      </c>
      <c r="JR5" s="92" t="s">
        <v>1334</v>
      </c>
      <c r="JS5" s="92">
        <v>38</v>
      </c>
      <c r="JT5" s="92" t="s">
        <v>1319</v>
      </c>
      <c r="JU5" s="92" t="s">
        <v>1335</v>
      </c>
      <c r="JV5" s="92" t="s">
        <v>1336</v>
      </c>
      <c r="JW5" s="92" t="s">
        <v>1296</v>
      </c>
      <c r="JX5" s="92" t="s">
        <v>71</v>
      </c>
      <c r="JY5" s="92" t="s">
        <v>5549</v>
      </c>
      <c r="JZ5" s="92" t="s">
        <v>1337</v>
      </c>
      <c r="KA5" s="92" t="s">
        <v>4845</v>
      </c>
      <c r="KB5" s="92" t="s">
        <v>1415</v>
      </c>
      <c r="KC5" s="92" t="s">
        <v>109</v>
      </c>
      <c r="KD5" s="92" t="s">
        <v>4847</v>
      </c>
      <c r="KE5" s="92" t="s">
        <v>1416</v>
      </c>
      <c r="KF5" s="92">
        <v>3900</v>
      </c>
      <c r="KG5" s="92" t="s">
        <v>4438</v>
      </c>
      <c r="KH5" s="92" t="s">
        <v>109</v>
      </c>
      <c r="KI5" s="92" t="s">
        <v>192</v>
      </c>
      <c r="KJ5" s="92" t="s">
        <v>109</v>
      </c>
      <c r="KK5" s="92" t="s">
        <v>192</v>
      </c>
      <c r="KL5" s="92" t="s">
        <v>1341</v>
      </c>
      <c r="KM5" s="92">
        <v>4300</v>
      </c>
      <c r="KN5" s="92" t="s">
        <v>4438</v>
      </c>
      <c r="KO5" s="92" t="s">
        <v>1341</v>
      </c>
      <c r="KP5" s="92" t="s">
        <v>1375</v>
      </c>
      <c r="KQ5" s="92" t="s">
        <v>109</v>
      </c>
      <c r="KR5" s="92">
        <v>13</v>
      </c>
      <c r="KS5" s="92" t="s">
        <v>1345</v>
      </c>
      <c r="KT5" s="92" t="s">
        <v>1402</v>
      </c>
      <c r="KU5" s="92">
        <v>14</v>
      </c>
      <c r="KV5" s="92" t="s">
        <v>1345</v>
      </c>
      <c r="KW5" s="92" t="s">
        <v>1402</v>
      </c>
      <c r="KX5" s="92" t="s">
        <v>1346</v>
      </c>
      <c r="KY5" s="92" t="s">
        <v>1347</v>
      </c>
      <c r="KZ5" s="92" t="s">
        <v>5795</v>
      </c>
      <c r="LA5" s="92" t="s">
        <v>109</v>
      </c>
      <c r="LB5" s="92" t="s">
        <v>109</v>
      </c>
      <c r="LC5" s="92" t="s">
        <v>4438</v>
      </c>
      <c r="LD5" s="92" t="s">
        <v>4438</v>
      </c>
      <c r="LE5" s="92" t="s">
        <v>109</v>
      </c>
      <c r="LF5" s="92" t="s">
        <v>109</v>
      </c>
    </row>
    <row r="6" spans="1:318" x14ac:dyDescent="0.25">
      <c r="A6" t="s">
        <v>1417</v>
      </c>
      <c r="B6" t="s">
        <v>1418</v>
      </c>
      <c r="C6" t="s">
        <v>1304</v>
      </c>
      <c r="D6" t="s">
        <v>1305</v>
      </c>
      <c r="E6" t="s">
        <v>1306</v>
      </c>
      <c r="G6" t="s">
        <v>1307</v>
      </c>
      <c r="H6">
        <v>2</v>
      </c>
      <c r="I6" t="s">
        <v>1307</v>
      </c>
      <c r="J6" t="s">
        <v>1308</v>
      </c>
      <c r="K6" t="s">
        <v>1309</v>
      </c>
      <c r="L6" t="s">
        <v>1309</v>
      </c>
      <c r="M6" t="s">
        <v>1309</v>
      </c>
      <c r="N6" t="s">
        <v>1309</v>
      </c>
      <c r="O6" t="s">
        <v>1309</v>
      </c>
      <c r="P6" t="s">
        <v>1309</v>
      </c>
      <c r="Q6" t="s">
        <v>1310</v>
      </c>
      <c r="R6" t="s">
        <v>1309</v>
      </c>
      <c r="U6" t="s">
        <v>1312</v>
      </c>
      <c r="V6" t="s">
        <v>1312</v>
      </c>
      <c r="W6" t="s">
        <v>1312</v>
      </c>
      <c r="X6" t="s">
        <v>1312</v>
      </c>
      <c r="Y6" t="s">
        <v>1312</v>
      </c>
      <c r="Z6" t="s">
        <v>1312</v>
      </c>
      <c r="AC6">
        <v>2</v>
      </c>
      <c r="AD6">
        <v>9000</v>
      </c>
      <c r="AE6">
        <v>6000</v>
      </c>
      <c r="AF6" t="s">
        <v>1313</v>
      </c>
      <c r="AH6" t="s">
        <v>1383</v>
      </c>
      <c r="AJ6" t="s">
        <v>1315</v>
      </c>
      <c r="AL6" t="s">
        <v>1316</v>
      </c>
      <c r="BS6" t="s">
        <v>1307</v>
      </c>
      <c r="CE6" t="s">
        <v>1384</v>
      </c>
      <c r="CF6" t="s">
        <v>1310</v>
      </c>
      <c r="CG6" t="s">
        <v>1309</v>
      </c>
      <c r="CH6" t="s">
        <v>1309</v>
      </c>
      <c r="CI6" t="s">
        <v>1309</v>
      </c>
      <c r="CJ6" t="s">
        <v>1309</v>
      </c>
      <c r="CK6" t="s">
        <v>1309</v>
      </c>
      <c r="CL6" t="s">
        <v>1309</v>
      </c>
      <c r="CM6" t="s">
        <v>1309</v>
      </c>
      <c r="CN6" t="s">
        <v>1309</v>
      </c>
      <c r="CO6" t="s">
        <v>1309</v>
      </c>
      <c r="CP6" t="s">
        <v>1309</v>
      </c>
      <c r="CQ6" t="s">
        <v>1309</v>
      </c>
      <c r="CR6" t="s">
        <v>1309</v>
      </c>
      <c r="CT6" t="s">
        <v>4435</v>
      </c>
      <c r="CV6" t="s">
        <v>1308</v>
      </c>
      <c r="CW6" t="s">
        <v>1310</v>
      </c>
      <c r="CX6" t="s">
        <v>1309</v>
      </c>
      <c r="CY6" t="s">
        <v>1309</v>
      </c>
      <c r="CZ6" t="s">
        <v>1309</v>
      </c>
      <c r="DA6" t="s">
        <v>1309</v>
      </c>
      <c r="DB6" t="s">
        <v>1309</v>
      </c>
      <c r="DC6" t="s">
        <v>1309</v>
      </c>
      <c r="DE6" t="s">
        <v>1358</v>
      </c>
      <c r="DF6" t="s">
        <v>1319</v>
      </c>
      <c r="DG6">
        <v>300</v>
      </c>
      <c r="DH6">
        <v>1200</v>
      </c>
      <c r="DI6">
        <v>700</v>
      </c>
      <c r="DJ6" t="s">
        <v>1358</v>
      </c>
      <c r="DK6">
        <v>300</v>
      </c>
      <c r="DL6">
        <v>2000</v>
      </c>
      <c r="DM6">
        <v>1000</v>
      </c>
      <c r="DN6" t="s">
        <v>1320</v>
      </c>
      <c r="DO6" t="s">
        <v>1310</v>
      </c>
      <c r="DP6" t="s">
        <v>1309</v>
      </c>
      <c r="DQ6" t="s">
        <v>1309</v>
      </c>
      <c r="DR6" t="s">
        <v>1309</v>
      </c>
      <c r="DS6" t="s">
        <v>1309</v>
      </c>
      <c r="DT6" t="s">
        <v>1310</v>
      </c>
      <c r="DU6" t="s">
        <v>1309</v>
      </c>
      <c r="DV6" t="s">
        <v>1309</v>
      </c>
      <c r="DW6" t="s">
        <v>1309</v>
      </c>
      <c r="DY6" t="s">
        <v>1419</v>
      </c>
      <c r="DZ6">
        <v>460</v>
      </c>
      <c r="EA6" t="s">
        <v>1319</v>
      </c>
      <c r="EC6" t="s">
        <v>1420</v>
      </c>
      <c r="ED6">
        <v>500</v>
      </c>
      <c r="EE6" t="s">
        <v>1319</v>
      </c>
      <c r="EG6" t="s">
        <v>5356</v>
      </c>
      <c r="EI6" t="s">
        <v>1307</v>
      </c>
      <c r="ET6" t="s">
        <v>1307</v>
      </c>
      <c r="EV6" t="s">
        <v>1319</v>
      </c>
      <c r="EW6" t="s">
        <v>1421</v>
      </c>
      <c r="EX6" t="s">
        <v>1319</v>
      </c>
      <c r="EY6" t="s">
        <v>1319</v>
      </c>
      <c r="FA6" t="s">
        <v>1422</v>
      </c>
      <c r="FB6" t="s">
        <v>1309</v>
      </c>
      <c r="FC6" t="s">
        <v>1309</v>
      </c>
      <c r="FD6" t="s">
        <v>1309</v>
      </c>
      <c r="FE6" t="s">
        <v>1309</v>
      </c>
      <c r="FF6" t="s">
        <v>1309</v>
      </c>
      <c r="FG6" t="s">
        <v>1309</v>
      </c>
      <c r="FH6" t="s">
        <v>1309</v>
      </c>
      <c r="FI6" t="s">
        <v>1309</v>
      </c>
      <c r="FJ6" t="s">
        <v>1309</v>
      </c>
      <c r="FK6" t="s">
        <v>1309</v>
      </c>
      <c r="FL6" t="s">
        <v>1310</v>
      </c>
      <c r="FM6" t="s">
        <v>1310</v>
      </c>
      <c r="FN6" t="s">
        <v>1310</v>
      </c>
      <c r="FO6" t="s">
        <v>1309</v>
      </c>
      <c r="FP6" t="s">
        <v>1309</v>
      </c>
      <c r="FQ6" t="s">
        <v>1309</v>
      </c>
      <c r="FR6" t="s">
        <v>1309</v>
      </c>
      <c r="FT6" t="s">
        <v>1307</v>
      </c>
      <c r="GI6" t="s">
        <v>1324</v>
      </c>
      <c r="GJ6" t="s">
        <v>1324</v>
      </c>
      <c r="GT6" t="s">
        <v>1325</v>
      </c>
      <c r="GU6" t="s">
        <v>1310</v>
      </c>
      <c r="GV6" t="s">
        <v>1309</v>
      </c>
      <c r="GW6" t="s">
        <v>1309</v>
      </c>
      <c r="GX6" t="s">
        <v>1309</v>
      </c>
      <c r="GY6" t="s">
        <v>1309</v>
      </c>
      <c r="GZ6" t="s">
        <v>1309</v>
      </c>
      <c r="HA6" t="s">
        <v>1309</v>
      </c>
      <c r="HB6" t="s">
        <v>1309</v>
      </c>
      <c r="HC6" t="s">
        <v>1309</v>
      </c>
      <c r="HD6" t="s">
        <v>1309</v>
      </c>
      <c r="HE6" t="s">
        <v>1309</v>
      </c>
      <c r="HF6" t="s">
        <v>1309</v>
      </c>
      <c r="HH6" t="s">
        <v>1390</v>
      </c>
      <c r="HI6" t="s">
        <v>1390</v>
      </c>
      <c r="HJ6" t="s">
        <v>1390</v>
      </c>
      <c r="HK6" t="s">
        <v>1390</v>
      </c>
      <c r="HL6" t="s">
        <v>1364</v>
      </c>
      <c r="HM6" t="s">
        <v>1363</v>
      </c>
      <c r="IA6" t="s">
        <v>1319</v>
      </c>
      <c r="IB6" t="s">
        <v>1423</v>
      </c>
      <c r="IC6" t="s">
        <v>1309</v>
      </c>
      <c r="ID6" t="s">
        <v>1309</v>
      </c>
      <c r="IE6" t="s">
        <v>1309</v>
      </c>
      <c r="IF6" t="s">
        <v>1309</v>
      </c>
      <c r="IG6" t="s">
        <v>1310</v>
      </c>
      <c r="IH6" t="s">
        <v>1309</v>
      </c>
      <c r="II6" t="s">
        <v>1309</v>
      </c>
      <c r="IJ6" t="s">
        <v>1309</v>
      </c>
      <c r="IK6" t="s">
        <v>1309</v>
      </c>
      <c r="IL6" t="s">
        <v>1309</v>
      </c>
      <c r="IM6" t="s">
        <v>1309</v>
      </c>
      <c r="IN6" t="s">
        <v>1309</v>
      </c>
      <c r="IO6" t="s">
        <v>1309</v>
      </c>
      <c r="IQ6" t="s">
        <v>1365</v>
      </c>
      <c r="IS6" t="s">
        <v>1354</v>
      </c>
      <c r="JF6" t="s">
        <v>1316</v>
      </c>
      <c r="JG6" t="s">
        <v>1414</v>
      </c>
      <c r="JH6" t="s">
        <v>1309</v>
      </c>
      <c r="JI6" t="s">
        <v>1309</v>
      </c>
      <c r="JJ6" t="s">
        <v>1309</v>
      </c>
      <c r="JK6" t="s">
        <v>1309</v>
      </c>
      <c r="JL6" t="s">
        <v>1309</v>
      </c>
      <c r="JM6" t="s">
        <v>1309</v>
      </c>
      <c r="JN6" t="s">
        <v>1310</v>
      </c>
      <c r="JO6" t="s">
        <v>1309</v>
      </c>
      <c r="JQ6" s="92" t="s">
        <v>1333</v>
      </c>
      <c r="JR6" s="92" t="s">
        <v>1334</v>
      </c>
      <c r="JS6" s="92">
        <v>45</v>
      </c>
      <c r="JT6" s="92" t="s">
        <v>1319</v>
      </c>
      <c r="JU6" s="92" t="s">
        <v>1335</v>
      </c>
      <c r="JV6" s="92" t="s">
        <v>1336</v>
      </c>
      <c r="JW6" s="92" t="s">
        <v>1296</v>
      </c>
      <c r="JX6" s="92" t="s">
        <v>71</v>
      </c>
      <c r="JY6" s="92" t="s">
        <v>5549</v>
      </c>
      <c r="JZ6" s="92" t="s">
        <v>1337</v>
      </c>
      <c r="KA6" s="92" t="s">
        <v>4845</v>
      </c>
      <c r="KB6" s="92" t="s">
        <v>1338</v>
      </c>
      <c r="KC6" s="92" t="s">
        <v>109</v>
      </c>
      <c r="KD6" s="92" t="s">
        <v>4847</v>
      </c>
      <c r="KE6" s="92" t="s">
        <v>1424</v>
      </c>
      <c r="KF6" s="92">
        <v>2200</v>
      </c>
      <c r="KG6" s="92" t="s">
        <v>4438</v>
      </c>
      <c r="KH6" s="92" t="s">
        <v>192</v>
      </c>
      <c r="KI6" s="92" t="s">
        <v>192</v>
      </c>
      <c r="KJ6" s="92" t="s">
        <v>192</v>
      </c>
      <c r="KK6" s="92" t="s">
        <v>192</v>
      </c>
      <c r="KL6" s="92" t="s">
        <v>1425</v>
      </c>
      <c r="KM6" s="92">
        <v>3300</v>
      </c>
      <c r="KN6" s="92" t="s">
        <v>4439</v>
      </c>
      <c r="KO6" s="92" t="s">
        <v>1341</v>
      </c>
      <c r="KP6" s="92" t="s">
        <v>1342</v>
      </c>
      <c r="KQ6" s="92" t="s">
        <v>192</v>
      </c>
      <c r="KR6" s="92">
        <v>21</v>
      </c>
      <c r="KS6" s="92" t="s">
        <v>1343</v>
      </c>
      <c r="KT6" s="92" t="s">
        <v>1344</v>
      </c>
      <c r="KU6" s="92">
        <v>15</v>
      </c>
      <c r="KV6" s="92" t="s">
        <v>1345</v>
      </c>
      <c r="KW6" s="92" t="s">
        <v>1344</v>
      </c>
      <c r="KX6" s="92" t="s">
        <v>1376</v>
      </c>
      <c r="KY6" s="92" t="s">
        <v>1377</v>
      </c>
      <c r="KZ6" s="92" t="s">
        <v>5795</v>
      </c>
      <c r="LA6" s="92" t="s">
        <v>109</v>
      </c>
      <c r="LB6" s="92" t="s">
        <v>109</v>
      </c>
      <c r="LC6" s="92" t="s">
        <v>4439</v>
      </c>
      <c r="LD6" s="92" t="s">
        <v>4439</v>
      </c>
      <c r="LE6" s="92" t="s">
        <v>109</v>
      </c>
      <c r="LF6" s="92" t="s">
        <v>192</v>
      </c>
    </row>
    <row r="7" spans="1:318" x14ac:dyDescent="0.25">
      <c r="A7" t="s">
        <v>1427</v>
      </c>
      <c r="B7" t="s">
        <v>1428</v>
      </c>
      <c r="C7" t="s">
        <v>1304</v>
      </c>
      <c r="D7" t="s">
        <v>1429</v>
      </c>
      <c r="E7" t="s">
        <v>1306</v>
      </c>
      <c r="G7" t="s">
        <v>1307</v>
      </c>
      <c r="H7">
        <v>2</v>
      </c>
      <c r="I7" t="s">
        <v>1307</v>
      </c>
      <c r="J7" t="s">
        <v>1430</v>
      </c>
      <c r="K7" t="s">
        <v>1309</v>
      </c>
      <c r="L7" t="s">
        <v>1309</v>
      </c>
      <c r="M7" t="s">
        <v>1310</v>
      </c>
      <c r="N7" t="s">
        <v>1309</v>
      </c>
      <c r="O7" t="s">
        <v>1309</v>
      </c>
      <c r="P7" t="s">
        <v>1309</v>
      </c>
      <c r="Q7" t="s">
        <v>1309</v>
      </c>
      <c r="R7" t="s">
        <v>1309</v>
      </c>
      <c r="T7">
        <v>1</v>
      </c>
      <c r="U7" t="s">
        <v>1311</v>
      </c>
      <c r="V7" t="s">
        <v>1311</v>
      </c>
      <c r="W7" t="s">
        <v>1311</v>
      </c>
      <c r="X7" t="s">
        <v>1311</v>
      </c>
      <c r="Y7" t="s">
        <v>1312</v>
      </c>
      <c r="Z7" t="s">
        <v>1312</v>
      </c>
      <c r="AC7">
        <v>2</v>
      </c>
      <c r="AD7">
        <v>7500</v>
      </c>
      <c r="AE7">
        <v>4000</v>
      </c>
      <c r="AF7" t="s">
        <v>1313</v>
      </c>
      <c r="AH7" t="s">
        <v>1352</v>
      </c>
      <c r="AJ7" t="s">
        <v>1315</v>
      </c>
      <c r="AL7" t="s">
        <v>1331</v>
      </c>
      <c r="BS7" t="s">
        <v>1307</v>
      </c>
      <c r="CE7" t="s">
        <v>1431</v>
      </c>
      <c r="CF7" t="s">
        <v>1309</v>
      </c>
      <c r="CG7" t="s">
        <v>1309</v>
      </c>
      <c r="CH7" t="s">
        <v>1309</v>
      </c>
      <c r="CI7" t="s">
        <v>1310</v>
      </c>
      <c r="CJ7" t="s">
        <v>1309</v>
      </c>
      <c r="CK7" t="s">
        <v>1309</v>
      </c>
      <c r="CL7" t="s">
        <v>1309</v>
      </c>
      <c r="CM7" t="s">
        <v>1309</v>
      </c>
      <c r="CN7" t="s">
        <v>1310</v>
      </c>
      <c r="CO7" t="s">
        <v>1309</v>
      </c>
      <c r="CP7" t="s">
        <v>1309</v>
      </c>
      <c r="CQ7" t="s">
        <v>1309</v>
      </c>
      <c r="CR7" t="s">
        <v>1309</v>
      </c>
      <c r="CT7" t="s">
        <v>4435</v>
      </c>
      <c r="CV7" t="s">
        <v>1357</v>
      </c>
      <c r="CW7" t="s">
        <v>1309</v>
      </c>
      <c r="CX7" t="s">
        <v>1309</v>
      </c>
      <c r="CY7" t="s">
        <v>1309</v>
      </c>
      <c r="CZ7" t="s">
        <v>1309</v>
      </c>
      <c r="DA7" t="s">
        <v>1310</v>
      </c>
      <c r="DB7" t="s">
        <v>1309</v>
      </c>
      <c r="DC7" t="s">
        <v>1309</v>
      </c>
      <c r="DE7" t="s">
        <v>1318</v>
      </c>
      <c r="DF7" t="s">
        <v>1307</v>
      </c>
      <c r="DH7">
        <v>1500</v>
      </c>
      <c r="DI7">
        <v>350</v>
      </c>
      <c r="DJ7" t="s">
        <v>1318</v>
      </c>
      <c r="DL7">
        <v>1800</v>
      </c>
      <c r="DM7">
        <v>500</v>
      </c>
      <c r="DN7" t="s">
        <v>1432</v>
      </c>
      <c r="DO7" t="s">
        <v>1310</v>
      </c>
      <c r="DP7" t="s">
        <v>1309</v>
      </c>
      <c r="DQ7" t="s">
        <v>1309</v>
      </c>
      <c r="DR7" t="s">
        <v>1310</v>
      </c>
      <c r="DS7" t="s">
        <v>1309</v>
      </c>
      <c r="DT7" t="s">
        <v>1310</v>
      </c>
      <c r="DU7" t="s">
        <v>1309</v>
      </c>
      <c r="DV7" t="s">
        <v>1309</v>
      </c>
      <c r="DW7" t="s">
        <v>1309</v>
      </c>
      <c r="DY7" t="s">
        <v>1433</v>
      </c>
      <c r="DZ7">
        <v>500</v>
      </c>
      <c r="EA7" t="s">
        <v>1319</v>
      </c>
      <c r="EC7" t="s">
        <v>1322</v>
      </c>
      <c r="ED7">
        <v>800</v>
      </c>
      <c r="EE7" t="s">
        <v>1319</v>
      </c>
      <c r="EG7" t="s">
        <v>5356</v>
      </c>
      <c r="EI7" t="s">
        <v>1307</v>
      </c>
      <c r="ET7" t="s">
        <v>1434</v>
      </c>
      <c r="EV7" t="s">
        <v>1319</v>
      </c>
      <c r="EW7" t="s">
        <v>1409</v>
      </c>
      <c r="EX7" t="s">
        <v>1307</v>
      </c>
      <c r="FT7" t="s">
        <v>1319</v>
      </c>
      <c r="FU7" t="s">
        <v>1435</v>
      </c>
      <c r="FV7" t="s">
        <v>1310</v>
      </c>
      <c r="FW7" t="s">
        <v>1309</v>
      </c>
      <c r="FX7" t="s">
        <v>1309</v>
      </c>
      <c r="FY7" t="s">
        <v>1309</v>
      </c>
      <c r="FZ7" t="s">
        <v>1309</v>
      </c>
      <c r="GA7" t="s">
        <v>1309</v>
      </c>
      <c r="GB7" t="s">
        <v>1309</v>
      </c>
      <c r="GC7" t="s">
        <v>1309</v>
      </c>
      <c r="GD7" t="s">
        <v>1309</v>
      </c>
      <c r="GE7" t="s">
        <v>1309</v>
      </c>
      <c r="GF7" t="s">
        <v>1309</v>
      </c>
      <c r="GG7" t="s">
        <v>1309</v>
      </c>
      <c r="GI7" t="s">
        <v>1436</v>
      </c>
      <c r="GJ7" t="s">
        <v>1436</v>
      </c>
      <c r="GK7" t="s">
        <v>1307</v>
      </c>
      <c r="GT7" t="s">
        <v>1325</v>
      </c>
      <c r="GU7" t="s">
        <v>1310</v>
      </c>
      <c r="GV7" t="s">
        <v>1309</v>
      </c>
      <c r="GW7" t="s">
        <v>1309</v>
      </c>
      <c r="GX7" t="s">
        <v>1309</v>
      </c>
      <c r="GY7" t="s">
        <v>1309</v>
      </c>
      <c r="GZ7" t="s">
        <v>1309</v>
      </c>
      <c r="HA7" t="s">
        <v>1309</v>
      </c>
      <c r="HB7" t="s">
        <v>1309</v>
      </c>
      <c r="HC7" t="s">
        <v>1309</v>
      </c>
      <c r="HD7" t="s">
        <v>1309</v>
      </c>
      <c r="HE7" t="s">
        <v>1309</v>
      </c>
      <c r="HF7" t="s">
        <v>1309</v>
      </c>
      <c r="HH7" t="s">
        <v>1326</v>
      </c>
      <c r="HI7" t="s">
        <v>1326</v>
      </c>
      <c r="HJ7" t="s">
        <v>1326</v>
      </c>
      <c r="HK7" t="s">
        <v>1327</v>
      </c>
      <c r="HL7" t="s">
        <v>1437</v>
      </c>
      <c r="HM7" t="s">
        <v>1326</v>
      </c>
      <c r="HN7" t="s">
        <v>1438</v>
      </c>
      <c r="HO7" t="s">
        <v>1310</v>
      </c>
      <c r="HP7" t="s">
        <v>1309</v>
      </c>
      <c r="HQ7" t="s">
        <v>1309</v>
      </c>
      <c r="HR7" t="s">
        <v>1310</v>
      </c>
      <c r="HS7" t="s">
        <v>1309</v>
      </c>
      <c r="HT7" t="s">
        <v>1309</v>
      </c>
      <c r="HU7" t="s">
        <v>1309</v>
      </c>
      <c r="HV7" t="s">
        <v>1309</v>
      </c>
      <c r="HW7" t="s">
        <v>1309</v>
      </c>
      <c r="HX7" t="s">
        <v>1309</v>
      </c>
      <c r="HY7" t="s">
        <v>1309</v>
      </c>
      <c r="IA7" t="s">
        <v>1414</v>
      </c>
      <c r="IQ7" t="s">
        <v>1330</v>
      </c>
      <c r="IS7" t="s">
        <v>1331</v>
      </c>
      <c r="JF7" t="s">
        <v>1331</v>
      </c>
      <c r="JG7" t="s">
        <v>1414</v>
      </c>
      <c r="JH7" t="s">
        <v>1309</v>
      </c>
      <c r="JI7" t="s">
        <v>1309</v>
      </c>
      <c r="JJ7" t="s">
        <v>1309</v>
      </c>
      <c r="JK7" t="s">
        <v>1309</v>
      </c>
      <c r="JL7" t="s">
        <v>1309</v>
      </c>
      <c r="JM7" t="s">
        <v>1309</v>
      </c>
      <c r="JN7" t="s">
        <v>1310</v>
      </c>
      <c r="JO7" t="s">
        <v>1309</v>
      </c>
      <c r="JQ7" s="92" t="s">
        <v>1333</v>
      </c>
      <c r="JR7" s="92" t="s">
        <v>1334</v>
      </c>
      <c r="JS7" s="92">
        <v>58</v>
      </c>
      <c r="JT7" s="92" t="s">
        <v>1319</v>
      </c>
      <c r="JU7" s="92" t="s">
        <v>1335</v>
      </c>
      <c r="JV7" s="92" t="s">
        <v>1336</v>
      </c>
      <c r="JW7" s="92" t="s">
        <v>1296</v>
      </c>
      <c r="JX7" s="92" t="s">
        <v>71</v>
      </c>
      <c r="JY7" s="92" t="s">
        <v>5549</v>
      </c>
      <c r="JZ7" s="92" t="s">
        <v>1337</v>
      </c>
      <c r="KA7" s="92" t="s">
        <v>4845</v>
      </c>
      <c r="KB7" s="92" t="s">
        <v>1439</v>
      </c>
      <c r="KC7" s="92" t="s">
        <v>109</v>
      </c>
      <c r="KD7" s="92" t="s">
        <v>4847</v>
      </c>
      <c r="KE7" s="92" t="s">
        <v>1424</v>
      </c>
      <c r="KF7" s="92">
        <v>1850</v>
      </c>
      <c r="KG7" s="92" t="s">
        <v>4438</v>
      </c>
      <c r="KH7" s="92" t="s">
        <v>109</v>
      </c>
      <c r="KI7" s="92" t="s">
        <v>192</v>
      </c>
      <c r="KJ7" s="92" t="s">
        <v>109</v>
      </c>
      <c r="KK7" s="92" t="s">
        <v>192</v>
      </c>
      <c r="KL7" s="92" t="s">
        <v>1440</v>
      </c>
      <c r="KM7" s="92">
        <v>2300</v>
      </c>
      <c r="KN7" s="92" t="s">
        <v>4439</v>
      </c>
      <c r="KO7" s="92" t="s">
        <v>1425</v>
      </c>
      <c r="KP7" s="92" t="s">
        <v>1375</v>
      </c>
      <c r="KQ7" s="92" t="s">
        <v>109</v>
      </c>
      <c r="KR7" s="92">
        <v>27</v>
      </c>
      <c r="KS7" s="92" t="s">
        <v>1345</v>
      </c>
      <c r="KT7" s="92" t="s">
        <v>1344</v>
      </c>
      <c r="KU7" s="92">
        <v>35</v>
      </c>
      <c r="KV7" s="92" t="s">
        <v>1441</v>
      </c>
      <c r="KW7" s="92" t="s">
        <v>1344</v>
      </c>
      <c r="KX7" s="92" t="s">
        <v>1346</v>
      </c>
      <c r="KY7" s="92" t="s">
        <v>1347</v>
      </c>
      <c r="KZ7" s="92" t="s">
        <v>5795</v>
      </c>
      <c r="LA7" s="92" t="s">
        <v>109</v>
      </c>
      <c r="LB7" s="92" t="s">
        <v>109</v>
      </c>
      <c r="LC7" s="92" t="s">
        <v>4439</v>
      </c>
      <c r="LD7" s="92" t="s">
        <v>4439</v>
      </c>
      <c r="LE7" s="92" t="s">
        <v>109</v>
      </c>
      <c r="LF7" s="92" t="s">
        <v>109</v>
      </c>
    </row>
    <row r="8" spans="1:318" x14ac:dyDescent="0.25">
      <c r="A8" t="s">
        <v>1442</v>
      </c>
      <c r="B8" t="s">
        <v>1443</v>
      </c>
      <c r="C8" t="s">
        <v>1304</v>
      </c>
      <c r="D8" t="s">
        <v>1305</v>
      </c>
      <c r="E8" t="s">
        <v>1306</v>
      </c>
      <c r="G8" t="s">
        <v>1307</v>
      </c>
      <c r="H8">
        <v>2</v>
      </c>
      <c r="I8" t="s">
        <v>1307</v>
      </c>
      <c r="J8" t="s">
        <v>1308</v>
      </c>
      <c r="K8" t="s">
        <v>1309</v>
      </c>
      <c r="L8" t="s">
        <v>1309</v>
      </c>
      <c r="M8" t="s">
        <v>1309</v>
      </c>
      <c r="N8" t="s">
        <v>1309</v>
      </c>
      <c r="O8" t="s">
        <v>1309</v>
      </c>
      <c r="P8" t="s">
        <v>1309</v>
      </c>
      <c r="Q8" t="s">
        <v>1310</v>
      </c>
      <c r="R8" t="s">
        <v>1309</v>
      </c>
      <c r="U8" t="s">
        <v>1312</v>
      </c>
      <c r="V8" t="s">
        <v>1312</v>
      </c>
      <c r="W8" t="s">
        <v>1311</v>
      </c>
      <c r="X8" t="s">
        <v>1312</v>
      </c>
      <c r="Y8" t="s">
        <v>1312</v>
      </c>
      <c r="Z8" t="s">
        <v>1312</v>
      </c>
      <c r="AC8">
        <v>2</v>
      </c>
      <c r="AD8">
        <v>20000</v>
      </c>
      <c r="AE8">
        <v>12000</v>
      </c>
      <c r="AF8" t="s">
        <v>1351</v>
      </c>
      <c r="AH8" t="s">
        <v>1352</v>
      </c>
      <c r="AJ8" t="s">
        <v>1315</v>
      </c>
      <c r="AL8" t="s">
        <v>1331</v>
      </c>
      <c r="BS8" t="s">
        <v>1414</v>
      </c>
      <c r="CE8" t="s">
        <v>1317</v>
      </c>
      <c r="CF8" t="s">
        <v>1309</v>
      </c>
      <c r="CG8" t="s">
        <v>1309</v>
      </c>
      <c r="CH8" t="s">
        <v>1309</v>
      </c>
      <c r="CI8" t="s">
        <v>1309</v>
      </c>
      <c r="CJ8" t="s">
        <v>1309</v>
      </c>
      <c r="CK8" t="s">
        <v>1309</v>
      </c>
      <c r="CL8" t="s">
        <v>1309</v>
      </c>
      <c r="CM8" t="s">
        <v>1309</v>
      </c>
      <c r="CN8" t="s">
        <v>1310</v>
      </c>
      <c r="CO8" t="s">
        <v>1310</v>
      </c>
      <c r="CP8" t="s">
        <v>1309</v>
      </c>
      <c r="CQ8" t="s">
        <v>1309</v>
      </c>
      <c r="CR8" t="s">
        <v>1309</v>
      </c>
      <c r="CT8" t="s">
        <v>4434</v>
      </c>
      <c r="CV8" t="s">
        <v>1357</v>
      </c>
      <c r="CW8" t="s">
        <v>1309</v>
      </c>
      <c r="CX8" t="s">
        <v>1309</v>
      </c>
      <c r="CY8" t="s">
        <v>1309</v>
      </c>
      <c r="CZ8" t="s">
        <v>1309</v>
      </c>
      <c r="DA8" t="s">
        <v>1310</v>
      </c>
      <c r="DB8" t="s">
        <v>1309</v>
      </c>
      <c r="DC8" t="s">
        <v>1309</v>
      </c>
      <c r="DE8" t="s">
        <v>1358</v>
      </c>
      <c r="DG8">
        <v>3000</v>
      </c>
      <c r="DI8">
        <v>600</v>
      </c>
      <c r="DJ8" t="s">
        <v>1358</v>
      </c>
      <c r="DK8">
        <v>3800</v>
      </c>
      <c r="DM8">
        <v>600</v>
      </c>
      <c r="DN8" t="s">
        <v>1445</v>
      </c>
      <c r="DO8" t="s">
        <v>1310</v>
      </c>
      <c r="DP8" t="s">
        <v>1310</v>
      </c>
      <c r="DQ8" t="s">
        <v>1309</v>
      </c>
      <c r="DR8" t="s">
        <v>1309</v>
      </c>
      <c r="DS8" t="s">
        <v>1309</v>
      </c>
      <c r="DT8" t="s">
        <v>1310</v>
      </c>
      <c r="DU8" t="s">
        <v>1309</v>
      </c>
      <c r="DV8" t="s">
        <v>1309</v>
      </c>
      <c r="DW8" t="s">
        <v>1309</v>
      </c>
      <c r="DY8" t="s">
        <v>1446</v>
      </c>
      <c r="DZ8">
        <v>500</v>
      </c>
      <c r="EA8" t="s">
        <v>1319</v>
      </c>
      <c r="EC8" t="s">
        <v>1322</v>
      </c>
      <c r="ED8">
        <v>800</v>
      </c>
      <c r="EE8" t="s">
        <v>1319</v>
      </c>
      <c r="EG8" t="s">
        <v>5356</v>
      </c>
      <c r="EI8" t="s">
        <v>1307</v>
      </c>
      <c r="ET8" t="s">
        <v>1307</v>
      </c>
      <c r="EV8" t="s">
        <v>1319</v>
      </c>
      <c r="EW8" t="s">
        <v>1409</v>
      </c>
      <c r="EX8" t="s">
        <v>1319</v>
      </c>
      <c r="EY8" t="s">
        <v>1319</v>
      </c>
      <c r="FA8" t="s">
        <v>1447</v>
      </c>
      <c r="FB8" t="s">
        <v>1310</v>
      </c>
      <c r="FC8" t="s">
        <v>1310</v>
      </c>
      <c r="FD8" t="s">
        <v>1309</v>
      </c>
      <c r="FE8" t="s">
        <v>1310</v>
      </c>
      <c r="FF8" t="s">
        <v>1309</v>
      </c>
      <c r="FG8" t="s">
        <v>1309</v>
      </c>
      <c r="FH8" t="s">
        <v>1310</v>
      </c>
      <c r="FI8" t="s">
        <v>1309</v>
      </c>
      <c r="FJ8" t="s">
        <v>1309</v>
      </c>
      <c r="FK8" t="s">
        <v>1309</v>
      </c>
      <c r="FL8" t="s">
        <v>1309</v>
      </c>
      <c r="FM8" t="s">
        <v>1310</v>
      </c>
      <c r="FN8" t="s">
        <v>1309</v>
      </c>
      <c r="FO8" t="s">
        <v>1310</v>
      </c>
      <c r="FP8" t="s">
        <v>1309</v>
      </c>
      <c r="FQ8" t="s">
        <v>1309</v>
      </c>
      <c r="FR8" t="s">
        <v>1309</v>
      </c>
      <c r="FT8" t="s">
        <v>1307</v>
      </c>
      <c r="GI8" t="s">
        <v>1448</v>
      </c>
      <c r="GJ8" t="s">
        <v>1448</v>
      </c>
      <c r="GT8" t="s">
        <v>1325</v>
      </c>
      <c r="GU8" t="s">
        <v>1310</v>
      </c>
      <c r="GV8" t="s">
        <v>1309</v>
      </c>
      <c r="GW8" t="s">
        <v>1309</v>
      </c>
      <c r="GX8" t="s">
        <v>1309</v>
      </c>
      <c r="GY8" t="s">
        <v>1309</v>
      </c>
      <c r="GZ8" t="s">
        <v>1309</v>
      </c>
      <c r="HA8" t="s">
        <v>1309</v>
      </c>
      <c r="HB8" t="s">
        <v>1309</v>
      </c>
      <c r="HC8" t="s">
        <v>1309</v>
      </c>
      <c r="HD8" t="s">
        <v>1309</v>
      </c>
      <c r="HE8" t="s">
        <v>1309</v>
      </c>
      <c r="HF8" t="s">
        <v>1309</v>
      </c>
      <c r="HH8" t="s">
        <v>1326</v>
      </c>
      <c r="HI8" t="s">
        <v>1327</v>
      </c>
      <c r="HJ8" t="s">
        <v>1390</v>
      </c>
      <c r="HK8" t="s">
        <v>1327</v>
      </c>
      <c r="HL8" t="s">
        <v>1364</v>
      </c>
      <c r="HM8" t="s">
        <v>1326</v>
      </c>
      <c r="IA8" t="s">
        <v>1319</v>
      </c>
      <c r="IB8" t="s">
        <v>1449</v>
      </c>
      <c r="IC8" t="s">
        <v>1310</v>
      </c>
      <c r="ID8" t="s">
        <v>1309</v>
      </c>
      <c r="IE8" t="s">
        <v>1309</v>
      </c>
      <c r="IF8" t="s">
        <v>1309</v>
      </c>
      <c r="IG8" t="s">
        <v>1310</v>
      </c>
      <c r="IH8" t="s">
        <v>1309</v>
      </c>
      <c r="II8" t="s">
        <v>1309</v>
      </c>
      <c r="IJ8" t="s">
        <v>1309</v>
      </c>
      <c r="IK8" t="s">
        <v>1310</v>
      </c>
      <c r="IL8" t="s">
        <v>1309</v>
      </c>
      <c r="IM8" t="s">
        <v>1309</v>
      </c>
      <c r="IN8" t="s">
        <v>1309</v>
      </c>
      <c r="IO8" t="s">
        <v>1309</v>
      </c>
      <c r="IQ8" t="s">
        <v>1365</v>
      </c>
      <c r="IS8" t="s">
        <v>1331</v>
      </c>
      <c r="JF8" t="s">
        <v>1450</v>
      </c>
      <c r="JG8" t="s">
        <v>1451</v>
      </c>
      <c r="JH8" t="s">
        <v>1310</v>
      </c>
      <c r="JI8" t="s">
        <v>1309</v>
      </c>
      <c r="JJ8" t="s">
        <v>1309</v>
      </c>
      <c r="JK8" t="s">
        <v>1310</v>
      </c>
      <c r="JL8" t="s">
        <v>1309</v>
      </c>
      <c r="JM8" t="s">
        <v>1309</v>
      </c>
      <c r="JN8" t="s">
        <v>1309</v>
      </c>
      <c r="JO8" t="s">
        <v>1309</v>
      </c>
      <c r="JQ8" s="92" t="s">
        <v>1333</v>
      </c>
      <c r="JR8" s="92" t="s">
        <v>1334</v>
      </c>
      <c r="JS8" s="92">
        <v>52</v>
      </c>
      <c r="JT8" s="92" t="s">
        <v>1319</v>
      </c>
      <c r="JU8" s="92" t="s">
        <v>1335</v>
      </c>
      <c r="JV8" s="92" t="s">
        <v>1336</v>
      </c>
      <c r="JW8" s="92" t="s">
        <v>1296</v>
      </c>
      <c r="JX8" s="92" t="s">
        <v>71</v>
      </c>
      <c r="JY8" s="92" t="s">
        <v>5549</v>
      </c>
      <c r="JZ8" s="92" t="s">
        <v>1337</v>
      </c>
      <c r="KA8" s="92" t="s">
        <v>4845</v>
      </c>
      <c r="KB8" s="92" t="s">
        <v>1338</v>
      </c>
      <c r="KC8" s="92" t="s">
        <v>109</v>
      </c>
      <c r="KD8" s="92" t="s">
        <v>4847</v>
      </c>
      <c r="KE8" s="92" t="s">
        <v>1452</v>
      </c>
      <c r="KF8" s="92">
        <v>3600</v>
      </c>
      <c r="KG8" s="92" t="s">
        <v>4438</v>
      </c>
      <c r="KH8" s="92" t="s">
        <v>192</v>
      </c>
      <c r="KI8" s="92" t="s">
        <v>109</v>
      </c>
      <c r="KJ8" s="92" t="s">
        <v>192</v>
      </c>
      <c r="KK8" s="92" t="s">
        <v>109</v>
      </c>
      <c r="KL8" s="92" t="s">
        <v>1341</v>
      </c>
      <c r="KM8" s="92">
        <v>4400</v>
      </c>
      <c r="KN8" s="92" t="s">
        <v>4438</v>
      </c>
      <c r="KO8" s="92" t="s">
        <v>1341</v>
      </c>
      <c r="KP8" s="92" t="s">
        <v>1375</v>
      </c>
      <c r="KQ8" s="92" t="s">
        <v>192</v>
      </c>
      <c r="KR8" s="92">
        <v>14</v>
      </c>
      <c r="KS8" s="92" t="s">
        <v>1345</v>
      </c>
      <c r="KT8" s="92" t="s">
        <v>1344</v>
      </c>
      <c r="KU8" s="92">
        <v>18</v>
      </c>
      <c r="KV8" s="92" t="s">
        <v>1441</v>
      </c>
      <c r="KW8" s="92" t="s">
        <v>1344</v>
      </c>
      <c r="KX8" s="92" t="s">
        <v>1376</v>
      </c>
      <c r="KY8" s="92" t="s">
        <v>1347</v>
      </c>
      <c r="KZ8" s="92" t="s">
        <v>5795</v>
      </c>
      <c r="LA8" s="92" t="s">
        <v>109</v>
      </c>
      <c r="LB8" s="92" t="s">
        <v>109</v>
      </c>
      <c r="LC8" s="92" t="s">
        <v>4438</v>
      </c>
      <c r="LD8" s="92" t="s">
        <v>4439</v>
      </c>
      <c r="LE8" s="92" t="s">
        <v>109</v>
      </c>
      <c r="LF8" s="92" t="s">
        <v>109</v>
      </c>
    </row>
    <row r="9" spans="1:318" x14ac:dyDescent="0.25">
      <c r="A9" t="s">
        <v>1453</v>
      </c>
      <c r="B9" t="s">
        <v>1454</v>
      </c>
      <c r="C9" t="s">
        <v>1304</v>
      </c>
      <c r="D9" t="s">
        <v>1305</v>
      </c>
      <c r="E9" t="s">
        <v>1381</v>
      </c>
      <c r="G9" t="s">
        <v>1319</v>
      </c>
      <c r="H9">
        <v>5</v>
      </c>
      <c r="I9" t="s">
        <v>1358</v>
      </c>
      <c r="J9" t="s">
        <v>1350</v>
      </c>
      <c r="K9" t="s">
        <v>1309</v>
      </c>
      <c r="L9" t="s">
        <v>1310</v>
      </c>
      <c r="M9" t="s">
        <v>1310</v>
      </c>
      <c r="N9" t="s">
        <v>1310</v>
      </c>
      <c r="O9" t="s">
        <v>1310</v>
      </c>
      <c r="P9" t="s">
        <v>1309</v>
      </c>
      <c r="Q9" t="s">
        <v>1309</v>
      </c>
      <c r="R9" t="s">
        <v>1309</v>
      </c>
      <c r="S9">
        <v>1</v>
      </c>
      <c r="T9">
        <v>1</v>
      </c>
      <c r="U9" t="s">
        <v>1455</v>
      </c>
      <c r="V9" t="s">
        <v>1312</v>
      </c>
      <c r="W9" t="s">
        <v>1311</v>
      </c>
      <c r="X9" t="s">
        <v>1311</v>
      </c>
      <c r="Y9" t="s">
        <v>1312</v>
      </c>
      <c r="Z9" t="s">
        <v>1312</v>
      </c>
      <c r="AA9">
        <v>0</v>
      </c>
      <c r="AC9">
        <v>5</v>
      </c>
      <c r="AD9">
        <v>15000</v>
      </c>
      <c r="AE9">
        <v>15000</v>
      </c>
      <c r="AF9" t="s">
        <v>1313</v>
      </c>
      <c r="AH9" t="s">
        <v>1314</v>
      </c>
      <c r="AJ9" t="s">
        <v>1315</v>
      </c>
      <c r="AL9" t="s">
        <v>1354</v>
      </c>
      <c r="BS9" t="s">
        <v>1307</v>
      </c>
      <c r="CE9" t="s">
        <v>1414</v>
      </c>
      <c r="CF9" t="s">
        <v>1309</v>
      </c>
      <c r="CG9" t="s">
        <v>1309</v>
      </c>
      <c r="CH9" t="s">
        <v>1309</v>
      </c>
      <c r="CI9" t="s">
        <v>1309</v>
      </c>
      <c r="CJ9" t="s">
        <v>1309</v>
      </c>
      <c r="CK9" t="s">
        <v>1309</v>
      </c>
      <c r="CL9" t="s">
        <v>1309</v>
      </c>
      <c r="CM9" t="s">
        <v>1309</v>
      </c>
      <c r="CN9" t="s">
        <v>1309</v>
      </c>
      <c r="CO9" t="s">
        <v>1309</v>
      </c>
      <c r="CP9" t="s">
        <v>1309</v>
      </c>
      <c r="CQ9" t="s">
        <v>1310</v>
      </c>
      <c r="CR9" t="s">
        <v>1309</v>
      </c>
      <c r="CT9" t="s">
        <v>4434</v>
      </c>
      <c r="CV9" t="s">
        <v>1308</v>
      </c>
      <c r="CW9" t="s">
        <v>1310</v>
      </c>
      <c r="CX9" t="s">
        <v>1309</v>
      </c>
      <c r="CY9" t="s">
        <v>1309</v>
      </c>
      <c r="CZ9" t="s">
        <v>1309</v>
      </c>
      <c r="DA9" t="s">
        <v>1309</v>
      </c>
      <c r="DB9" t="s">
        <v>1309</v>
      </c>
      <c r="DC9" t="s">
        <v>1309</v>
      </c>
      <c r="DE9" t="s">
        <v>1358</v>
      </c>
      <c r="DG9">
        <v>2050</v>
      </c>
      <c r="DI9">
        <v>700</v>
      </c>
      <c r="DJ9" t="s">
        <v>1307</v>
      </c>
      <c r="DK9">
        <v>2300</v>
      </c>
      <c r="DM9">
        <v>700</v>
      </c>
      <c r="DN9" t="s">
        <v>1320</v>
      </c>
      <c r="DO9" t="s">
        <v>1310</v>
      </c>
      <c r="DP9" t="s">
        <v>1309</v>
      </c>
      <c r="DQ9" t="s">
        <v>1309</v>
      </c>
      <c r="DR9" t="s">
        <v>1309</v>
      </c>
      <c r="DS9" t="s">
        <v>1309</v>
      </c>
      <c r="DT9" t="s">
        <v>1310</v>
      </c>
      <c r="DU9" t="s">
        <v>1309</v>
      </c>
      <c r="DV9" t="s">
        <v>1309</v>
      </c>
      <c r="DW9" t="s">
        <v>1309</v>
      </c>
      <c r="DY9" t="s">
        <v>1456</v>
      </c>
      <c r="DZ9">
        <v>580</v>
      </c>
      <c r="EA9" t="s">
        <v>1319</v>
      </c>
      <c r="EC9" t="s">
        <v>1457</v>
      </c>
      <c r="ED9">
        <v>1000</v>
      </c>
      <c r="EE9" t="s">
        <v>1319</v>
      </c>
      <c r="EG9" t="s">
        <v>5357</v>
      </c>
      <c r="ET9" t="s">
        <v>1307</v>
      </c>
      <c r="EV9" t="s">
        <v>1319</v>
      </c>
      <c r="EW9" t="s">
        <v>1409</v>
      </c>
      <c r="EX9" t="s">
        <v>1319</v>
      </c>
      <c r="EY9" t="s">
        <v>1319</v>
      </c>
      <c r="FA9" t="s">
        <v>1458</v>
      </c>
      <c r="FB9" t="s">
        <v>1310</v>
      </c>
      <c r="FC9" t="s">
        <v>1309</v>
      </c>
      <c r="FD9" t="s">
        <v>1309</v>
      </c>
      <c r="FE9" t="s">
        <v>1309</v>
      </c>
      <c r="FF9" t="s">
        <v>1309</v>
      </c>
      <c r="FG9" t="s">
        <v>1309</v>
      </c>
      <c r="FH9" t="s">
        <v>1310</v>
      </c>
      <c r="FI9" t="s">
        <v>1309</v>
      </c>
      <c r="FJ9" t="s">
        <v>1309</v>
      </c>
      <c r="FK9" t="s">
        <v>1309</v>
      </c>
      <c r="FL9" t="s">
        <v>1309</v>
      </c>
      <c r="FM9" t="s">
        <v>1309</v>
      </c>
      <c r="FN9" t="s">
        <v>1309</v>
      </c>
      <c r="FO9" t="s">
        <v>1309</v>
      </c>
      <c r="FP9" t="s">
        <v>1309</v>
      </c>
      <c r="FQ9" t="s">
        <v>1309</v>
      </c>
      <c r="FR9" t="s">
        <v>1309</v>
      </c>
      <c r="FT9" t="s">
        <v>1319</v>
      </c>
      <c r="FU9" t="s">
        <v>1435</v>
      </c>
      <c r="FV9" t="s">
        <v>1310</v>
      </c>
      <c r="FW9" t="s">
        <v>1309</v>
      </c>
      <c r="FX9" t="s">
        <v>1309</v>
      </c>
      <c r="FY9" t="s">
        <v>1309</v>
      </c>
      <c r="FZ9" t="s">
        <v>1309</v>
      </c>
      <c r="GA9" t="s">
        <v>1309</v>
      </c>
      <c r="GB9" t="s">
        <v>1309</v>
      </c>
      <c r="GC9" t="s">
        <v>1309</v>
      </c>
      <c r="GD9" t="s">
        <v>1309</v>
      </c>
      <c r="GE9" t="s">
        <v>1309</v>
      </c>
      <c r="GF9" t="s">
        <v>1309</v>
      </c>
      <c r="GG9" t="s">
        <v>1309</v>
      </c>
      <c r="GI9" t="s">
        <v>1324</v>
      </c>
      <c r="GJ9" t="s">
        <v>1324</v>
      </c>
      <c r="GT9" t="s">
        <v>1325</v>
      </c>
      <c r="GU9" t="s">
        <v>1310</v>
      </c>
      <c r="GV9" t="s">
        <v>1309</v>
      </c>
      <c r="GW9" t="s">
        <v>1309</v>
      </c>
      <c r="GX9" t="s">
        <v>1309</v>
      </c>
      <c r="GY9" t="s">
        <v>1309</v>
      </c>
      <c r="GZ9" t="s">
        <v>1309</v>
      </c>
      <c r="HA9" t="s">
        <v>1309</v>
      </c>
      <c r="HB9" t="s">
        <v>1309</v>
      </c>
      <c r="HC9" t="s">
        <v>1309</v>
      </c>
      <c r="HD9" t="s">
        <v>1309</v>
      </c>
      <c r="HE9" t="s">
        <v>1309</v>
      </c>
      <c r="HF9" t="s">
        <v>1309</v>
      </c>
      <c r="HH9" t="s">
        <v>1326</v>
      </c>
      <c r="HI9" t="s">
        <v>1326</v>
      </c>
      <c r="HJ9" t="s">
        <v>1308</v>
      </c>
      <c r="HK9" t="s">
        <v>1327</v>
      </c>
      <c r="HL9" t="s">
        <v>1437</v>
      </c>
      <c r="HM9" t="s">
        <v>1326</v>
      </c>
      <c r="HN9" t="s">
        <v>1459</v>
      </c>
      <c r="HO9" t="s">
        <v>1310</v>
      </c>
      <c r="HP9" t="s">
        <v>1310</v>
      </c>
      <c r="HQ9" t="s">
        <v>1309</v>
      </c>
      <c r="HR9" t="s">
        <v>1310</v>
      </c>
      <c r="HS9" t="s">
        <v>1309</v>
      </c>
      <c r="HT9" t="s">
        <v>1309</v>
      </c>
      <c r="HU9" t="s">
        <v>1309</v>
      </c>
      <c r="HV9" t="s">
        <v>1309</v>
      </c>
      <c r="HW9" t="s">
        <v>1309</v>
      </c>
      <c r="HX9" t="s">
        <v>1309</v>
      </c>
      <c r="HY9" t="s">
        <v>1309</v>
      </c>
      <c r="IA9" t="s">
        <v>1307</v>
      </c>
      <c r="IQ9" t="s">
        <v>1365</v>
      </c>
      <c r="IS9" t="s">
        <v>1316</v>
      </c>
      <c r="JF9" t="s">
        <v>1331</v>
      </c>
      <c r="JG9" t="s">
        <v>1393</v>
      </c>
      <c r="JH9" t="s">
        <v>1310</v>
      </c>
      <c r="JI9" t="s">
        <v>1309</v>
      </c>
      <c r="JJ9" t="s">
        <v>1309</v>
      </c>
      <c r="JK9" t="s">
        <v>1309</v>
      </c>
      <c r="JL9" t="s">
        <v>1309</v>
      </c>
      <c r="JM9" t="s">
        <v>1309</v>
      </c>
      <c r="JN9" t="s">
        <v>1309</v>
      </c>
      <c r="JO9" t="s">
        <v>1309</v>
      </c>
      <c r="JQ9" s="92" t="s">
        <v>1333</v>
      </c>
      <c r="JR9" s="92" t="s">
        <v>1334</v>
      </c>
      <c r="JS9" s="92">
        <v>46</v>
      </c>
      <c r="JT9" s="92" t="s">
        <v>1319</v>
      </c>
      <c r="JU9" s="92" t="s">
        <v>1396</v>
      </c>
      <c r="JV9" s="92" t="s">
        <v>1336</v>
      </c>
      <c r="JW9" s="92" t="s">
        <v>1296</v>
      </c>
      <c r="JX9" s="92" t="s">
        <v>71</v>
      </c>
      <c r="JY9" s="92" t="s">
        <v>1397</v>
      </c>
      <c r="JZ9" s="92" t="s">
        <v>1337</v>
      </c>
      <c r="KA9" s="92" t="s">
        <v>4846</v>
      </c>
      <c r="KB9" s="92" t="s">
        <v>1370</v>
      </c>
      <c r="KC9" s="92" t="s">
        <v>192</v>
      </c>
      <c r="KD9" s="92" t="s">
        <v>4848</v>
      </c>
      <c r="KE9" s="92" t="s">
        <v>1371</v>
      </c>
      <c r="KF9" s="92">
        <v>2750</v>
      </c>
      <c r="KG9" s="92" t="s">
        <v>4438</v>
      </c>
      <c r="KH9" s="92" t="s">
        <v>192</v>
      </c>
      <c r="KI9" s="92" t="s">
        <v>109</v>
      </c>
      <c r="KJ9" s="92" t="s">
        <v>192</v>
      </c>
      <c r="KK9" s="92" t="s">
        <v>109</v>
      </c>
      <c r="KL9" s="92" t="s">
        <v>1425</v>
      </c>
      <c r="KM9" s="92">
        <v>3000</v>
      </c>
      <c r="KN9" s="92" t="s">
        <v>4438</v>
      </c>
      <c r="KO9" s="92" t="s">
        <v>1425</v>
      </c>
      <c r="KP9" s="92" t="s">
        <v>1460</v>
      </c>
      <c r="KQ9" s="92" t="s">
        <v>192</v>
      </c>
      <c r="KR9" s="92">
        <v>21</v>
      </c>
      <c r="KS9" s="92" t="s">
        <v>1345</v>
      </c>
      <c r="KT9" s="92" t="s">
        <v>1344</v>
      </c>
      <c r="KU9" s="92">
        <v>33</v>
      </c>
      <c r="KV9" s="92" t="s">
        <v>1461</v>
      </c>
      <c r="KW9" s="92" t="s">
        <v>1344</v>
      </c>
      <c r="KX9" s="92" t="s">
        <v>1376</v>
      </c>
      <c r="KY9" s="92" t="s">
        <v>1377</v>
      </c>
      <c r="KZ9" s="92" t="s">
        <v>1403</v>
      </c>
      <c r="LA9" s="92" t="s">
        <v>109</v>
      </c>
      <c r="LB9" s="92" t="s">
        <v>109</v>
      </c>
      <c r="LC9" s="92" t="s">
        <v>4438</v>
      </c>
      <c r="LD9" s="92" t="s">
        <v>4438</v>
      </c>
      <c r="LE9" s="92" t="s">
        <v>192</v>
      </c>
      <c r="LF9" s="92" t="s">
        <v>192</v>
      </c>
    </row>
    <row r="10" spans="1:318" x14ac:dyDescent="0.25">
      <c r="A10" t="s">
        <v>1462</v>
      </c>
      <c r="B10" t="s">
        <v>1463</v>
      </c>
      <c r="C10" t="s">
        <v>1304</v>
      </c>
      <c r="D10" t="s">
        <v>1305</v>
      </c>
      <c r="E10" t="s">
        <v>1306</v>
      </c>
      <c r="G10" t="s">
        <v>1307</v>
      </c>
      <c r="H10">
        <v>3</v>
      </c>
      <c r="I10" t="s">
        <v>1307</v>
      </c>
      <c r="J10" t="s">
        <v>1406</v>
      </c>
      <c r="K10" t="s">
        <v>1309</v>
      </c>
      <c r="L10" t="s">
        <v>1310</v>
      </c>
      <c r="M10" t="s">
        <v>1309</v>
      </c>
      <c r="N10" t="s">
        <v>1309</v>
      </c>
      <c r="O10" t="s">
        <v>1309</v>
      </c>
      <c r="P10" t="s">
        <v>1309</v>
      </c>
      <c r="Q10" t="s">
        <v>1309</v>
      </c>
      <c r="R10" t="s">
        <v>1309</v>
      </c>
      <c r="S10">
        <v>1</v>
      </c>
      <c r="U10" t="s">
        <v>1311</v>
      </c>
      <c r="V10" t="s">
        <v>1312</v>
      </c>
      <c r="W10" t="s">
        <v>1311</v>
      </c>
      <c r="X10" t="s">
        <v>1312</v>
      </c>
      <c r="Y10" t="s">
        <v>1312</v>
      </c>
      <c r="Z10" t="s">
        <v>1312</v>
      </c>
      <c r="AC10">
        <v>1</v>
      </c>
      <c r="AD10">
        <v>4500</v>
      </c>
      <c r="AE10">
        <v>17000</v>
      </c>
      <c r="AF10" t="s">
        <v>1313</v>
      </c>
      <c r="AH10" t="s">
        <v>1383</v>
      </c>
      <c r="AJ10" t="s">
        <v>1315</v>
      </c>
      <c r="AL10" t="s">
        <v>1354</v>
      </c>
      <c r="BS10" t="s">
        <v>1307</v>
      </c>
      <c r="CE10" t="s">
        <v>1355</v>
      </c>
      <c r="CF10" t="s">
        <v>1309</v>
      </c>
      <c r="CG10" t="s">
        <v>1309</v>
      </c>
      <c r="CH10" t="s">
        <v>1309</v>
      </c>
      <c r="CI10" t="s">
        <v>1309</v>
      </c>
      <c r="CJ10" t="s">
        <v>1309</v>
      </c>
      <c r="CK10" t="s">
        <v>1309</v>
      </c>
      <c r="CL10" t="s">
        <v>1309</v>
      </c>
      <c r="CM10" t="s">
        <v>1309</v>
      </c>
      <c r="CN10" t="s">
        <v>1310</v>
      </c>
      <c r="CO10" t="s">
        <v>1309</v>
      </c>
      <c r="CP10" t="s">
        <v>1309</v>
      </c>
      <c r="CQ10" t="s">
        <v>1309</v>
      </c>
      <c r="CR10" t="s">
        <v>1309</v>
      </c>
      <c r="CT10" t="s">
        <v>4435</v>
      </c>
      <c r="CV10" t="s">
        <v>1308</v>
      </c>
      <c r="CW10" t="s">
        <v>1310</v>
      </c>
      <c r="CX10" t="s">
        <v>1309</v>
      </c>
      <c r="CY10" t="s">
        <v>1309</v>
      </c>
      <c r="CZ10" t="s">
        <v>1309</v>
      </c>
      <c r="DA10" t="s">
        <v>1309</v>
      </c>
      <c r="DB10" t="s">
        <v>1309</v>
      </c>
      <c r="DC10" t="s">
        <v>1309</v>
      </c>
      <c r="DE10" t="s">
        <v>1358</v>
      </c>
      <c r="DF10" t="s">
        <v>1319</v>
      </c>
      <c r="DG10">
        <v>100</v>
      </c>
      <c r="DH10">
        <v>1600</v>
      </c>
      <c r="DI10">
        <v>150</v>
      </c>
      <c r="DJ10" t="s">
        <v>1307</v>
      </c>
      <c r="DK10">
        <v>100</v>
      </c>
      <c r="DL10">
        <v>2300</v>
      </c>
      <c r="DM10">
        <v>200</v>
      </c>
      <c r="DN10" t="s">
        <v>1464</v>
      </c>
      <c r="DO10" t="s">
        <v>1310</v>
      </c>
      <c r="DP10" t="s">
        <v>1309</v>
      </c>
      <c r="DQ10" t="s">
        <v>1310</v>
      </c>
      <c r="DR10" t="s">
        <v>1309</v>
      </c>
      <c r="DS10" t="s">
        <v>1309</v>
      </c>
      <c r="DT10" t="s">
        <v>1310</v>
      </c>
      <c r="DU10" t="s">
        <v>1309</v>
      </c>
      <c r="DV10" t="s">
        <v>1309</v>
      </c>
      <c r="DW10" t="s">
        <v>1309</v>
      </c>
      <c r="DY10" t="s">
        <v>1456</v>
      </c>
      <c r="DZ10">
        <v>800</v>
      </c>
      <c r="EA10" t="s">
        <v>1319</v>
      </c>
      <c r="EC10" t="s">
        <v>1457</v>
      </c>
      <c r="ED10">
        <v>800</v>
      </c>
      <c r="EE10" t="s">
        <v>1307</v>
      </c>
      <c r="EF10">
        <v>1000</v>
      </c>
      <c r="EG10" t="s">
        <v>5357</v>
      </c>
      <c r="ET10" t="s">
        <v>1307</v>
      </c>
      <c r="EV10" t="s">
        <v>1319</v>
      </c>
      <c r="EW10" t="s">
        <v>1409</v>
      </c>
      <c r="EX10" t="s">
        <v>1319</v>
      </c>
      <c r="EY10" t="s">
        <v>1319</v>
      </c>
      <c r="FA10" t="s">
        <v>1465</v>
      </c>
      <c r="FB10" t="s">
        <v>1309</v>
      </c>
      <c r="FC10" t="s">
        <v>1309</v>
      </c>
      <c r="FD10" t="s">
        <v>1309</v>
      </c>
      <c r="FE10" t="s">
        <v>1309</v>
      </c>
      <c r="FF10" t="s">
        <v>1309</v>
      </c>
      <c r="FG10" t="s">
        <v>1309</v>
      </c>
      <c r="FH10" t="s">
        <v>1310</v>
      </c>
      <c r="FI10" t="s">
        <v>1310</v>
      </c>
      <c r="FJ10" t="s">
        <v>1309</v>
      </c>
      <c r="FK10" t="s">
        <v>1309</v>
      </c>
      <c r="FL10" t="s">
        <v>1309</v>
      </c>
      <c r="FM10" t="s">
        <v>1310</v>
      </c>
      <c r="FN10" t="s">
        <v>1309</v>
      </c>
      <c r="FO10" t="s">
        <v>1309</v>
      </c>
      <c r="FP10" t="s">
        <v>1309</v>
      </c>
      <c r="FQ10" t="s">
        <v>1309</v>
      </c>
      <c r="FR10" t="s">
        <v>1309</v>
      </c>
      <c r="FT10" t="s">
        <v>1319</v>
      </c>
      <c r="FU10" t="s">
        <v>1389</v>
      </c>
      <c r="FV10" t="s">
        <v>1310</v>
      </c>
      <c r="FW10" t="s">
        <v>1310</v>
      </c>
      <c r="FX10" t="s">
        <v>1309</v>
      </c>
      <c r="FY10" t="s">
        <v>1309</v>
      </c>
      <c r="FZ10" t="s">
        <v>1309</v>
      </c>
      <c r="GA10" t="s">
        <v>1310</v>
      </c>
      <c r="GB10" t="s">
        <v>1309</v>
      </c>
      <c r="GC10" t="s">
        <v>1309</v>
      </c>
      <c r="GD10" t="s">
        <v>1309</v>
      </c>
      <c r="GE10" t="s">
        <v>1309</v>
      </c>
      <c r="GF10" t="s">
        <v>1309</v>
      </c>
      <c r="GG10" t="s">
        <v>1309</v>
      </c>
      <c r="GI10" t="s">
        <v>1324</v>
      </c>
      <c r="GJ10" t="s">
        <v>1324</v>
      </c>
      <c r="GT10" t="s">
        <v>1325</v>
      </c>
      <c r="GU10" t="s">
        <v>1310</v>
      </c>
      <c r="GV10" t="s">
        <v>1309</v>
      </c>
      <c r="GW10" t="s">
        <v>1309</v>
      </c>
      <c r="GX10" t="s">
        <v>1309</v>
      </c>
      <c r="GY10" t="s">
        <v>1309</v>
      </c>
      <c r="GZ10" t="s">
        <v>1309</v>
      </c>
      <c r="HA10" t="s">
        <v>1309</v>
      </c>
      <c r="HB10" t="s">
        <v>1309</v>
      </c>
      <c r="HC10" t="s">
        <v>1309</v>
      </c>
      <c r="HD10" t="s">
        <v>1309</v>
      </c>
      <c r="HE10" t="s">
        <v>1309</v>
      </c>
      <c r="HF10" t="s">
        <v>1309</v>
      </c>
      <c r="HH10" t="s">
        <v>1390</v>
      </c>
      <c r="HI10" t="s">
        <v>1390</v>
      </c>
      <c r="HJ10" t="s">
        <v>1390</v>
      </c>
      <c r="HK10" t="s">
        <v>1390</v>
      </c>
      <c r="HL10" t="s">
        <v>1437</v>
      </c>
      <c r="HM10" t="s">
        <v>1326</v>
      </c>
      <c r="HN10" t="s">
        <v>1459</v>
      </c>
      <c r="HO10" t="s">
        <v>1310</v>
      </c>
      <c r="HP10" t="s">
        <v>1310</v>
      </c>
      <c r="HQ10" t="s">
        <v>1309</v>
      </c>
      <c r="HR10" t="s">
        <v>1310</v>
      </c>
      <c r="HS10" t="s">
        <v>1309</v>
      </c>
      <c r="HT10" t="s">
        <v>1309</v>
      </c>
      <c r="HU10" t="s">
        <v>1309</v>
      </c>
      <c r="HV10" t="s">
        <v>1309</v>
      </c>
      <c r="HW10" t="s">
        <v>1309</v>
      </c>
      <c r="HX10" t="s">
        <v>1309</v>
      </c>
      <c r="HY10" t="s">
        <v>1309</v>
      </c>
      <c r="IA10" t="s">
        <v>1307</v>
      </c>
      <c r="IQ10" t="s">
        <v>1365</v>
      </c>
      <c r="IS10" t="s">
        <v>1354</v>
      </c>
      <c r="JF10" t="s">
        <v>1413</v>
      </c>
      <c r="JG10" t="s">
        <v>1393</v>
      </c>
      <c r="JH10" t="s">
        <v>1310</v>
      </c>
      <c r="JI10" t="s">
        <v>1309</v>
      </c>
      <c r="JJ10" t="s">
        <v>1309</v>
      </c>
      <c r="JK10" t="s">
        <v>1309</v>
      </c>
      <c r="JL10" t="s">
        <v>1309</v>
      </c>
      <c r="JM10" t="s">
        <v>1309</v>
      </c>
      <c r="JN10" t="s">
        <v>1309</v>
      </c>
      <c r="JO10" t="s">
        <v>1309</v>
      </c>
      <c r="JQ10" s="92" t="s">
        <v>1333</v>
      </c>
      <c r="JR10" s="92" t="s">
        <v>1334</v>
      </c>
      <c r="JS10" s="92">
        <v>44</v>
      </c>
      <c r="JT10" s="92" t="s">
        <v>1319</v>
      </c>
      <c r="JU10" s="92" t="s">
        <v>1335</v>
      </c>
      <c r="JV10" s="92" t="s">
        <v>1336</v>
      </c>
      <c r="JW10" s="92" t="s">
        <v>1296</v>
      </c>
      <c r="JX10" s="92" t="s">
        <v>71</v>
      </c>
      <c r="JY10" s="92" t="s">
        <v>5549</v>
      </c>
      <c r="JZ10" s="92" t="s">
        <v>1337</v>
      </c>
      <c r="KA10" s="92" t="s">
        <v>4845</v>
      </c>
      <c r="KB10" s="92" t="s">
        <v>1415</v>
      </c>
      <c r="KC10" s="92" t="s">
        <v>109</v>
      </c>
      <c r="KD10" s="92" t="s">
        <v>4844</v>
      </c>
      <c r="KE10" s="92" t="s">
        <v>5560</v>
      </c>
      <c r="KF10" s="92">
        <v>1850</v>
      </c>
      <c r="KG10" s="92" t="s">
        <v>4439</v>
      </c>
      <c r="KH10" s="92" t="s">
        <v>192</v>
      </c>
      <c r="KI10" s="92" t="s">
        <v>192</v>
      </c>
      <c r="KJ10" s="92" t="s">
        <v>192</v>
      </c>
      <c r="KK10" s="92" t="s">
        <v>192</v>
      </c>
      <c r="KL10" s="92" t="s">
        <v>1440</v>
      </c>
      <c r="KM10" s="92">
        <v>2600</v>
      </c>
      <c r="KN10" s="92" t="s">
        <v>1400</v>
      </c>
      <c r="KO10" s="92" t="s">
        <v>1425</v>
      </c>
      <c r="KP10" s="92" t="s">
        <v>1342</v>
      </c>
      <c r="KQ10" s="92" t="s">
        <v>192</v>
      </c>
      <c r="KR10" s="92">
        <v>43</v>
      </c>
      <c r="KS10" s="92" t="s">
        <v>1466</v>
      </c>
      <c r="KT10" s="92" t="s">
        <v>1344</v>
      </c>
      <c r="KU10" s="92">
        <v>31</v>
      </c>
      <c r="KV10" s="92" t="s">
        <v>1441</v>
      </c>
      <c r="KW10" s="92" t="s">
        <v>1467</v>
      </c>
      <c r="KX10" s="92" t="s">
        <v>1376</v>
      </c>
      <c r="KY10" s="92" t="s">
        <v>1377</v>
      </c>
      <c r="KZ10" s="92" t="s">
        <v>5795</v>
      </c>
      <c r="LA10" s="92" t="s">
        <v>109</v>
      </c>
      <c r="LB10" s="92" t="s">
        <v>109</v>
      </c>
      <c r="LC10" s="92" t="s">
        <v>1372</v>
      </c>
      <c r="LD10" s="92" t="s">
        <v>4438</v>
      </c>
      <c r="LE10" s="92" t="s">
        <v>192</v>
      </c>
      <c r="LF10" s="92" t="s">
        <v>192</v>
      </c>
    </row>
    <row r="11" spans="1:318" x14ac:dyDescent="0.25">
      <c r="A11" t="s">
        <v>1468</v>
      </c>
      <c r="B11" t="s">
        <v>1469</v>
      </c>
      <c r="C11" t="s">
        <v>1304</v>
      </c>
      <c r="D11" t="s">
        <v>1305</v>
      </c>
      <c r="E11" t="s">
        <v>1306</v>
      </c>
      <c r="G11" t="s">
        <v>1307</v>
      </c>
      <c r="H11">
        <v>4</v>
      </c>
      <c r="I11" t="s">
        <v>1307</v>
      </c>
      <c r="J11" t="s">
        <v>1406</v>
      </c>
      <c r="K11" t="s">
        <v>1309</v>
      </c>
      <c r="L11" t="s">
        <v>1310</v>
      </c>
      <c r="M11" t="s">
        <v>1309</v>
      </c>
      <c r="N11" t="s">
        <v>1309</v>
      </c>
      <c r="O11" t="s">
        <v>1309</v>
      </c>
      <c r="P11" t="s">
        <v>1309</v>
      </c>
      <c r="Q11" t="s">
        <v>1309</v>
      </c>
      <c r="R11" t="s">
        <v>1309</v>
      </c>
      <c r="S11">
        <v>2</v>
      </c>
      <c r="U11" t="s">
        <v>1312</v>
      </c>
      <c r="V11" t="s">
        <v>1312</v>
      </c>
      <c r="W11" t="s">
        <v>1312</v>
      </c>
      <c r="X11" t="s">
        <v>1312</v>
      </c>
      <c r="Y11" t="s">
        <v>1312</v>
      </c>
      <c r="Z11" t="s">
        <v>1312</v>
      </c>
      <c r="AC11">
        <v>1</v>
      </c>
      <c r="AD11">
        <v>3000</v>
      </c>
      <c r="AE11">
        <v>10000</v>
      </c>
      <c r="AF11" t="s">
        <v>1313</v>
      </c>
      <c r="AH11" t="s">
        <v>1383</v>
      </c>
      <c r="AJ11" t="s">
        <v>1315</v>
      </c>
      <c r="AL11" t="s">
        <v>1354</v>
      </c>
      <c r="BS11" t="s">
        <v>1307</v>
      </c>
      <c r="CE11" t="s">
        <v>1414</v>
      </c>
      <c r="CF11" t="s">
        <v>1309</v>
      </c>
      <c r="CG11" t="s">
        <v>1309</v>
      </c>
      <c r="CH11" t="s">
        <v>1309</v>
      </c>
      <c r="CI11" t="s">
        <v>1309</v>
      </c>
      <c r="CJ11" t="s">
        <v>1309</v>
      </c>
      <c r="CK11" t="s">
        <v>1309</v>
      </c>
      <c r="CL11" t="s">
        <v>1309</v>
      </c>
      <c r="CM11" t="s">
        <v>1309</v>
      </c>
      <c r="CN11" t="s">
        <v>1309</v>
      </c>
      <c r="CO11" t="s">
        <v>1309</v>
      </c>
      <c r="CP11" t="s">
        <v>1309</v>
      </c>
      <c r="CQ11" t="s">
        <v>1310</v>
      </c>
      <c r="CR11" t="s">
        <v>1309</v>
      </c>
      <c r="CT11" t="s">
        <v>4435</v>
      </c>
      <c r="CV11" t="s">
        <v>1308</v>
      </c>
      <c r="CW11" t="s">
        <v>1310</v>
      </c>
      <c r="CX11" t="s">
        <v>1309</v>
      </c>
      <c r="CY11" t="s">
        <v>1309</v>
      </c>
      <c r="CZ11" t="s">
        <v>1309</v>
      </c>
      <c r="DA11" t="s">
        <v>1309</v>
      </c>
      <c r="DB11" t="s">
        <v>1309</v>
      </c>
      <c r="DC11" t="s">
        <v>1309</v>
      </c>
      <c r="DE11" t="s">
        <v>1318</v>
      </c>
      <c r="DF11" t="s">
        <v>1319</v>
      </c>
      <c r="DG11">
        <v>100</v>
      </c>
      <c r="DH11">
        <v>1200</v>
      </c>
      <c r="DI11">
        <v>250</v>
      </c>
      <c r="DJ11" t="s">
        <v>1318</v>
      </c>
      <c r="DK11">
        <v>50</v>
      </c>
      <c r="DL11">
        <v>1300</v>
      </c>
      <c r="DM11">
        <v>200</v>
      </c>
      <c r="DN11" t="s">
        <v>1320</v>
      </c>
      <c r="DO11" t="s">
        <v>1310</v>
      </c>
      <c r="DP11" t="s">
        <v>1309</v>
      </c>
      <c r="DQ11" t="s">
        <v>1309</v>
      </c>
      <c r="DR11" t="s">
        <v>1309</v>
      </c>
      <c r="DS11" t="s">
        <v>1309</v>
      </c>
      <c r="DT11" t="s">
        <v>1310</v>
      </c>
      <c r="DU11" t="s">
        <v>1309</v>
      </c>
      <c r="DV11" t="s">
        <v>1309</v>
      </c>
      <c r="DW11" t="s">
        <v>1309</v>
      </c>
      <c r="DY11" t="s">
        <v>1456</v>
      </c>
      <c r="DZ11">
        <v>800</v>
      </c>
      <c r="EA11" t="s">
        <v>1319</v>
      </c>
      <c r="EC11" t="s">
        <v>1457</v>
      </c>
      <c r="ED11">
        <v>800</v>
      </c>
      <c r="EE11" t="s">
        <v>1319</v>
      </c>
      <c r="EG11" t="s">
        <v>5357</v>
      </c>
      <c r="ET11" t="s">
        <v>1307</v>
      </c>
      <c r="EV11" t="s">
        <v>1319</v>
      </c>
      <c r="EW11" t="s">
        <v>1414</v>
      </c>
      <c r="EX11" t="s">
        <v>1319</v>
      </c>
      <c r="EY11" t="s">
        <v>1319</v>
      </c>
      <c r="FA11" t="s">
        <v>1470</v>
      </c>
      <c r="FB11" t="s">
        <v>1309</v>
      </c>
      <c r="FC11" t="s">
        <v>1309</v>
      </c>
      <c r="FD11" t="s">
        <v>1309</v>
      </c>
      <c r="FE11" t="s">
        <v>1309</v>
      </c>
      <c r="FF11" t="s">
        <v>1309</v>
      </c>
      <c r="FG11" t="s">
        <v>1309</v>
      </c>
      <c r="FH11" t="s">
        <v>1310</v>
      </c>
      <c r="FI11" t="s">
        <v>1309</v>
      </c>
      <c r="FJ11" t="s">
        <v>1309</v>
      </c>
      <c r="FK11" t="s">
        <v>1309</v>
      </c>
      <c r="FL11" t="s">
        <v>1309</v>
      </c>
      <c r="FM11" t="s">
        <v>1309</v>
      </c>
      <c r="FN11" t="s">
        <v>1309</v>
      </c>
      <c r="FO11" t="s">
        <v>1309</v>
      </c>
      <c r="FP11" t="s">
        <v>1309</v>
      </c>
      <c r="FQ11" t="s">
        <v>1309</v>
      </c>
      <c r="FR11" t="s">
        <v>1309</v>
      </c>
      <c r="FT11" t="s">
        <v>1319</v>
      </c>
      <c r="FU11" t="s">
        <v>1471</v>
      </c>
      <c r="FV11" t="s">
        <v>1310</v>
      </c>
      <c r="FW11" t="s">
        <v>1309</v>
      </c>
      <c r="FX11" t="s">
        <v>1309</v>
      </c>
      <c r="FY11" t="s">
        <v>1310</v>
      </c>
      <c r="FZ11" t="s">
        <v>1309</v>
      </c>
      <c r="GA11" t="s">
        <v>1309</v>
      </c>
      <c r="GB11" t="s">
        <v>1309</v>
      </c>
      <c r="GC11" t="s">
        <v>1309</v>
      </c>
      <c r="GD11" t="s">
        <v>1309</v>
      </c>
      <c r="GE11" t="s">
        <v>1309</v>
      </c>
      <c r="GF11" t="s">
        <v>1309</v>
      </c>
      <c r="GG11" t="s">
        <v>1309</v>
      </c>
      <c r="GI11" t="s">
        <v>1324</v>
      </c>
      <c r="GJ11" t="s">
        <v>1324</v>
      </c>
      <c r="GT11" t="s">
        <v>1325</v>
      </c>
      <c r="GU11" t="s">
        <v>1310</v>
      </c>
      <c r="GV11" t="s">
        <v>1309</v>
      </c>
      <c r="GW11" t="s">
        <v>1309</v>
      </c>
      <c r="GX11" t="s">
        <v>1309</v>
      </c>
      <c r="GY11" t="s">
        <v>1309</v>
      </c>
      <c r="GZ11" t="s">
        <v>1309</v>
      </c>
      <c r="HA11" t="s">
        <v>1309</v>
      </c>
      <c r="HB11" t="s">
        <v>1309</v>
      </c>
      <c r="HC11" t="s">
        <v>1309</v>
      </c>
      <c r="HD11" t="s">
        <v>1309</v>
      </c>
      <c r="HE11" t="s">
        <v>1309</v>
      </c>
      <c r="HF11" t="s">
        <v>1309</v>
      </c>
      <c r="HH11" t="s">
        <v>1326</v>
      </c>
      <c r="HI11" t="s">
        <v>1327</v>
      </c>
      <c r="HJ11" t="s">
        <v>1308</v>
      </c>
      <c r="HK11" t="s">
        <v>1327</v>
      </c>
      <c r="HL11" t="s">
        <v>1328</v>
      </c>
      <c r="HM11" t="s">
        <v>1326</v>
      </c>
      <c r="HN11" t="s">
        <v>1435</v>
      </c>
      <c r="HO11" t="s">
        <v>1309</v>
      </c>
      <c r="HP11" t="s">
        <v>1310</v>
      </c>
      <c r="HQ11" t="s">
        <v>1309</v>
      </c>
      <c r="HR11" t="s">
        <v>1309</v>
      </c>
      <c r="HS11" t="s">
        <v>1309</v>
      </c>
      <c r="HT11" t="s">
        <v>1309</v>
      </c>
      <c r="HU11" t="s">
        <v>1309</v>
      </c>
      <c r="HV11" t="s">
        <v>1309</v>
      </c>
      <c r="HW11" t="s">
        <v>1309</v>
      </c>
      <c r="HX11" t="s">
        <v>1309</v>
      </c>
      <c r="HY11" t="s">
        <v>1309</v>
      </c>
      <c r="IA11" t="s">
        <v>1307</v>
      </c>
      <c r="IQ11" t="s">
        <v>1308</v>
      </c>
      <c r="IS11" t="s">
        <v>1354</v>
      </c>
      <c r="JF11" t="s">
        <v>1331</v>
      </c>
      <c r="JG11" t="s">
        <v>1414</v>
      </c>
      <c r="JH11" t="s">
        <v>1309</v>
      </c>
      <c r="JI11" t="s">
        <v>1309</v>
      </c>
      <c r="JJ11" t="s">
        <v>1309</v>
      </c>
      <c r="JK11" t="s">
        <v>1309</v>
      </c>
      <c r="JL11" t="s">
        <v>1309</v>
      </c>
      <c r="JM11" t="s">
        <v>1309</v>
      </c>
      <c r="JN11" t="s">
        <v>1310</v>
      </c>
      <c r="JO11" t="s">
        <v>1309</v>
      </c>
      <c r="JQ11" s="92" t="s">
        <v>1333</v>
      </c>
      <c r="JR11" s="92" t="s">
        <v>1334</v>
      </c>
      <c r="JS11" s="92">
        <v>37</v>
      </c>
      <c r="JT11" s="92" t="s">
        <v>1319</v>
      </c>
      <c r="JU11" s="92" t="s">
        <v>1335</v>
      </c>
      <c r="JV11" s="92" t="s">
        <v>1336</v>
      </c>
      <c r="JW11" s="92" t="s">
        <v>1296</v>
      </c>
      <c r="JX11" s="92" t="s">
        <v>71</v>
      </c>
      <c r="JY11" s="92" t="s">
        <v>5549</v>
      </c>
      <c r="JZ11" s="92" t="s">
        <v>1337</v>
      </c>
      <c r="KA11" s="92" t="s">
        <v>4845</v>
      </c>
      <c r="KB11" s="92" t="s">
        <v>1415</v>
      </c>
      <c r="KC11" s="92" t="s">
        <v>109</v>
      </c>
      <c r="KD11" s="92" t="s">
        <v>4844</v>
      </c>
      <c r="KE11" s="92" t="s">
        <v>5560</v>
      </c>
      <c r="KF11" s="92">
        <v>1550</v>
      </c>
      <c r="KG11" s="92" t="s">
        <v>1400</v>
      </c>
      <c r="KH11" s="92" t="s">
        <v>192</v>
      </c>
      <c r="KI11" s="92" t="s">
        <v>192</v>
      </c>
      <c r="KJ11" s="92" t="s">
        <v>192</v>
      </c>
      <c r="KK11" s="92" t="s">
        <v>192</v>
      </c>
      <c r="KL11" s="92" t="s">
        <v>1440</v>
      </c>
      <c r="KM11" s="92">
        <v>1550</v>
      </c>
      <c r="KN11" s="92" t="s">
        <v>1400</v>
      </c>
      <c r="KO11" s="92" t="s">
        <v>1440</v>
      </c>
      <c r="KP11" s="92" t="s">
        <v>1342</v>
      </c>
      <c r="KQ11" s="92" t="s">
        <v>192</v>
      </c>
      <c r="KR11" s="92">
        <v>52</v>
      </c>
      <c r="KS11" s="92" t="s">
        <v>1466</v>
      </c>
      <c r="KT11" s="92" t="s">
        <v>1344</v>
      </c>
      <c r="KU11" s="92">
        <v>52</v>
      </c>
      <c r="KV11" s="92" t="s">
        <v>1441</v>
      </c>
      <c r="KW11" s="92" t="s">
        <v>1344</v>
      </c>
      <c r="KX11" s="92" t="s">
        <v>1376</v>
      </c>
      <c r="KY11" s="92" t="s">
        <v>1377</v>
      </c>
      <c r="KZ11" s="92" t="s">
        <v>5795</v>
      </c>
      <c r="LA11" s="92" t="s">
        <v>109</v>
      </c>
      <c r="LB11" s="92" t="s">
        <v>109</v>
      </c>
      <c r="LC11" s="92" t="s">
        <v>4438</v>
      </c>
      <c r="LD11" s="92" t="s">
        <v>4438</v>
      </c>
      <c r="LE11" s="92" t="s">
        <v>192</v>
      </c>
      <c r="LF11" s="92" t="s">
        <v>192</v>
      </c>
    </row>
    <row r="12" spans="1:318" x14ac:dyDescent="0.25">
      <c r="A12" t="s">
        <v>1472</v>
      </c>
      <c r="B12" t="s">
        <v>1473</v>
      </c>
      <c r="C12" t="s">
        <v>1304</v>
      </c>
      <c r="D12" t="s">
        <v>1429</v>
      </c>
      <c r="E12" t="s">
        <v>1306</v>
      </c>
      <c r="G12" t="s">
        <v>1307</v>
      </c>
      <c r="H12">
        <v>2</v>
      </c>
      <c r="I12" t="s">
        <v>1318</v>
      </c>
      <c r="J12" t="s">
        <v>1430</v>
      </c>
      <c r="K12" t="s">
        <v>1309</v>
      </c>
      <c r="L12" t="s">
        <v>1309</v>
      </c>
      <c r="M12" t="s">
        <v>1310</v>
      </c>
      <c r="N12" t="s">
        <v>1309</v>
      </c>
      <c r="O12" t="s">
        <v>1309</v>
      </c>
      <c r="P12" t="s">
        <v>1309</v>
      </c>
      <c r="Q12" t="s">
        <v>1309</v>
      </c>
      <c r="R12" t="s">
        <v>1309</v>
      </c>
      <c r="T12">
        <v>1</v>
      </c>
      <c r="U12" t="s">
        <v>1312</v>
      </c>
      <c r="V12" t="s">
        <v>1312</v>
      </c>
      <c r="W12" t="s">
        <v>1312</v>
      </c>
      <c r="X12" t="s">
        <v>1312</v>
      </c>
      <c r="Y12" t="s">
        <v>1312</v>
      </c>
      <c r="Z12" t="s">
        <v>1312</v>
      </c>
      <c r="AC12">
        <v>1</v>
      </c>
      <c r="AD12">
        <v>4000</v>
      </c>
      <c r="AE12">
        <v>1000</v>
      </c>
      <c r="AF12" t="s">
        <v>1351</v>
      </c>
      <c r="AH12" t="s">
        <v>1314</v>
      </c>
      <c r="AJ12" t="s">
        <v>1353</v>
      </c>
      <c r="AL12" t="s">
        <v>1354</v>
      </c>
      <c r="BA12" t="s">
        <v>1354</v>
      </c>
      <c r="BS12" t="s">
        <v>1307</v>
      </c>
      <c r="CE12" t="s">
        <v>1355</v>
      </c>
      <c r="CF12" t="s">
        <v>1309</v>
      </c>
      <c r="CG12" t="s">
        <v>1309</v>
      </c>
      <c r="CH12" t="s">
        <v>1309</v>
      </c>
      <c r="CI12" t="s">
        <v>1309</v>
      </c>
      <c r="CJ12" t="s">
        <v>1309</v>
      </c>
      <c r="CK12" t="s">
        <v>1309</v>
      </c>
      <c r="CL12" t="s">
        <v>1309</v>
      </c>
      <c r="CM12" t="s">
        <v>1309</v>
      </c>
      <c r="CN12" t="s">
        <v>1310</v>
      </c>
      <c r="CO12" t="s">
        <v>1309</v>
      </c>
      <c r="CP12" t="s">
        <v>1309</v>
      </c>
      <c r="CQ12" t="s">
        <v>1309</v>
      </c>
      <c r="CR12" t="s">
        <v>1309</v>
      </c>
      <c r="CT12" t="s">
        <v>4434</v>
      </c>
      <c r="CV12" t="s">
        <v>1357</v>
      </c>
      <c r="CW12" t="s">
        <v>1309</v>
      </c>
      <c r="CX12" t="s">
        <v>1309</v>
      </c>
      <c r="CY12" t="s">
        <v>1309</v>
      </c>
      <c r="CZ12" t="s">
        <v>1309</v>
      </c>
      <c r="DA12" t="s">
        <v>1310</v>
      </c>
      <c r="DB12" t="s">
        <v>1309</v>
      </c>
      <c r="DC12" t="s">
        <v>1309</v>
      </c>
      <c r="DE12" t="s">
        <v>1358</v>
      </c>
      <c r="DG12">
        <v>2200</v>
      </c>
      <c r="DI12">
        <v>400</v>
      </c>
      <c r="DJ12" t="s">
        <v>1358</v>
      </c>
      <c r="DK12">
        <v>2700</v>
      </c>
      <c r="DM12">
        <v>400</v>
      </c>
      <c r="DN12" t="s">
        <v>1320</v>
      </c>
      <c r="DO12" t="s">
        <v>1310</v>
      </c>
      <c r="DP12" t="s">
        <v>1309</v>
      </c>
      <c r="DQ12" t="s">
        <v>1309</v>
      </c>
      <c r="DR12" t="s">
        <v>1309</v>
      </c>
      <c r="DS12" t="s">
        <v>1309</v>
      </c>
      <c r="DT12" t="s">
        <v>1310</v>
      </c>
      <c r="DU12" t="s">
        <v>1309</v>
      </c>
      <c r="DV12" t="s">
        <v>1309</v>
      </c>
      <c r="DW12" t="s">
        <v>1309</v>
      </c>
      <c r="DY12" t="s">
        <v>1456</v>
      </c>
      <c r="DZ12">
        <v>350</v>
      </c>
      <c r="EA12" t="s">
        <v>1319</v>
      </c>
      <c r="EC12" t="s">
        <v>1474</v>
      </c>
      <c r="ED12">
        <v>1000</v>
      </c>
      <c r="EE12" t="s">
        <v>1319</v>
      </c>
      <c r="EG12" t="s">
        <v>5357</v>
      </c>
      <c r="ET12" t="s">
        <v>1307</v>
      </c>
      <c r="EV12" t="s">
        <v>1307</v>
      </c>
      <c r="EX12" t="s">
        <v>1319</v>
      </c>
      <c r="EY12" t="s">
        <v>1319</v>
      </c>
      <c r="FA12" t="s">
        <v>1475</v>
      </c>
      <c r="FB12" t="s">
        <v>1309</v>
      </c>
      <c r="FC12" t="s">
        <v>1309</v>
      </c>
      <c r="FD12" t="s">
        <v>1309</v>
      </c>
      <c r="FE12" t="s">
        <v>1310</v>
      </c>
      <c r="FF12" t="s">
        <v>1309</v>
      </c>
      <c r="FG12" t="s">
        <v>1310</v>
      </c>
      <c r="FH12" t="s">
        <v>1310</v>
      </c>
      <c r="FI12" t="s">
        <v>1310</v>
      </c>
      <c r="FJ12" t="s">
        <v>1310</v>
      </c>
      <c r="FK12" t="s">
        <v>1310</v>
      </c>
      <c r="FL12" t="s">
        <v>1309</v>
      </c>
      <c r="FM12" t="s">
        <v>1309</v>
      </c>
      <c r="FN12" t="s">
        <v>1309</v>
      </c>
      <c r="FO12" t="s">
        <v>1309</v>
      </c>
      <c r="FP12" t="s">
        <v>1309</v>
      </c>
      <c r="FQ12" t="s">
        <v>1309</v>
      </c>
      <c r="FR12" t="s">
        <v>1309</v>
      </c>
      <c r="FT12" t="s">
        <v>1307</v>
      </c>
      <c r="GI12" t="s">
        <v>1324</v>
      </c>
      <c r="GJ12" t="s">
        <v>1324</v>
      </c>
      <c r="GT12" t="s">
        <v>1325</v>
      </c>
      <c r="GU12" t="s">
        <v>1310</v>
      </c>
      <c r="GV12" t="s">
        <v>1309</v>
      </c>
      <c r="GW12" t="s">
        <v>1309</v>
      </c>
      <c r="GX12" t="s">
        <v>1309</v>
      </c>
      <c r="GY12" t="s">
        <v>1309</v>
      </c>
      <c r="GZ12" t="s">
        <v>1309</v>
      </c>
      <c r="HA12" t="s">
        <v>1309</v>
      </c>
      <c r="HB12" t="s">
        <v>1309</v>
      </c>
      <c r="HC12" t="s">
        <v>1309</v>
      </c>
      <c r="HD12" t="s">
        <v>1309</v>
      </c>
      <c r="HE12" t="s">
        <v>1309</v>
      </c>
      <c r="HF12" t="s">
        <v>1309</v>
      </c>
      <c r="HH12" t="s">
        <v>1363</v>
      </c>
      <c r="HI12" t="s">
        <v>1363</v>
      </c>
      <c r="HJ12" t="s">
        <v>1363</v>
      </c>
      <c r="HK12" t="s">
        <v>1363</v>
      </c>
      <c r="HL12" t="s">
        <v>1364</v>
      </c>
      <c r="HM12" t="s">
        <v>1363</v>
      </c>
      <c r="IA12" t="s">
        <v>1307</v>
      </c>
      <c r="IQ12" t="s">
        <v>1308</v>
      </c>
      <c r="IS12" t="s">
        <v>1316</v>
      </c>
      <c r="JF12" t="s">
        <v>1316</v>
      </c>
      <c r="JG12" t="s">
        <v>1414</v>
      </c>
      <c r="JH12" t="s">
        <v>1309</v>
      </c>
      <c r="JI12" t="s">
        <v>1309</v>
      </c>
      <c r="JJ12" t="s">
        <v>1309</v>
      </c>
      <c r="JK12" t="s">
        <v>1309</v>
      </c>
      <c r="JL12" t="s">
        <v>1309</v>
      </c>
      <c r="JM12" t="s">
        <v>1309</v>
      </c>
      <c r="JN12" t="s">
        <v>1310</v>
      </c>
      <c r="JO12" t="s">
        <v>1309</v>
      </c>
      <c r="JQ12" s="92" t="s">
        <v>1366</v>
      </c>
      <c r="JR12" s="92" t="s">
        <v>1367</v>
      </c>
      <c r="JS12" s="92">
        <v>65</v>
      </c>
      <c r="JT12" s="92" t="s">
        <v>1319</v>
      </c>
      <c r="JU12" s="92" t="s">
        <v>1335</v>
      </c>
      <c r="JV12" s="92" t="s">
        <v>1368</v>
      </c>
      <c r="JW12" s="92" t="s">
        <v>1296</v>
      </c>
      <c r="JX12" s="92" t="s">
        <v>70</v>
      </c>
      <c r="JY12" s="92" t="s">
        <v>5549</v>
      </c>
      <c r="JZ12" s="92" t="s">
        <v>1369</v>
      </c>
      <c r="KA12" s="92" t="s">
        <v>4845</v>
      </c>
      <c r="KB12" s="92" t="s">
        <v>1476</v>
      </c>
      <c r="KC12" s="92" t="s">
        <v>109</v>
      </c>
      <c r="KD12" s="92" t="s">
        <v>4844</v>
      </c>
      <c r="KE12" s="92" t="s">
        <v>5560</v>
      </c>
      <c r="KF12" s="92">
        <v>2600</v>
      </c>
      <c r="KG12" s="92" t="s">
        <v>1400</v>
      </c>
      <c r="KH12" s="92" t="s">
        <v>192</v>
      </c>
      <c r="KI12" s="92" t="s">
        <v>109</v>
      </c>
      <c r="KJ12" s="92" t="s">
        <v>192</v>
      </c>
      <c r="KK12" s="92" t="s">
        <v>109</v>
      </c>
      <c r="KL12" s="92" t="s">
        <v>1425</v>
      </c>
      <c r="KM12" s="92">
        <v>3100</v>
      </c>
      <c r="KN12" s="92" t="s">
        <v>1426</v>
      </c>
      <c r="KO12" s="92" t="s">
        <v>1341</v>
      </c>
      <c r="KP12" s="92" t="s">
        <v>1375</v>
      </c>
      <c r="KQ12" s="92" t="s">
        <v>192</v>
      </c>
      <c r="KR12" s="92">
        <v>13</v>
      </c>
      <c r="KS12" s="92" t="s">
        <v>1343</v>
      </c>
      <c r="KT12" s="92" t="s">
        <v>1344</v>
      </c>
      <c r="KU12" s="92">
        <v>32</v>
      </c>
      <c r="KV12" s="92" t="s">
        <v>1461</v>
      </c>
      <c r="KW12" s="92" t="s">
        <v>1344</v>
      </c>
      <c r="KX12" s="92" t="s">
        <v>1376</v>
      </c>
      <c r="KY12" s="92" t="s">
        <v>1377</v>
      </c>
      <c r="KZ12" s="92" t="s">
        <v>1378</v>
      </c>
      <c r="LA12" s="92" t="s">
        <v>109</v>
      </c>
      <c r="LB12" s="92" t="s">
        <v>109</v>
      </c>
      <c r="LC12" s="92" t="s">
        <v>1400</v>
      </c>
      <c r="LD12" s="92" t="s">
        <v>1426</v>
      </c>
      <c r="LE12" s="92" t="s">
        <v>109</v>
      </c>
      <c r="LF12" s="92" t="s">
        <v>192</v>
      </c>
    </row>
    <row r="13" spans="1:318" x14ac:dyDescent="0.25">
      <c r="A13" t="s">
        <v>1477</v>
      </c>
      <c r="B13" t="s">
        <v>1478</v>
      </c>
      <c r="C13" t="s">
        <v>1304</v>
      </c>
      <c r="D13" t="s">
        <v>1305</v>
      </c>
      <c r="E13" t="s">
        <v>1381</v>
      </c>
      <c r="G13" t="s">
        <v>1319</v>
      </c>
      <c r="H13">
        <v>1</v>
      </c>
      <c r="J13" t="s">
        <v>1479</v>
      </c>
      <c r="K13" t="s">
        <v>1309</v>
      </c>
      <c r="L13" t="s">
        <v>1309</v>
      </c>
      <c r="M13" t="s">
        <v>1309</v>
      </c>
      <c r="N13" t="s">
        <v>1309</v>
      </c>
      <c r="O13" t="s">
        <v>1310</v>
      </c>
      <c r="P13" t="s">
        <v>1309</v>
      </c>
      <c r="Q13" t="s">
        <v>1309</v>
      </c>
      <c r="R13" t="s">
        <v>1309</v>
      </c>
      <c r="U13" t="s">
        <v>1312</v>
      </c>
      <c r="V13" t="s">
        <v>1312</v>
      </c>
      <c r="W13" t="s">
        <v>1312</v>
      </c>
      <c r="X13" t="s">
        <v>1312</v>
      </c>
      <c r="Y13" t="s">
        <v>1312</v>
      </c>
      <c r="Z13" t="s">
        <v>1312</v>
      </c>
      <c r="AC13">
        <v>1</v>
      </c>
      <c r="AE13">
        <v>6000</v>
      </c>
      <c r="AF13" t="s">
        <v>1351</v>
      </c>
      <c r="AH13" t="s">
        <v>1383</v>
      </c>
      <c r="AJ13" t="s">
        <v>1353</v>
      </c>
      <c r="AL13" t="s">
        <v>1354</v>
      </c>
      <c r="BA13" t="s">
        <v>1354</v>
      </c>
      <c r="BS13" t="s">
        <v>1307</v>
      </c>
      <c r="CE13" t="s">
        <v>1355</v>
      </c>
      <c r="CF13" t="s">
        <v>1309</v>
      </c>
      <c r="CG13" t="s">
        <v>1309</v>
      </c>
      <c r="CH13" t="s">
        <v>1309</v>
      </c>
      <c r="CI13" t="s">
        <v>1309</v>
      </c>
      <c r="CJ13" t="s">
        <v>1309</v>
      </c>
      <c r="CK13" t="s">
        <v>1309</v>
      </c>
      <c r="CL13" t="s">
        <v>1309</v>
      </c>
      <c r="CM13" t="s">
        <v>1309</v>
      </c>
      <c r="CN13" t="s">
        <v>1310</v>
      </c>
      <c r="CO13" t="s">
        <v>1309</v>
      </c>
      <c r="CP13" t="s">
        <v>1309</v>
      </c>
      <c r="CQ13" t="s">
        <v>1309</v>
      </c>
      <c r="CR13" t="s">
        <v>1309</v>
      </c>
      <c r="CT13" t="s">
        <v>4436</v>
      </c>
      <c r="CV13" t="s">
        <v>1308</v>
      </c>
      <c r="CW13" t="s">
        <v>1310</v>
      </c>
      <c r="CX13" t="s">
        <v>1309</v>
      </c>
      <c r="CY13" t="s">
        <v>1309</v>
      </c>
      <c r="CZ13" t="s">
        <v>1309</v>
      </c>
      <c r="DA13" t="s">
        <v>1309</v>
      </c>
      <c r="DB13" t="s">
        <v>1309</v>
      </c>
      <c r="DC13" t="s">
        <v>1309</v>
      </c>
      <c r="DE13" t="s">
        <v>1358</v>
      </c>
      <c r="DF13" t="s">
        <v>1319</v>
      </c>
      <c r="DG13">
        <v>100</v>
      </c>
      <c r="DI13">
        <v>750</v>
      </c>
      <c r="DJ13" t="s">
        <v>1358</v>
      </c>
      <c r="DK13">
        <v>100</v>
      </c>
      <c r="DM13">
        <v>350</v>
      </c>
      <c r="DN13" t="s">
        <v>1480</v>
      </c>
      <c r="DO13" t="s">
        <v>1309</v>
      </c>
      <c r="DP13" t="s">
        <v>1309</v>
      </c>
      <c r="DQ13" t="s">
        <v>1309</v>
      </c>
      <c r="DR13" t="s">
        <v>1310</v>
      </c>
      <c r="DS13" t="s">
        <v>1309</v>
      </c>
      <c r="DT13" t="s">
        <v>1310</v>
      </c>
      <c r="DU13" t="s">
        <v>1309</v>
      </c>
      <c r="DV13" t="s">
        <v>1309</v>
      </c>
      <c r="DW13" t="s">
        <v>1309</v>
      </c>
      <c r="DY13" t="s">
        <v>1481</v>
      </c>
      <c r="DZ13">
        <v>300</v>
      </c>
      <c r="EA13" t="s">
        <v>1319</v>
      </c>
      <c r="EC13" t="s">
        <v>1360</v>
      </c>
      <c r="ED13">
        <v>500</v>
      </c>
      <c r="EE13" t="s">
        <v>1319</v>
      </c>
      <c r="EG13" t="s">
        <v>5356</v>
      </c>
      <c r="EI13" t="s">
        <v>1307</v>
      </c>
      <c r="ET13" t="s">
        <v>1307</v>
      </c>
      <c r="EV13" t="s">
        <v>1307</v>
      </c>
      <c r="EX13" t="s">
        <v>1319</v>
      </c>
      <c r="EY13" t="s">
        <v>1319</v>
      </c>
      <c r="EZ13" t="s">
        <v>1319</v>
      </c>
      <c r="FA13" t="s">
        <v>1482</v>
      </c>
      <c r="FB13" t="s">
        <v>1309</v>
      </c>
      <c r="FC13" t="s">
        <v>1309</v>
      </c>
      <c r="FD13" t="s">
        <v>1309</v>
      </c>
      <c r="FE13" t="s">
        <v>1310</v>
      </c>
      <c r="FF13" t="s">
        <v>1309</v>
      </c>
      <c r="FG13" t="s">
        <v>1310</v>
      </c>
      <c r="FH13" t="s">
        <v>1310</v>
      </c>
      <c r="FI13" t="s">
        <v>1310</v>
      </c>
      <c r="FJ13" t="s">
        <v>1310</v>
      </c>
      <c r="FK13" t="s">
        <v>1309</v>
      </c>
      <c r="FL13" t="s">
        <v>1309</v>
      </c>
      <c r="FM13" t="s">
        <v>1309</v>
      </c>
      <c r="FN13" t="s">
        <v>1310</v>
      </c>
      <c r="FO13" t="s">
        <v>1309</v>
      </c>
      <c r="FP13" t="s">
        <v>1309</v>
      </c>
      <c r="FQ13" t="s">
        <v>1309</v>
      </c>
      <c r="FR13" t="s">
        <v>1309</v>
      </c>
      <c r="FT13" t="s">
        <v>1307</v>
      </c>
      <c r="GI13" t="s">
        <v>1324</v>
      </c>
      <c r="GJ13" t="s">
        <v>1324</v>
      </c>
      <c r="GT13" t="s">
        <v>1325</v>
      </c>
      <c r="GU13" t="s">
        <v>1310</v>
      </c>
      <c r="GV13" t="s">
        <v>1309</v>
      </c>
      <c r="GW13" t="s">
        <v>1309</v>
      </c>
      <c r="GX13" t="s">
        <v>1309</v>
      </c>
      <c r="GY13" t="s">
        <v>1309</v>
      </c>
      <c r="GZ13" t="s">
        <v>1309</v>
      </c>
      <c r="HA13" t="s">
        <v>1309</v>
      </c>
      <c r="HB13" t="s">
        <v>1309</v>
      </c>
      <c r="HC13" t="s">
        <v>1309</v>
      </c>
      <c r="HD13" t="s">
        <v>1309</v>
      </c>
      <c r="HE13" t="s">
        <v>1309</v>
      </c>
      <c r="HF13" t="s">
        <v>1309</v>
      </c>
      <c r="HH13" t="s">
        <v>1363</v>
      </c>
      <c r="HI13" t="s">
        <v>1363</v>
      </c>
      <c r="HJ13" t="s">
        <v>1363</v>
      </c>
      <c r="HK13" t="s">
        <v>1363</v>
      </c>
      <c r="HL13" t="s">
        <v>1364</v>
      </c>
      <c r="HM13" t="s">
        <v>1363</v>
      </c>
      <c r="IA13" t="s">
        <v>1307</v>
      </c>
      <c r="IQ13" t="s">
        <v>1330</v>
      </c>
      <c r="IS13" t="s">
        <v>1354</v>
      </c>
      <c r="JF13" t="s">
        <v>1354</v>
      </c>
      <c r="JG13" t="s">
        <v>1414</v>
      </c>
      <c r="JH13" t="s">
        <v>1309</v>
      </c>
      <c r="JI13" t="s">
        <v>1309</v>
      </c>
      <c r="JJ13" t="s">
        <v>1309</v>
      </c>
      <c r="JK13" t="s">
        <v>1309</v>
      </c>
      <c r="JL13" t="s">
        <v>1309</v>
      </c>
      <c r="JM13" t="s">
        <v>1309</v>
      </c>
      <c r="JN13" t="s">
        <v>1310</v>
      </c>
      <c r="JO13" t="s">
        <v>1309</v>
      </c>
      <c r="JQ13" s="92" t="s">
        <v>1366</v>
      </c>
      <c r="JR13" s="92" t="s">
        <v>1367</v>
      </c>
      <c r="JS13" s="92">
        <v>49</v>
      </c>
      <c r="JT13" s="92" t="s">
        <v>1319</v>
      </c>
      <c r="JU13" s="92" t="s">
        <v>1335</v>
      </c>
      <c r="JV13" s="92" t="s">
        <v>1368</v>
      </c>
      <c r="JW13" s="92" t="s">
        <v>1296</v>
      </c>
      <c r="JX13" s="92" t="s">
        <v>70</v>
      </c>
      <c r="JY13" s="92" t="s">
        <v>1397</v>
      </c>
      <c r="JZ13" s="92" t="s">
        <v>1337</v>
      </c>
      <c r="KA13" s="92" t="s">
        <v>4844</v>
      </c>
      <c r="KB13" s="92" t="s">
        <v>1338</v>
      </c>
      <c r="KC13" s="92" t="s">
        <v>109</v>
      </c>
      <c r="KD13" s="92" t="s">
        <v>4844</v>
      </c>
      <c r="KE13" s="92" t="s">
        <v>1340</v>
      </c>
      <c r="KF13" s="92">
        <v>850</v>
      </c>
      <c r="KG13" s="92" t="s">
        <v>1340</v>
      </c>
      <c r="KH13" s="92" t="s">
        <v>192</v>
      </c>
      <c r="KI13" s="92" t="s">
        <v>109</v>
      </c>
      <c r="KJ13" s="92" t="s">
        <v>192</v>
      </c>
      <c r="KK13" s="92" t="s">
        <v>109</v>
      </c>
      <c r="KL13" s="92" t="s">
        <v>1374</v>
      </c>
      <c r="KM13" s="92">
        <v>450</v>
      </c>
      <c r="KN13" s="92" t="s">
        <v>1340</v>
      </c>
      <c r="KO13" s="92" t="s">
        <v>1373</v>
      </c>
      <c r="KP13" s="92" t="s">
        <v>1401</v>
      </c>
      <c r="KQ13" s="92" t="s">
        <v>192</v>
      </c>
      <c r="KR13" s="92"/>
      <c r="KS13" s="92" t="s">
        <v>1343</v>
      </c>
      <c r="KT13" s="92" t="s">
        <v>1344</v>
      </c>
      <c r="KU13" s="92"/>
      <c r="KV13" s="92" t="s">
        <v>1345</v>
      </c>
      <c r="KW13" s="92" t="s">
        <v>1344</v>
      </c>
      <c r="KX13" s="92" t="s">
        <v>1376</v>
      </c>
      <c r="KY13" s="92" t="s">
        <v>1377</v>
      </c>
      <c r="KZ13" s="92" t="s">
        <v>1403</v>
      </c>
      <c r="LA13" s="92" t="s">
        <v>109</v>
      </c>
      <c r="LB13" s="92" t="s">
        <v>109</v>
      </c>
      <c r="LC13" s="92" t="s">
        <v>5566</v>
      </c>
      <c r="LD13" s="92" t="s">
        <v>5566</v>
      </c>
      <c r="LE13" s="92"/>
      <c r="LF13" s="92"/>
    </row>
    <row r="14" spans="1:318" x14ac:dyDescent="0.25">
      <c r="A14" t="s">
        <v>1483</v>
      </c>
      <c r="B14" t="s">
        <v>1484</v>
      </c>
      <c r="C14" t="s">
        <v>1304</v>
      </c>
      <c r="D14" t="s">
        <v>1305</v>
      </c>
      <c r="E14" t="s">
        <v>1306</v>
      </c>
      <c r="G14" t="s">
        <v>1307</v>
      </c>
      <c r="H14">
        <v>4</v>
      </c>
      <c r="I14" t="s">
        <v>1307</v>
      </c>
      <c r="J14" t="s">
        <v>1485</v>
      </c>
      <c r="K14" t="s">
        <v>1309</v>
      </c>
      <c r="L14" t="s">
        <v>1310</v>
      </c>
      <c r="M14" t="s">
        <v>1310</v>
      </c>
      <c r="N14" t="s">
        <v>1310</v>
      </c>
      <c r="O14" t="s">
        <v>1309</v>
      </c>
      <c r="P14" t="s">
        <v>1309</v>
      </c>
      <c r="Q14" t="s">
        <v>1309</v>
      </c>
      <c r="R14" t="s">
        <v>1309</v>
      </c>
      <c r="S14">
        <v>1</v>
      </c>
      <c r="T14">
        <v>1</v>
      </c>
      <c r="U14" t="s">
        <v>1312</v>
      </c>
      <c r="V14" t="s">
        <v>1312</v>
      </c>
      <c r="W14" t="s">
        <v>1455</v>
      </c>
      <c r="X14" t="s">
        <v>1312</v>
      </c>
      <c r="Y14" t="s">
        <v>1486</v>
      </c>
      <c r="Z14" t="s">
        <v>1311</v>
      </c>
      <c r="AA14">
        <v>1</v>
      </c>
      <c r="AB14">
        <v>1</v>
      </c>
      <c r="AC14">
        <v>3</v>
      </c>
      <c r="AD14">
        <v>27000</v>
      </c>
      <c r="AE14">
        <v>18000</v>
      </c>
      <c r="AF14" t="s">
        <v>1351</v>
      </c>
      <c r="AH14" t="s">
        <v>1352</v>
      </c>
      <c r="AJ14" t="s">
        <v>1315</v>
      </c>
      <c r="AL14" t="s">
        <v>1316</v>
      </c>
      <c r="BS14" t="s">
        <v>1307</v>
      </c>
      <c r="CE14" t="s">
        <v>1487</v>
      </c>
      <c r="CF14" t="s">
        <v>1310</v>
      </c>
      <c r="CG14" t="s">
        <v>1309</v>
      </c>
      <c r="CH14" t="s">
        <v>1309</v>
      </c>
      <c r="CI14" t="s">
        <v>1309</v>
      </c>
      <c r="CJ14" t="s">
        <v>1310</v>
      </c>
      <c r="CK14" t="s">
        <v>1309</v>
      </c>
      <c r="CL14" t="s">
        <v>1309</v>
      </c>
      <c r="CM14" t="s">
        <v>1309</v>
      </c>
      <c r="CN14" t="s">
        <v>1310</v>
      </c>
      <c r="CO14" t="s">
        <v>1310</v>
      </c>
      <c r="CP14" t="s">
        <v>1309</v>
      </c>
      <c r="CQ14" t="s">
        <v>1309</v>
      </c>
      <c r="CR14" t="s">
        <v>1309</v>
      </c>
      <c r="CT14" t="s">
        <v>4434</v>
      </c>
      <c r="CV14" t="s">
        <v>1488</v>
      </c>
      <c r="CW14" t="s">
        <v>1309</v>
      </c>
      <c r="CX14" t="s">
        <v>1309</v>
      </c>
      <c r="CY14" t="s">
        <v>1309</v>
      </c>
      <c r="CZ14" t="s">
        <v>1310</v>
      </c>
      <c r="DA14" t="s">
        <v>1310</v>
      </c>
      <c r="DB14" t="s">
        <v>1309</v>
      </c>
      <c r="DC14" t="s">
        <v>1309</v>
      </c>
      <c r="DE14" t="s">
        <v>1358</v>
      </c>
      <c r="DG14">
        <v>2800</v>
      </c>
      <c r="DI14">
        <v>850</v>
      </c>
      <c r="DJ14" t="s">
        <v>1358</v>
      </c>
      <c r="DK14">
        <v>3300</v>
      </c>
      <c r="DM14">
        <v>800</v>
      </c>
      <c r="DN14" t="s">
        <v>1489</v>
      </c>
      <c r="DO14" t="s">
        <v>1310</v>
      </c>
      <c r="DP14" t="s">
        <v>1310</v>
      </c>
      <c r="DQ14" t="s">
        <v>1309</v>
      </c>
      <c r="DR14" t="s">
        <v>1309</v>
      </c>
      <c r="DS14" t="s">
        <v>1309</v>
      </c>
      <c r="DT14" t="s">
        <v>1310</v>
      </c>
      <c r="DU14" t="s">
        <v>1309</v>
      </c>
      <c r="DV14" t="s">
        <v>1309</v>
      </c>
      <c r="DW14" t="s">
        <v>1309</v>
      </c>
      <c r="DY14" t="s">
        <v>1490</v>
      </c>
      <c r="DZ14">
        <v>400</v>
      </c>
      <c r="EA14" t="s">
        <v>1386</v>
      </c>
      <c r="EC14" t="s">
        <v>1387</v>
      </c>
      <c r="ED14">
        <v>750</v>
      </c>
      <c r="EE14" t="s">
        <v>1386</v>
      </c>
      <c r="EG14" t="s">
        <v>5355</v>
      </c>
      <c r="EI14" t="s">
        <v>1307</v>
      </c>
      <c r="ET14" t="s">
        <v>1434</v>
      </c>
      <c r="EV14" t="s">
        <v>1319</v>
      </c>
      <c r="EW14" t="s">
        <v>1409</v>
      </c>
      <c r="EX14" t="s">
        <v>1319</v>
      </c>
      <c r="EY14" t="s">
        <v>1319</v>
      </c>
      <c r="EZ14" t="s">
        <v>1319</v>
      </c>
      <c r="FA14" t="s">
        <v>1491</v>
      </c>
      <c r="FB14" t="s">
        <v>1310</v>
      </c>
      <c r="FC14" t="s">
        <v>1309</v>
      </c>
      <c r="FD14" t="s">
        <v>1309</v>
      </c>
      <c r="FE14" t="s">
        <v>1310</v>
      </c>
      <c r="FF14" t="s">
        <v>1309</v>
      </c>
      <c r="FG14" t="s">
        <v>1310</v>
      </c>
      <c r="FH14" t="s">
        <v>1309</v>
      </c>
      <c r="FI14" t="s">
        <v>1310</v>
      </c>
      <c r="FJ14" t="s">
        <v>1309</v>
      </c>
      <c r="FK14" t="s">
        <v>1309</v>
      </c>
      <c r="FL14" t="s">
        <v>1309</v>
      </c>
      <c r="FM14" t="s">
        <v>1310</v>
      </c>
      <c r="FN14" t="s">
        <v>1309</v>
      </c>
      <c r="FO14" t="s">
        <v>1309</v>
      </c>
      <c r="FP14" t="s">
        <v>1309</v>
      </c>
      <c r="FQ14" t="s">
        <v>1309</v>
      </c>
      <c r="FR14" t="s">
        <v>1309</v>
      </c>
      <c r="FT14" t="s">
        <v>1307</v>
      </c>
      <c r="GI14" t="s">
        <v>1324</v>
      </c>
      <c r="GJ14" t="s">
        <v>1324</v>
      </c>
      <c r="GT14" t="s">
        <v>1325</v>
      </c>
      <c r="GU14" t="s">
        <v>1310</v>
      </c>
      <c r="GV14" t="s">
        <v>1309</v>
      </c>
      <c r="GW14" t="s">
        <v>1309</v>
      </c>
      <c r="GX14" t="s">
        <v>1309</v>
      </c>
      <c r="GY14" t="s">
        <v>1309</v>
      </c>
      <c r="GZ14" t="s">
        <v>1309</v>
      </c>
      <c r="HA14" t="s">
        <v>1309</v>
      </c>
      <c r="HB14" t="s">
        <v>1309</v>
      </c>
      <c r="HC14" t="s">
        <v>1309</v>
      </c>
      <c r="HD14" t="s">
        <v>1309</v>
      </c>
      <c r="HE14" t="s">
        <v>1309</v>
      </c>
      <c r="HF14" t="s">
        <v>1309</v>
      </c>
      <c r="HH14" t="s">
        <v>1326</v>
      </c>
      <c r="HI14" t="s">
        <v>1326</v>
      </c>
      <c r="HJ14" t="s">
        <v>1326</v>
      </c>
      <c r="HK14" t="s">
        <v>1327</v>
      </c>
      <c r="HL14" t="s">
        <v>1364</v>
      </c>
      <c r="HM14" t="s">
        <v>1326</v>
      </c>
      <c r="IA14" t="s">
        <v>1307</v>
      </c>
      <c r="IQ14" t="s">
        <v>1308</v>
      </c>
      <c r="IS14" t="s">
        <v>1316</v>
      </c>
      <c r="JF14" t="s">
        <v>1413</v>
      </c>
      <c r="JG14" t="s">
        <v>1492</v>
      </c>
      <c r="JH14" t="s">
        <v>1309</v>
      </c>
      <c r="JI14" t="s">
        <v>1310</v>
      </c>
      <c r="JJ14" t="s">
        <v>1309</v>
      </c>
      <c r="JK14" t="s">
        <v>1310</v>
      </c>
      <c r="JL14" t="s">
        <v>1309</v>
      </c>
      <c r="JM14" t="s">
        <v>1309</v>
      </c>
      <c r="JN14" t="s">
        <v>1309</v>
      </c>
      <c r="JO14" t="s">
        <v>1309</v>
      </c>
      <c r="JQ14" s="92" t="s">
        <v>1333</v>
      </c>
      <c r="JR14" s="92" t="s">
        <v>1493</v>
      </c>
      <c r="JS14" s="92">
        <v>40</v>
      </c>
      <c r="JT14" s="92" t="s">
        <v>1319</v>
      </c>
      <c r="JU14" s="92" t="s">
        <v>1335</v>
      </c>
      <c r="JV14" s="92" t="s">
        <v>1336</v>
      </c>
      <c r="JW14" s="92" t="s">
        <v>1296</v>
      </c>
      <c r="JX14" s="92" t="s">
        <v>71</v>
      </c>
      <c r="JY14" s="92" t="s">
        <v>5549</v>
      </c>
      <c r="JZ14" s="92" t="s">
        <v>1337</v>
      </c>
      <c r="KA14" s="92" t="s">
        <v>4845</v>
      </c>
      <c r="KB14" s="92" t="s">
        <v>1370</v>
      </c>
      <c r="KC14" s="92" t="s">
        <v>192</v>
      </c>
      <c r="KD14" s="92" t="s">
        <v>4848</v>
      </c>
      <c r="KE14" s="92" t="s">
        <v>1416</v>
      </c>
      <c r="KF14" s="92">
        <v>3650</v>
      </c>
      <c r="KG14" s="92" t="s">
        <v>4438</v>
      </c>
      <c r="KH14" s="92" t="s">
        <v>192</v>
      </c>
      <c r="KI14" s="92" t="s">
        <v>109</v>
      </c>
      <c r="KJ14" s="92" t="s">
        <v>192</v>
      </c>
      <c r="KK14" s="92" t="s">
        <v>109</v>
      </c>
      <c r="KL14" s="92" t="s">
        <v>1341</v>
      </c>
      <c r="KM14" s="92">
        <v>4100</v>
      </c>
      <c r="KN14" s="92" t="s">
        <v>4438</v>
      </c>
      <c r="KO14" s="92" t="s">
        <v>1341</v>
      </c>
      <c r="KP14" s="92" t="s">
        <v>1375</v>
      </c>
      <c r="KQ14" s="92" t="s">
        <v>192</v>
      </c>
      <c r="KR14" s="92">
        <v>11</v>
      </c>
      <c r="KS14" s="92" t="s">
        <v>1343</v>
      </c>
      <c r="KT14" s="92" t="s">
        <v>1402</v>
      </c>
      <c r="KU14" s="92">
        <v>18</v>
      </c>
      <c r="KV14" s="92" t="s">
        <v>1441</v>
      </c>
      <c r="KW14" s="92" t="s">
        <v>1402</v>
      </c>
      <c r="KX14" s="92" t="s">
        <v>1346</v>
      </c>
      <c r="KY14" s="92" t="s">
        <v>1347</v>
      </c>
      <c r="KZ14" s="92" t="s">
        <v>5795</v>
      </c>
      <c r="LA14" s="92" t="s">
        <v>192</v>
      </c>
      <c r="LB14" s="92" t="s">
        <v>192</v>
      </c>
      <c r="LC14" s="92" t="s">
        <v>4438</v>
      </c>
      <c r="LD14" s="92" t="s">
        <v>4438</v>
      </c>
      <c r="LE14" s="92" t="s">
        <v>109</v>
      </c>
      <c r="LF14" s="92" t="s">
        <v>109</v>
      </c>
    </row>
    <row r="15" spans="1:318" x14ac:dyDescent="0.25">
      <c r="A15" t="s">
        <v>1494</v>
      </c>
      <c r="B15" t="s">
        <v>1495</v>
      </c>
      <c r="C15" t="s">
        <v>1304</v>
      </c>
      <c r="D15" t="s">
        <v>1305</v>
      </c>
      <c r="E15" t="s">
        <v>1381</v>
      </c>
      <c r="G15" t="s">
        <v>1319</v>
      </c>
      <c r="H15">
        <v>1</v>
      </c>
      <c r="J15" t="s">
        <v>1308</v>
      </c>
      <c r="K15" t="s">
        <v>1309</v>
      </c>
      <c r="L15" t="s">
        <v>1309</v>
      </c>
      <c r="M15" t="s">
        <v>1309</v>
      </c>
      <c r="N15" t="s">
        <v>1309</v>
      </c>
      <c r="O15" t="s">
        <v>1309</v>
      </c>
      <c r="P15" t="s">
        <v>1309</v>
      </c>
      <c r="Q15" t="s">
        <v>1310</v>
      </c>
      <c r="R15" t="s">
        <v>1309</v>
      </c>
      <c r="U15" t="s">
        <v>1312</v>
      </c>
      <c r="V15" t="s">
        <v>1312</v>
      </c>
      <c r="W15" t="s">
        <v>1312</v>
      </c>
      <c r="X15" t="s">
        <v>1312</v>
      </c>
      <c r="Y15" t="s">
        <v>1312</v>
      </c>
      <c r="Z15" t="s">
        <v>1312</v>
      </c>
      <c r="AC15">
        <v>1</v>
      </c>
      <c r="AD15">
        <v>3000</v>
      </c>
      <c r="AE15">
        <v>5000</v>
      </c>
      <c r="AF15" t="s">
        <v>1313</v>
      </c>
      <c r="AH15" t="s">
        <v>1383</v>
      </c>
      <c r="AJ15" t="s">
        <v>1353</v>
      </c>
      <c r="AL15" t="s">
        <v>1354</v>
      </c>
      <c r="BA15" t="s">
        <v>1354</v>
      </c>
      <c r="BS15" t="s">
        <v>1307</v>
      </c>
      <c r="CE15" t="s">
        <v>1414</v>
      </c>
      <c r="CF15" t="s">
        <v>1309</v>
      </c>
      <c r="CG15" t="s">
        <v>1309</v>
      </c>
      <c r="CH15" t="s">
        <v>1309</v>
      </c>
      <c r="CI15" t="s">
        <v>1309</v>
      </c>
      <c r="CJ15" t="s">
        <v>1309</v>
      </c>
      <c r="CK15" t="s">
        <v>1309</v>
      </c>
      <c r="CL15" t="s">
        <v>1309</v>
      </c>
      <c r="CM15" t="s">
        <v>1309</v>
      </c>
      <c r="CN15" t="s">
        <v>1309</v>
      </c>
      <c r="CO15" t="s">
        <v>1309</v>
      </c>
      <c r="CP15" t="s">
        <v>1309</v>
      </c>
      <c r="CQ15" t="s">
        <v>1310</v>
      </c>
      <c r="CR15" t="s">
        <v>1309</v>
      </c>
      <c r="CT15" t="s">
        <v>4434</v>
      </c>
      <c r="CV15" t="s">
        <v>1308</v>
      </c>
      <c r="CW15" t="s">
        <v>1310</v>
      </c>
      <c r="CX15" t="s">
        <v>1309</v>
      </c>
      <c r="CY15" t="s">
        <v>1309</v>
      </c>
      <c r="CZ15" t="s">
        <v>1309</v>
      </c>
      <c r="DA15" t="s">
        <v>1309</v>
      </c>
      <c r="DB15" t="s">
        <v>1309</v>
      </c>
      <c r="DC15" t="s">
        <v>1309</v>
      </c>
      <c r="DE15" t="s">
        <v>1358</v>
      </c>
      <c r="DG15">
        <v>1000</v>
      </c>
      <c r="DI15">
        <v>100</v>
      </c>
      <c r="DJ15" t="s">
        <v>1358</v>
      </c>
      <c r="DK15">
        <v>1300</v>
      </c>
      <c r="DM15">
        <v>100</v>
      </c>
      <c r="DN15" t="s">
        <v>1320</v>
      </c>
      <c r="DO15" t="s">
        <v>1310</v>
      </c>
      <c r="DP15" t="s">
        <v>1309</v>
      </c>
      <c r="DQ15" t="s">
        <v>1309</v>
      </c>
      <c r="DR15" t="s">
        <v>1309</v>
      </c>
      <c r="DS15" t="s">
        <v>1309</v>
      </c>
      <c r="DT15" t="s">
        <v>1310</v>
      </c>
      <c r="DU15" t="s">
        <v>1309</v>
      </c>
      <c r="DV15" t="s">
        <v>1309</v>
      </c>
      <c r="DW15" t="s">
        <v>1309</v>
      </c>
      <c r="DY15" t="s">
        <v>1456</v>
      </c>
      <c r="DZ15">
        <v>300</v>
      </c>
      <c r="EA15" t="s">
        <v>1319</v>
      </c>
      <c r="EC15" t="s">
        <v>1457</v>
      </c>
      <c r="ED15">
        <v>1000</v>
      </c>
      <c r="EE15" t="s">
        <v>1319</v>
      </c>
      <c r="EG15" t="s">
        <v>5356</v>
      </c>
      <c r="EI15" t="s">
        <v>1307</v>
      </c>
      <c r="ET15" t="s">
        <v>1307</v>
      </c>
      <c r="EV15" t="s">
        <v>1319</v>
      </c>
      <c r="EW15" t="s">
        <v>1361</v>
      </c>
      <c r="EX15" t="s">
        <v>1307</v>
      </c>
      <c r="EY15" t="s">
        <v>1307</v>
      </c>
      <c r="FT15" t="s">
        <v>1307</v>
      </c>
      <c r="GI15" t="s">
        <v>1436</v>
      </c>
      <c r="GJ15" t="s">
        <v>1324</v>
      </c>
      <c r="GK15" t="s">
        <v>1307</v>
      </c>
      <c r="GT15" t="s">
        <v>1325</v>
      </c>
      <c r="GU15" t="s">
        <v>1310</v>
      </c>
      <c r="GV15" t="s">
        <v>1309</v>
      </c>
      <c r="GW15" t="s">
        <v>1309</v>
      </c>
      <c r="GX15" t="s">
        <v>1309</v>
      </c>
      <c r="GY15" t="s">
        <v>1309</v>
      </c>
      <c r="GZ15" t="s">
        <v>1309</v>
      </c>
      <c r="HA15" t="s">
        <v>1309</v>
      </c>
      <c r="HB15" t="s">
        <v>1309</v>
      </c>
      <c r="HC15" t="s">
        <v>1309</v>
      </c>
      <c r="HD15" t="s">
        <v>1309</v>
      </c>
      <c r="HE15" t="s">
        <v>1309</v>
      </c>
      <c r="HF15" t="s">
        <v>1309</v>
      </c>
      <c r="HH15" t="s">
        <v>1390</v>
      </c>
      <c r="HI15" t="s">
        <v>1390</v>
      </c>
      <c r="HJ15" t="s">
        <v>1363</v>
      </c>
      <c r="HK15" t="s">
        <v>1327</v>
      </c>
      <c r="HL15" t="s">
        <v>1437</v>
      </c>
      <c r="HM15" t="s">
        <v>1390</v>
      </c>
      <c r="HN15" t="s">
        <v>1435</v>
      </c>
      <c r="HO15" t="s">
        <v>1309</v>
      </c>
      <c r="HP15" t="s">
        <v>1310</v>
      </c>
      <c r="HQ15" t="s">
        <v>1309</v>
      </c>
      <c r="HR15" t="s">
        <v>1309</v>
      </c>
      <c r="HS15" t="s">
        <v>1309</v>
      </c>
      <c r="HT15" t="s">
        <v>1309</v>
      </c>
      <c r="HU15" t="s">
        <v>1309</v>
      </c>
      <c r="HV15" t="s">
        <v>1309</v>
      </c>
      <c r="HW15" t="s">
        <v>1309</v>
      </c>
      <c r="HX15" t="s">
        <v>1309</v>
      </c>
      <c r="HY15" t="s">
        <v>1309</v>
      </c>
      <c r="IA15" t="s">
        <v>1307</v>
      </c>
      <c r="IQ15" t="s">
        <v>1365</v>
      </c>
      <c r="IS15" t="s">
        <v>1316</v>
      </c>
      <c r="JF15" t="s">
        <v>1316</v>
      </c>
      <c r="JG15" t="s">
        <v>1414</v>
      </c>
      <c r="JH15" t="s">
        <v>1309</v>
      </c>
      <c r="JI15" t="s">
        <v>1309</v>
      </c>
      <c r="JJ15" t="s">
        <v>1309</v>
      </c>
      <c r="JK15" t="s">
        <v>1309</v>
      </c>
      <c r="JL15" t="s">
        <v>1309</v>
      </c>
      <c r="JM15" t="s">
        <v>1309</v>
      </c>
      <c r="JN15" t="s">
        <v>1310</v>
      </c>
      <c r="JO15" t="s">
        <v>1309</v>
      </c>
      <c r="JQ15" s="92" t="s">
        <v>1394</v>
      </c>
      <c r="JR15" s="92" t="s">
        <v>1496</v>
      </c>
      <c r="JS15" s="92">
        <v>35</v>
      </c>
      <c r="JT15" s="92" t="s">
        <v>1319</v>
      </c>
      <c r="JU15" s="92" t="s">
        <v>1396</v>
      </c>
      <c r="JV15" s="92" t="s">
        <v>1336</v>
      </c>
      <c r="JW15" s="92" t="s">
        <v>1296</v>
      </c>
      <c r="JX15" s="92" t="s">
        <v>71</v>
      </c>
      <c r="JY15" s="92" t="s">
        <v>1397</v>
      </c>
      <c r="JZ15" s="92" t="s">
        <v>1337</v>
      </c>
      <c r="KA15" s="92" t="s">
        <v>4844</v>
      </c>
      <c r="KB15" s="92" t="s">
        <v>1338</v>
      </c>
      <c r="KC15" s="92" t="s">
        <v>109</v>
      </c>
      <c r="KD15" s="92" t="s">
        <v>4844</v>
      </c>
      <c r="KE15" s="92" t="s">
        <v>5560</v>
      </c>
      <c r="KF15" s="92">
        <v>1100</v>
      </c>
      <c r="KG15" s="92" t="s">
        <v>4439</v>
      </c>
      <c r="KH15" s="92" t="s">
        <v>192</v>
      </c>
      <c r="KI15" s="92" t="s">
        <v>109</v>
      </c>
      <c r="KJ15" s="92" t="s">
        <v>192</v>
      </c>
      <c r="KK15" s="92" t="s">
        <v>109</v>
      </c>
      <c r="KL15" s="92" t="s">
        <v>1440</v>
      </c>
      <c r="KM15" s="92">
        <v>1400</v>
      </c>
      <c r="KN15" s="92" t="s">
        <v>4439</v>
      </c>
      <c r="KO15" s="92" t="s">
        <v>1440</v>
      </c>
      <c r="KP15" s="92" t="s">
        <v>1460</v>
      </c>
      <c r="KQ15" s="92" t="s">
        <v>192</v>
      </c>
      <c r="KR15" s="92">
        <v>27</v>
      </c>
      <c r="KS15" s="92" t="s">
        <v>1343</v>
      </c>
      <c r="KT15" s="92" t="s">
        <v>1344</v>
      </c>
      <c r="KU15" s="92">
        <v>71</v>
      </c>
      <c r="KV15" s="92" t="s">
        <v>1461</v>
      </c>
      <c r="KW15" s="92" t="s">
        <v>1344</v>
      </c>
      <c r="KX15" s="92" t="s">
        <v>1376</v>
      </c>
      <c r="KY15" s="92" t="s">
        <v>1377</v>
      </c>
      <c r="KZ15" s="92" t="s">
        <v>1403</v>
      </c>
      <c r="LA15" s="92" t="s">
        <v>109</v>
      </c>
      <c r="LB15" s="92" t="s">
        <v>109</v>
      </c>
      <c r="LC15" s="92" t="s">
        <v>4438</v>
      </c>
      <c r="LD15" s="92" t="s">
        <v>4438</v>
      </c>
      <c r="LE15" s="92" t="s">
        <v>192</v>
      </c>
      <c r="LF15" s="92" t="s">
        <v>192</v>
      </c>
    </row>
    <row r="16" spans="1:318" x14ac:dyDescent="0.25">
      <c r="A16" t="s">
        <v>1497</v>
      </c>
      <c r="B16" t="s">
        <v>1498</v>
      </c>
      <c r="C16" t="s">
        <v>1304</v>
      </c>
      <c r="D16" t="s">
        <v>1429</v>
      </c>
      <c r="E16" t="s">
        <v>1306</v>
      </c>
      <c r="G16" t="s">
        <v>1307</v>
      </c>
      <c r="H16">
        <v>3</v>
      </c>
      <c r="I16" t="s">
        <v>1307</v>
      </c>
      <c r="J16" t="s">
        <v>1406</v>
      </c>
      <c r="K16" t="s">
        <v>1309</v>
      </c>
      <c r="L16" t="s">
        <v>1310</v>
      </c>
      <c r="M16" t="s">
        <v>1309</v>
      </c>
      <c r="N16" t="s">
        <v>1309</v>
      </c>
      <c r="O16" t="s">
        <v>1309</v>
      </c>
      <c r="P16" t="s">
        <v>1309</v>
      </c>
      <c r="Q16" t="s">
        <v>1309</v>
      </c>
      <c r="R16" t="s">
        <v>1309</v>
      </c>
      <c r="S16">
        <v>1</v>
      </c>
      <c r="U16" t="s">
        <v>1312</v>
      </c>
      <c r="V16" t="s">
        <v>1312</v>
      </c>
      <c r="W16" t="s">
        <v>1312</v>
      </c>
      <c r="X16" t="s">
        <v>1312</v>
      </c>
      <c r="Y16" t="s">
        <v>1312</v>
      </c>
      <c r="Z16" t="s">
        <v>1312</v>
      </c>
      <c r="AC16">
        <v>2</v>
      </c>
      <c r="AD16">
        <v>25000</v>
      </c>
      <c r="AE16">
        <v>5000</v>
      </c>
      <c r="AF16" t="s">
        <v>1313</v>
      </c>
      <c r="AH16" t="s">
        <v>1383</v>
      </c>
      <c r="AJ16" t="s">
        <v>1315</v>
      </c>
      <c r="AL16" t="s">
        <v>1316</v>
      </c>
      <c r="BS16" t="s">
        <v>1307</v>
      </c>
      <c r="CE16" t="s">
        <v>1499</v>
      </c>
      <c r="CF16" t="s">
        <v>1310</v>
      </c>
      <c r="CG16" t="s">
        <v>1309</v>
      </c>
      <c r="CH16" t="s">
        <v>1309</v>
      </c>
      <c r="CI16" t="s">
        <v>1309</v>
      </c>
      <c r="CJ16" t="s">
        <v>1309</v>
      </c>
      <c r="CK16" t="s">
        <v>1309</v>
      </c>
      <c r="CL16" t="s">
        <v>1309</v>
      </c>
      <c r="CM16" t="s">
        <v>1309</v>
      </c>
      <c r="CN16" t="s">
        <v>1309</v>
      </c>
      <c r="CO16" t="s">
        <v>1310</v>
      </c>
      <c r="CP16" t="s">
        <v>1309</v>
      </c>
      <c r="CQ16" t="s">
        <v>1309</v>
      </c>
      <c r="CR16" t="s">
        <v>1309</v>
      </c>
      <c r="CT16" t="s">
        <v>4434</v>
      </c>
      <c r="CV16" t="s">
        <v>1357</v>
      </c>
      <c r="CW16" t="s">
        <v>1309</v>
      </c>
      <c r="CX16" t="s">
        <v>1309</v>
      </c>
      <c r="CY16" t="s">
        <v>1309</v>
      </c>
      <c r="CZ16" t="s">
        <v>1309</v>
      </c>
      <c r="DA16" t="s">
        <v>1310</v>
      </c>
      <c r="DB16" t="s">
        <v>1309</v>
      </c>
      <c r="DC16" t="s">
        <v>1309</v>
      </c>
      <c r="DE16" t="s">
        <v>1358</v>
      </c>
      <c r="DG16">
        <v>2500</v>
      </c>
      <c r="DI16">
        <v>300</v>
      </c>
      <c r="DJ16" t="s">
        <v>1358</v>
      </c>
      <c r="DK16">
        <v>2300</v>
      </c>
      <c r="DM16">
        <v>450</v>
      </c>
      <c r="DN16" t="s">
        <v>1320</v>
      </c>
      <c r="DO16" t="s">
        <v>1310</v>
      </c>
      <c r="DP16" t="s">
        <v>1309</v>
      </c>
      <c r="DQ16" t="s">
        <v>1309</v>
      </c>
      <c r="DR16" t="s">
        <v>1309</v>
      </c>
      <c r="DS16" t="s">
        <v>1309</v>
      </c>
      <c r="DT16" t="s">
        <v>1310</v>
      </c>
      <c r="DU16" t="s">
        <v>1309</v>
      </c>
      <c r="DV16" t="s">
        <v>1309</v>
      </c>
      <c r="DW16" t="s">
        <v>1309</v>
      </c>
      <c r="DY16" t="s">
        <v>1433</v>
      </c>
      <c r="DZ16">
        <v>300</v>
      </c>
      <c r="EA16" t="s">
        <v>1319</v>
      </c>
      <c r="EC16" t="s">
        <v>1420</v>
      </c>
      <c r="ED16">
        <v>500</v>
      </c>
      <c r="EE16" t="s">
        <v>1319</v>
      </c>
      <c r="EG16" t="s">
        <v>5357</v>
      </c>
      <c r="ET16" t="s">
        <v>1434</v>
      </c>
      <c r="EV16" t="s">
        <v>1414</v>
      </c>
      <c r="EX16" t="s">
        <v>1307</v>
      </c>
      <c r="EY16" t="s">
        <v>1307</v>
      </c>
      <c r="FT16" t="s">
        <v>1307</v>
      </c>
      <c r="GI16" t="s">
        <v>1324</v>
      </c>
      <c r="GJ16" t="s">
        <v>1324</v>
      </c>
      <c r="GT16" t="s">
        <v>1325</v>
      </c>
      <c r="GU16" t="s">
        <v>1310</v>
      </c>
      <c r="GV16" t="s">
        <v>1309</v>
      </c>
      <c r="GW16" t="s">
        <v>1309</v>
      </c>
      <c r="GX16" t="s">
        <v>1309</v>
      </c>
      <c r="GY16" t="s">
        <v>1309</v>
      </c>
      <c r="GZ16" t="s">
        <v>1309</v>
      </c>
      <c r="HA16" t="s">
        <v>1309</v>
      </c>
      <c r="HB16" t="s">
        <v>1309</v>
      </c>
      <c r="HC16" t="s">
        <v>1309</v>
      </c>
      <c r="HD16" t="s">
        <v>1309</v>
      </c>
      <c r="HE16" t="s">
        <v>1309</v>
      </c>
      <c r="HF16" t="s">
        <v>1309</v>
      </c>
      <c r="HH16" t="s">
        <v>1326</v>
      </c>
      <c r="HI16" t="s">
        <v>1326</v>
      </c>
      <c r="HJ16" t="s">
        <v>1326</v>
      </c>
      <c r="HK16" t="s">
        <v>1327</v>
      </c>
      <c r="HL16" t="s">
        <v>1364</v>
      </c>
      <c r="HM16" t="s">
        <v>1326</v>
      </c>
      <c r="IA16" t="s">
        <v>1307</v>
      </c>
      <c r="IQ16" t="s">
        <v>1365</v>
      </c>
      <c r="IS16" t="s">
        <v>1331</v>
      </c>
      <c r="JF16" t="s">
        <v>1331</v>
      </c>
      <c r="JG16" t="s">
        <v>1414</v>
      </c>
      <c r="JH16" t="s">
        <v>1309</v>
      </c>
      <c r="JI16" t="s">
        <v>1309</v>
      </c>
      <c r="JJ16" t="s">
        <v>1309</v>
      </c>
      <c r="JK16" t="s">
        <v>1309</v>
      </c>
      <c r="JL16" t="s">
        <v>1309</v>
      </c>
      <c r="JM16" t="s">
        <v>1309</v>
      </c>
      <c r="JN16" t="s">
        <v>1310</v>
      </c>
      <c r="JO16" t="s">
        <v>1309</v>
      </c>
      <c r="JQ16" s="92" t="s">
        <v>1333</v>
      </c>
      <c r="JR16" s="92" t="s">
        <v>1334</v>
      </c>
      <c r="JS16" s="92">
        <v>37</v>
      </c>
      <c r="JT16" s="92" t="s">
        <v>1319</v>
      </c>
      <c r="JU16" s="92" t="s">
        <v>1335</v>
      </c>
      <c r="JV16" s="92" t="s">
        <v>1336</v>
      </c>
      <c r="JW16" s="92" t="s">
        <v>1296</v>
      </c>
      <c r="JX16" s="92" t="s">
        <v>71</v>
      </c>
      <c r="JY16" s="92" t="s">
        <v>5549</v>
      </c>
      <c r="JZ16" s="92" t="s">
        <v>1337</v>
      </c>
      <c r="KA16" s="92" t="s">
        <v>4845</v>
      </c>
      <c r="KB16" s="92" t="s">
        <v>1415</v>
      </c>
      <c r="KC16" s="92" t="s">
        <v>109</v>
      </c>
      <c r="KD16" s="92" t="s">
        <v>4847</v>
      </c>
      <c r="KE16" s="92" t="s">
        <v>1416</v>
      </c>
      <c r="KF16" s="92">
        <v>2800</v>
      </c>
      <c r="KG16" s="92" t="s">
        <v>4438</v>
      </c>
      <c r="KH16" s="92" t="s">
        <v>192</v>
      </c>
      <c r="KI16" s="92" t="s">
        <v>109</v>
      </c>
      <c r="KJ16" s="92" t="s">
        <v>192</v>
      </c>
      <c r="KK16" s="92" t="s">
        <v>109</v>
      </c>
      <c r="KL16" s="92" t="s">
        <v>1425</v>
      </c>
      <c r="KM16" s="92">
        <v>2750</v>
      </c>
      <c r="KN16" s="92" t="s">
        <v>4438</v>
      </c>
      <c r="KO16" s="92" t="s">
        <v>1425</v>
      </c>
      <c r="KP16" s="92" t="s">
        <v>1375</v>
      </c>
      <c r="KQ16" s="92" t="s">
        <v>192</v>
      </c>
      <c r="KR16" s="92">
        <v>11</v>
      </c>
      <c r="KS16" s="92" t="s">
        <v>1343</v>
      </c>
      <c r="KT16" s="92" t="s">
        <v>1344</v>
      </c>
      <c r="KU16" s="92">
        <v>18</v>
      </c>
      <c r="KV16" s="92" t="s">
        <v>1345</v>
      </c>
      <c r="KW16" s="92" t="s">
        <v>1344</v>
      </c>
      <c r="KX16" s="92" t="s">
        <v>1346</v>
      </c>
      <c r="KY16" s="92" t="s">
        <v>1377</v>
      </c>
      <c r="KZ16" s="92" t="s">
        <v>5795</v>
      </c>
      <c r="LA16" s="92" t="s">
        <v>109</v>
      </c>
      <c r="LB16" s="92" t="s">
        <v>109</v>
      </c>
      <c r="LC16" s="92" t="s">
        <v>4439</v>
      </c>
      <c r="LD16" s="92" t="s">
        <v>4439</v>
      </c>
      <c r="LE16" s="92" t="s">
        <v>109</v>
      </c>
      <c r="LF16" s="92" t="s">
        <v>109</v>
      </c>
    </row>
    <row r="17" spans="1:318" x14ac:dyDescent="0.25">
      <c r="A17" t="s">
        <v>1500</v>
      </c>
      <c r="B17" t="s">
        <v>1501</v>
      </c>
      <c r="C17" t="s">
        <v>1304</v>
      </c>
      <c r="D17" t="s">
        <v>1305</v>
      </c>
      <c r="E17" t="s">
        <v>1306</v>
      </c>
      <c r="G17" t="s">
        <v>1307</v>
      </c>
      <c r="H17">
        <v>4</v>
      </c>
      <c r="I17" t="s">
        <v>1307</v>
      </c>
      <c r="J17" t="s">
        <v>1502</v>
      </c>
      <c r="K17" t="s">
        <v>1310</v>
      </c>
      <c r="L17" t="s">
        <v>1310</v>
      </c>
      <c r="M17" t="s">
        <v>1309</v>
      </c>
      <c r="N17" t="s">
        <v>1309</v>
      </c>
      <c r="O17" t="s">
        <v>1309</v>
      </c>
      <c r="P17" t="s">
        <v>1309</v>
      </c>
      <c r="Q17" t="s">
        <v>1309</v>
      </c>
      <c r="R17" t="s">
        <v>1309</v>
      </c>
      <c r="S17">
        <v>2</v>
      </c>
      <c r="U17" t="s">
        <v>1312</v>
      </c>
      <c r="V17" t="s">
        <v>1312</v>
      </c>
      <c r="W17" t="s">
        <v>1312</v>
      </c>
      <c r="X17" t="s">
        <v>1312</v>
      </c>
      <c r="Y17" t="s">
        <v>1312</v>
      </c>
      <c r="Z17" t="s">
        <v>1312</v>
      </c>
      <c r="AC17">
        <v>2</v>
      </c>
      <c r="AE17">
        <v>19000</v>
      </c>
      <c r="AF17" t="s">
        <v>1313</v>
      </c>
      <c r="AH17" t="s">
        <v>1383</v>
      </c>
      <c r="AJ17" t="s">
        <v>1315</v>
      </c>
      <c r="AL17" t="s">
        <v>1316</v>
      </c>
      <c r="BS17" t="s">
        <v>1307</v>
      </c>
      <c r="CE17" t="s">
        <v>1503</v>
      </c>
      <c r="CF17" t="s">
        <v>1309</v>
      </c>
      <c r="CG17" t="s">
        <v>1309</v>
      </c>
      <c r="CH17" t="s">
        <v>1309</v>
      </c>
      <c r="CI17" t="s">
        <v>1309</v>
      </c>
      <c r="CJ17" t="s">
        <v>1309</v>
      </c>
      <c r="CK17" t="s">
        <v>1310</v>
      </c>
      <c r="CL17" t="s">
        <v>1309</v>
      </c>
      <c r="CM17" t="s">
        <v>1310</v>
      </c>
      <c r="CN17" t="s">
        <v>1310</v>
      </c>
      <c r="CO17" t="s">
        <v>1310</v>
      </c>
      <c r="CP17" t="s">
        <v>1309</v>
      </c>
      <c r="CQ17" t="s">
        <v>1309</v>
      </c>
      <c r="CR17" t="s">
        <v>1309</v>
      </c>
      <c r="CT17" t="s">
        <v>4435</v>
      </c>
      <c r="CV17" t="s">
        <v>1308</v>
      </c>
      <c r="CW17" t="s">
        <v>1310</v>
      </c>
      <c r="CX17" t="s">
        <v>1309</v>
      </c>
      <c r="CY17" t="s">
        <v>1309</v>
      </c>
      <c r="CZ17" t="s">
        <v>1309</v>
      </c>
      <c r="DA17" t="s">
        <v>1309</v>
      </c>
      <c r="DB17" t="s">
        <v>1309</v>
      </c>
      <c r="DC17" t="s">
        <v>1309</v>
      </c>
      <c r="DE17" t="s">
        <v>1358</v>
      </c>
      <c r="DF17" t="s">
        <v>1319</v>
      </c>
      <c r="DG17">
        <v>200</v>
      </c>
      <c r="DH17">
        <v>2000</v>
      </c>
      <c r="DI17">
        <v>600</v>
      </c>
      <c r="DJ17" t="s">
        <v>1358</v>
      </c>
      <c r="DK17">
        <v>200</v>
      </c>
      <c r="DL17">
        <v>2500</v>
      </c>
      <c r="DM17">
        <v>700</v>
      </c>
      <c r="DN17" t="s">
        <v>1320</v>
      </c>
      <c r="DO17" t="s">
        <v>1310</v>
      </c>
      <c r="DP17" t="s">
        <v>1309</v>
      </c>
      <c r="DQ17" t="s">
        <v>1309</v>
      </c>
      <c r="DR17" t="s">
        <v>1309</v>
      </c>
      <c r="DS17" t="s">
        <v>1309</v>
      </c>
      <c r="DT17" t="s">
        <v>1310</v>
      </c>
      <c r="DU17" t="s">
        <v>1309</v>
      </c>
      <c r="DV17" t="s">
        <v>1309</v>
      </c>
      <c r="DW17" t="s">
        <v>1309</v>
      </c>
      <c r="DY17" t="s">
        <v>1321</v>
      </c>
      <c r="DZ17">
        <v>400</v>
      </c>
      <c r="EA17" t="s">
        <v>1319</v>
      </c>
      <c r="EC17" t="s">
        <v>1504</v>
      </c>
      <c r="ED17">
        <v>800</v>
      </c>
      <c r="EE17" t="s">
        <v>1319</v>
      </c>
      <c r="EG17" t="s">
        <v>5355</v>
      </c>
      <c r="EI17" t="s">
        <v>1307</v>
      </c>
      <c r="ET17" t="s">
        <v>1434</v>
      </c>
      <c r="EV17" t="s">
        <v>1319</v>
      </c>
      <c r="EW17" t="s">
        <v>1409</v>
      </c>
      <c r="EX17" t="s">
        <v>1319</v>
      </c>
      <c r="EY17" t="s">
        <v>1307</v>
      </c>
      <c r="FA17" t="s">
        <v>1505</v>
      </c>
      <c r="FB17" t="s">
        <v>1309</v>
      </c>
      <c r="FC17" t="s">
        <v>1309</v>
      </c>
      <c r="FD17" t="s">
        <v>1309</v>
      </c>
      <c r="FE17" t="s">
        <v>1309</v>
      </c>
      <c r="FF17" t="s">
        <v>1309</v>
      </c>
      <c r="FG17" t="s">
        <v>1309</v>
      </c>
      <c r="FH17" t="s">
        <v>1310</v>
      </c>
      <c r="FI17" t="s">
        <v>1310</v>
      </c>
      <c r="FJ17" t="s">
        <v>1309</v>
      </c>
      <c r="FK17" t="s">
        <v>1309</v>
      </c>
      <c r="FL17" t="s">
        <v>1310</v>
      </c>
      <c r="FM17" t="s">
        <v>1310</v>
      </c>
      <c r="FN17" t="s">
        <v>1310</v>
      </c>
      <c r="FO17" t="s">
        <v>1309</v>
      </c>
      <c r="FP17" t="s">
        <v>1309</v>
      </c>
      <c r="FQ17" t="s">
        <v>1309</v>
      </c>
      <c r="FR17" t="s">
        <v>1309</v>
      </c>
      <c r="FT17" t="s">
        <v>1307</v>
      </c>
      <c r="GI17" t="s">
        <v>1448</v>
      </c>
      <c r="GJ17" t="s">
        <v>1448</v>
      </c>
      <c r="GT17" t="s">
        <v>1325</v>
      </c>
      <c r="GU17" t="s">
        <v>1310</v>
      </c>
      <c r="GV17" t="s">
        <v>1309</v>
      </c>
      <c r="GW17" t="s">
        <v>1309</v>
      </c>
      <c r="GX17" t="s">
        <v>1309</v>
      </c>
      <c r="GY17" t="s">
        <v>1309</v>
      </c>
      <c r="GZ17" t="s">
        <v>1309</v>
      </c>
      <c r="HA17" t="s">
        <v>1309</v>
      </c>
      <c r="HB17" t="s">
        <v>1309</v>
      </c>
      <c r="HC17" t="s">
        <v>1309</v>
      </c>
      <c r="HD17" t="s">
        <v>1309</v>
      </c>
      <c r="HE17" t="s">
        <v>1309</v>
      </c>
      <c r="HF17" t="s">
        <v>1309</v>
      </c>
      <c r="HH17" t="s">
        <v>1390</v>
      </c>
      <c r="HI17" t="s">
        <v>1390</v>
      </c>
      <c r="HJ17" t="s">
        <v>1390</v>
      </c>
      <c r="HK17" t="s">
        <v>1327</v>
      </c>
      <c r="HL17" t="s">
        <v>1364</v>
      </c>
      <c r="HM17" t="s">
        <v>1326</v>
      </c>
      <c r="IA17" t="s">
        <v>1319</v>
      </c>
      <c r="IB17" t="s">
        <v>1506</v>
      </c>
      <c r="IC17" t="s">
        <v>1309</v>
      </c>
      <c r="ID17" t="s">
        <v>1310</v>
      </c>
      <c r="IE17" t="s">
        <v>1310</v>
      </c>
      <c r="IF17" t="s">
        <v>1309</v>
      </c>
      <c r="IG17" t="s">
        <v>1310</v>
      </c>
      <c r="IH17" t="s">
        <v>1309</v>
      </c>
      <c r="II17" t="s">
        <v>1309</v>
      </c>
      <c r="IJ17" t="s">
        <v>1309</v>
      </c>
      <c r="IK17" t="s">
        <v>1310</v>
      </c>
      <c r="IL17" t="s">
        <v>1309</v>
      </c>
      <c r="IM17" t="s">
        <v>1309</v>
      </c>
      <c r="IN17" t="s">
        <v>1309</v>
      </c>
      <c r="IO17" t="s">
        <v>1309</v>
      </c>
      <c r="IQ17" t="s">
        <v>1308</v>
      </c>
      <c r="IS17" t="s">
        <v>1316</v>
      </c>
      <c r="JF17" t="s">
        <v>1413</v>
      </c>
      <c r="JG17" t="s">
        <v>1507</v>
      </c>
      <c r="JH17" t="s">
        <v>1309</v>
      </c>
      <c r="JI17" t="s">
        <v>1309</v>
      </c>
      <c r="JJ17" t="s">
        <v>1310</v>
      </c>
      <c r="JK17" t="s">
        <v>1310</v>
      </c>
      <c r="JL17" t="s">
        <v>1309</v>
      </c>
      <c r="JM17" t="s">
        <v>1309</v>
      </c>
      <c r="JN17" t="s">
        <v>1309</v>
      </c>
      <c r="JO17" t="s">
        <v>1309</v>
      </c>
      <c r="JQ17" s="92" t="s">
        <v>1333</v>
      </c>
      <c r="JR17" s="92" t="s">
        <v>1334</v>
      </c>
      <c r="JS17" s="92">
        <v>33</v>
      </c>
      <c r="JT17" s="92" t="s">
        <v>1319</v>
      </c>
      <c r="JU17" s="92" t="s">
        <v>1396</v>
      </c>
      <c r="JV17" s="92" t="s">
        <v>1336</v>
      </c>
      <c r="JW17" s="92" t="s">
        <v>1296</v>
      </c>
      <c r="JX17" s="92" t="s">
        <v>71</v>
      </c>
      <c r="JY17" s="92" t="s">
        <v>5549</v>
      </c>
      <c r="JZ17" s="92" t="s">
        <v>1398</v>
      </c>
      <c r="KA17" s="92" t="s">
        <v>4845</v>
      </c>
      <c r="KB17" s="92" t="s">
        <v>1415</v>
      </c>
      <c r="KC17" s="92" t="s">
        <v>109</v>
      </c>
      <c r="KD17" s="92" t="s">
        <v>4847</v>
      </c>
      <c r="KE17" s="92" t="s">
        <v>1340</v>
      </c>
      <c r="KF17" s="92">
        <v>2800</v>
      </c>
      <c r="KG17" s="92" t="s">
        <v>1340</v>
      </c>
      <c r="KH17" s="92" t="s">
        <v>192</v>
      </c>
      <c r="KI17" s="92" t="s">
        <v>192</v>
      </c>
      <c r="KJ17" s="92" t="s">
        <v>192</v>
      </c>
      <c r="KK17" s="92" t="s">
        <v>192</v>
      </c>
      <c r="KL17" s="92" t="s">
        <v>1425</v>
      </c>
      <c r="KM17" s="92">
        <v>3400</v>
      </c>
      <c r="KN17" s="92" t="s">
        <v>1340</v>
      </c>
      <c r="KO17" s="92" t="s">
        <v>1341</v>
      </c>
      <c r="KP17" s="92" t="s">
        <v>1342</v>
      </c>
      <c r="KQ17" s="92" t="s">
        <v>192</v>
      </c>
      <c r="KR17" s="92">
        <v>14</v>
      </c>
      <c r="KS17" s="92" t="s">
        <v>1343</v>
      </c>
      <c r="KT17" s="92" t="s">
        <v>1344</v>
      </c>
      <c r="KU17" s="92">
        <v>24</v>
      </c>
      <c r="KV17" s="92" t="s">
        <v>1441</v>
      </c>
      <c r="KW17" s="92" t="s">
        <v>1344</v>
      </c>
      <c r="KX17" s="92" t="s">
        <v>1346</v>
      </c>
      <c r="KY17" s="92" t="s">
        <v>1508</v>
      </c>
      <c r="KZ17" s="92" t="s">
        <v>5795</v>
      </c>
      <c r="LA17" s="92" t="s">
        <v>109</v>
      </c>
      <c r="LB17" s="92" t="s">
        <v>109</v>
      </c>
      <c r="LC17" s="92" t="s">
        <v>5566</v>
      </c>
      <c r="LD17" s="92" t="s">
        <v>5566</v>
      </c>
      <c r="LE17" s="92"/>
      <c r="LF17" s="92"/>
    </row>
    <row r="18" spans="1:318" x14ac:dyDescent="0.25">
      <c r="A18" t="s">
        <v>1509</v>
      </c>
      <c r="B18" t="s">
        <v>1510</v>
      </c>
      <c r="C18" t="s">
        <v>1304</v>
      </c>
      <c r="D18" t="s">
        <v>1429</v>
      </c>
      <c r="E18" t="s">
        <v>1306</v>
      </c>
      <c r="G18" t="s">
        <v>1307</v>
      </c>
      <c r="H18">
        <v>4</v>
      </c>
      <c r="I18" t="s">
        <v>1307</v>
      </c>
      <c r="J18" t="s">
        <v>1511</v>
      </c>
      <c r="K18" t="s">
        <v>1309</v>
      </c>
      <c r="L18" t="s">
        <v>1310</v>
      </c>
      <c r="M18" t="s">
        <v>1309</v>
      </c>
      <c r="N18" t="s">
        <v>1310</v>
      </c>
      <c r="O18" t="s">
        <v>1309</v>
      </c>
      <c r="P18" t="s">
        <v>1309</v>
      </c>
      <c r="Q18" t="s">
        <v>1309</v>
      </c>
      <c r="R18" t="s">
        <v>1309</v>
      </c>
      <c r="S18">
        <v>2</v>
      </c>
      <c r="U18" t="s">
        <v>1311</v>
      </c>
      <c r="V18" t="s">
        <v>1312</v>
      </c>
      <c r="W18" t="s">
        <v>1312</v>
      </c>
      <c r="X18" t="s">
        <v>1486</v>
      </c>
      <c r="Y18" t="s">
        <v>1486</v>
      </c>
      <c r="Z18" t="s">
        <v>1486</v>
      </c>
      <c r="AA18">
        <v>1</v>
      </c>
      <c r="AB18">
        <v>1</v>
      </c>
      <c r="AC18">
        <v>2</v>
      </c>
      <c r="AD18">
        <v>20000</v>
      </c>
      <c r="AE18">
        <v>17000</v>
      </c>
      <c r="AF18" t="s">
        <v>1313</v>
      </c>
      <c r="AH18" t="s">
        <v>1383</v>
      </c>
      <c r="AJ18" t="s">
        <v>1315</v>
      </c>
      <c r="AL18" t="s">
        <v>1354</v>
      </c>
      <c r="BS18" t="s">
        <v>1307</v>
      </c>
      <c r="CE18" t="s">
        <v>1355</v>
      </c>
      <c r="CF18" t="s">
        <v>1309</v>
      </c>
      <c r="CG18" t="s">
        <v>1309</v>
      </c>
      <c r="CH18" t="s">
        <v>1309</v>
      </c>
      <c r="CI18" t="s">
        <v>1309</v>
      </c>
      <c r="CJ18" t="s">
        <v>1309</v>
      </c>
      <c r="CK18" t="s">
        <v>1309</v>
      </c>
      <c r="CL18" t="s">
        <v>1309</v>
      </c>
      <c r="CM18" t="s">
        <v>1309</v>
      </c>
      <c r="CN18" t="s">
        <v>1310</v>
      </c>
      <c r="CO18" t="s">
        <v>1309</v>
      </c>
      <c r="CP18" t="s">
        <v>1309</v>
      </c>
      <c r="CQ18" t="s">
        <v>1309</v>
      </c>
      <c r="CR18" t="s">
        <v>1309</v>
      </c>
      <c r="CT18" t="s">
        <v>4434</v>
      </c>
      <c r="CV18" t="s">
        <v>1308</v>
      </c>
      <c r="CW18" t="s">
        <v>1310</v>
      </c>
      <c r="CX18" t="s">
        <v>1309</v>
      </c>
      <c r="CY18" t="s">
        <v>1309</v>
      </c>
      <c r="CZ18" t="s">
        <v>1309</v>
      </c>
      <c r="DA18" t="s">
        <v>1309</v>
      </c>
      <c r="DB18" t="s">
        <v>1309</v>
      </c>
      <c r="DC18" t="s">
        <v>1309</v>
      </c>
      <c r="DE18" t="s">
        <v>1358</v>
      </c>
      <c r="DG18">
        <v>1000</v>
      </c>
      <c r="DI18">
        <v>300</v>
      </c>
      <c r="DJ18" t="s">
        <v>1358</v>
      </c>
      <c r="DK18">
        <v>2500</v>
      </c>
      <c r="DM18">
        <v>300</v>
      </c>
      <c r="DN18" t="s">
        <v>1320</v>
      </c>
      <c r="DO18" t="s">
        <v>1310</v>
      </c>
      <c r="DP18" t="s">
        <v>1309</v>
      </c>
      <c r="DQ18" t="s">
        <v>1309</v>
      </c>
      <c r="DR18" t="s">
        <v>1309</v>
      </c>
      <c r="DS18" t="s">
        <v>1309</v>
      </c>
      <c r="DT18" t="s">
        <v>1310</v>
      </c>
      <c r="DU18" t="s">
        <v>1309</v>
      </c>
      <c r="DV18" t="s">
        <v>1309</v>
      </c>
      <c r="DW18" t="s">
        <v>1309</v>
      </c>
      <c r="DY18" t="s">
        <v>1456</v>
      </c>
      <c r="DZ18">
        <v>500</v>
      </c>
      <c r="EA18" t="s">
        <v>1319</v>
      </c>
      <c r="EC18" t="s">
        <v>1457</v>
      </c>
      <c r="ED18">
        <v>800</v>
      </c>
      <c r="EE18" t="s">
        <v>1319</v>
      </c>
      <c r="EG18" t="s">
        <v>5357</v>
      </c>
      <c r="ET18" t="s">
        <v>1307</v>
      </c>
      <c r="EV18" t="s">
        <v>1319</v>
      </c>
      <c r="EW18" t="s">
        <v>1409</v>
      </c>
      <c r="EX18" t="s">
        <v>1319</v>
      </c>
      <c r="EY18" t="s">
        <v>1319</v>
      </c>
      <c r="FA18" t="s">
        <v>1512</v>
      </c>
      <c r="FB18" t="s">
        <v>1310</v>
      </c>
      <c r="FC18" t="s">
        <v>1309</v>
      </c>
      <c r="FD18" t="s">
        <v>1310</v>
      </c>
      <c r="FE18" t="s">
        <v>1309</v>
      </c>
      <c r="FF18" t="s">
        <v>1309</v>
      </c>
      <c r="FG18" t="s">
        <v>1309</v>
      </c>
      <c r="FH18" t="s">
        <v>1309</v>
      </c>
      <c r="FI18" t="s">
        <v>1310</v>
      </c>
      <c r="FJ18" t="s">
        <v>1309</v>
      </c>
      <c r="FK18" t="s">
        <v>1309</v>
      </c>
      <c r="FL18" t="s">
        <v>1309</v>
      </c>
      <c r="FM18" t="s">
        <v>1309</v>
      </c>
      <c r="FN18" t="s">
        <v>1310</v>
      </c>
      <c r="FO18" t="s">
        <v>1309</v>
      </c>
      <c r="FP18" t="s">
        <v>1309</v>
      </c>
      <c r="FQ18" t="s">
        <v>1309</v>
      </c>
      <c r="FR18" t="s">
        <v>1309</v>
      </c>
      <c r="FT18" t="s">
        <v>1319</v>
      </c>
      <c r="FU18" t="s">
        <v>1435</v>
      </c>
      <c r="FV18" t="s">
        <v>1310</v>
      </c>
      <c r="FW18" t="s">
        <v>1309</v>
      </c>
      <c r="FX18" t="s">
        <v>1309</v>
      </c>
      <c r="FY18" t="s">
        <v>1309</v>
      </c>
      <c r="FZ18" t="s">
        <v>1309</v>
      </c>
      <c r="GA18" t="s">
        <v>1309</v>
      </c>
      <c r="GB18" t="s">
        <v>1309</v>
      </c>
      <c r="GC18" t="s">
        <v>1309</v>
      </c>
      <c r="GD18" t="s">
        <v>1309</v>
      </c>
      <c r="GE18" t="s">
        <v>1309</v>
      </c>
      <c r="GF18" t="s">
        <v>1309</v>
      </c>
      <c r="GG18" t="s">
        <v>1309</v>
      </c>
      <c r="GI18" t="s">
        <v>1324</v>
      </c>
      <c r="GJ18" t="s">
        <v>1324</v>
      </c>
      <c r="GT18" t="s">
        <v>1325</v>
      </c>
      <c r="GU18" t="s">
        <v>1310</v>
      </c>
      <c r="GV18" t="s">
        <v>1309</v>
      </c>
      <c r="GW18" t="s">
        <v>1309</v>
      </c>
      <c r="GX18" t="s">
        <v>1309</v>
      </c>
      <c r="GY18" t="s">
        <v>1309</v>
      </c>
      <c r="GZ18" t="s">
        <v>1309</v>
      </c>
      <c r="HA18" t="s">
        <v>1309</v>
      </c>
      <c r="HB18" t="s">
        <v>1309</v>
      </c>
      <c r="HC18" t="s">
        <v>1309</v>
      </c>
      <c r="HD18" t="s">
        <v>1309</v>
      </c>
      <c r="HE18" t="s">
        <v>1309</v>
      </c>
      <c r="HF18" t="s">
        <v>1309</v>
      </c>
      <c r="HH18" t="s">
        <v>1390</v>
      </c>
      <c r="HI18" t="s">
        <v>1390</v>
      </c>
      <c r="HJ18" t="s">
        <v>1390</v>
      </c>
      <c r="HK18" t="s">
        <v>1390</v>
      </c>
      <c r="HL18" t="s">
        <v>1328</v>
      </c>
      <c r="HM18" t="s">
        <v>1390</v>
      </c>
      <c r="HN18" t="s">
        <v>1513</v>
      </c>
      <c r="HO18" t="s">
        <v>1309</v>
      </c>
      <c r="HP18" t="s">
        <v>1310</v>
      </c>
      <c r="HQ18" t="s">
        <v>1309</v>
      </c>
      <c r="HR18" t="s">
        <v>1309</v>
      </c>
      <c r="HS18" t="s">
        <v>1310</v>
      </c>
      <c r="HT18" t="s">
        <v>1309</v>
      </c>
      <c r="HU18" t="s">
        <v>1309</v>
      </c>
      <c r="HV18" t="s">
        <v>1309</v>
      </c>
      <c r="HW18" t="s">
        <v>1309</v>
      </c>
      <c r="HX18" t="s">
        <v>1309</v>
      </c>
      <c r="HY18" t="s">
        <v>1309</v>
      </c>
      <c r="IA18" t="s">
        <v>1319</v>
      </c>
      <c r="IB18" t="s">
        <v>1514</v>
      </c>
      <c r="IC18" t="s">
        <v>1309</v>
      </c>
      <c r="ID18" t="s">
        <v>1309</v>
      </c>
      <c r="IE18" t="s">
        <v>1310</v>
      </c>
      <c r="IF18" t="s">
        <v>1309</v>
      </c>
      <c r="IG18" t="s">
        <v>1309</v>
      </c>
      <c r="IH18" t="s">
        <v>1309</v>
      </c>
      <c r="II18" t="s">
        <v>1309</v>
      </c>
      <c r="IJ18" t="s">
        <v>1310</v>
      </c>
      <c r="IK18" t="s">
        <v>1309</v>
      </c>
      <c r="IL18" t="s">
        <v>1309</v>
      </c>
      <c r="IM18" t="s">
        <v>1309</v>
      </c>
      <c r="IN18" t="s">
        <v>1309</v>
      </c>
      <c r="IO18" t="s">
        <v>1309</v>
      </c>
      <c r="IQ18" t="s">
        <v>1365</v>
      </c>
      <c r="IS18" t="s">
        <v>1354</v>
      </c>
      <c r="JF18" t="s">
        <v>1413</v>
      </c>
      <c r="JG18" t="s">
        <v>1515</v>
      </c>
      <c r="JH18" t="s">
        <v>1310</v>
      </c>
      <c r="JI18" t="s">
        <v>1310</v>
      </c>
      <c r="JJ18" t="s">
        <v>1309</v>
      </c>
      <c r="JK18" t="s">
        <v>1310</v>
      </c>
      <c r="JL18" t="s">
        <v>1309</v>
      </c>
      <c r="JM18" t="s">
        <v>1309</v>
      </c>
      <c r="JN18" t="s">
        <v>1309</v>
      </c>
      <c r="JO18" t="s">
        <v>1309</v>
      </c>
      <c r="JQ18" s="92" t="s">
        <v>1516</v>
      </c>
      <c r="JR18" s="92" t="s">
        <v>1517</v>
      </c>
      <c r="JS18" s="92">
        <v>33</v>
      </c>
      <c r="JT18" s="92" t="s">
        <v>1319</v>
      </c>
      <c r="JU18" s="92" t="s">
        <v>1396</v>
      </c>
      <c r="JV18" s="92" t="s">
        <v>1336</v>
      </c>
      <c r="JW18" s="92" t="s">
        <v>1296</v>
      </c>
      <c r="JX18" s="92" t="s">
        <v>70</v>
      </c>
      <c r="JY18" s="92" t="s">
        <v>5549</v>
      </c>
      <c r="JZ18" s="92" t="s">
        <v>1398</v>
      </c>
      <c r="KA18" s="92" t="s">
        <v>4845</v>
      </c>
      <c r="KB18" s="92" t="s">
        <v>1415</v>
      </c>
      <c r="KC18" s="92" t="s">
        <v>192</v>
      </c>
      <c r="KD18" s="92" t="s">
        <v>4847</v>
      </c>
      <c r="KE18" s="92" t="s">
        <v>1452</v>
      </c>
      <c r="KF18" s="92">
        <v>1300</v>
      </c>
      <c r="KG18" s="92" t="s">
        <v>1372</v>
      </c>
      <c r="KH18" s="92" t="s">
        <v>192</v>
      </c>
      <c r="KI18" s="92" t="s">
        <v>109</v>
      </c>
      <c r="KJ18" s="92" t="s">
        <v>192</v>
      </c>
      <c r="KK18" s="92" t="s">
        <v>109</v>
      </c>
      <c r="KL18" s="92" t="s">
        <v>1440</v>
      </c>
      <c r="KM18" s="92">
        <v>2800</v>
      </c>
      <c r="KN18" s="92" t="s">
        <v>4438</v>
      </c>
      <c r="KO18" s="92" t="s">
        <v>1425</v>
      </c>
      <c r="KP18" s="92" t="s">
        <v>1460</v>
      </c>
      <c r="KQ18" s="92" t="s">
        <v>192</v>
      </c>
      <c r="KR18" s="92">
        <v>38</v>
      </c>
      <c r="KS18" s="92" t="s">
        <v>1345</v>
      </c>
      <c r="KT18" s="92" t="s">
        <v>1344</v>
      </c>
      <c r="KU18" s="92">
        <v>29</v>
      </c>
      <c r="KV18" s="92" t="s">
        <v>1441</v>
      </c>
      <c r="KW18" s="92" t="s">
        <v>1344</v>
      </c>
      <c r="KX18" s="92" t="s">
        <v>1376</v>
      </c>
      <c r="KY18" s="92" t="s">
        <v>1377</v>
      </c>
      <c r="KZ18" s="92" t="s">
        <v>5795</v>
      </c>
      <c r="LA18" s="92" t="s">
        <v>192</v>
      </c>
      <c r="LB18" s="92" t="s">
        <v>192</v>
      </c>
      <c r="LC18" s="92" t="s">
        <v>1372</v>
      </c>
      <c r="LD18" s="92" t="s">
        <v>4438</v>
      </c>
      <c r="LE18" s="92" t="s">
        <v>109</v>
      </c>
      <c r="LF18" s="92" t="s">
        <v>109</v>
      </c>
    </row>
    <row r="19" spans="1:318" x14ac:dyDescent="0.25">
      <c r="A19" t="s">
        <v>1518</v>
      </c>
      <c r="B19" t="s">
        <v>1519</v>
      </c>
      <c r="C19" t="s">
        <v>1304</v>
      </c>
      <c r="D19" t="s">
        <v>1305</v>
      </c>
      <c r="E19" t="s">
        <v>1381</v>
      </c>
      <c r="G19" t="s">
        <v>1319</v>
      </c>
      <c r="H19">
        <v>3</v>
      </c>
      <c r="I19" t="s">
        <v>1358</v>
      </c>
      <c r="J19" t="s">
        <v>1406</v>
      </c>
      <c r="K19" t="s">
        <v>1309</v>
      </c>
      <c r="L19" t="s">
        <v>1310</v>
      </c>
      <c r="M19" t="s">
        <v>1309</v>
      </c>
      <c r="N19" t="s">
        <v>1309</v>
      </c>
      <c r="O19" t="s">
        <v>1309</v>
      </c>
      <c r="P19" t="s">
        <v>1309</v>
      </c>
      <c r="Q19" t="s">
        <v>1309</v>
      </c>
      <c r="R19" t="s">
        <v>1309</v>
      </c>
      <c r="S19">
        <v>1</v>
      </c>
      <c r="U19" t="s">
        <v>1312</v>
      </c>
      <c r="V19" t="s">
        <v>1312</v>
      </c>
      <c r="W19" t="s">
        <v>1312</v>
      </c>
      <c r="X19" t="s">
        <v>1312</v>
      </c>
      <c r="Y19" t="s">
        <v>1312</v>
      </c>
      <c r="Z19" t="s">
        <v>1312</v>
      </c>
      <c r="AE19">
        <v>8000</v>
      </c>
      <c r="AF19" t="s">
        <v>1313</v>
      </c>
      <c r="AH19" t="s">
        <v>1383</v>
      </c>
      <c r="AJ19" t="s">
        <v>1353</v>
      </c>
      <c r="AL19" t="s">
        <v>1354</v>
      </c>
      <c r="BA19" t="s">
        <v>1354</v>
      </c>
      <c r="BS19" t="s">
        <v>1307</v>
      </c>
      <c r="CE19" t="s">
        <v>1520</v>
      </c>
      <c r="CF19" t="s">
        <v>1309</v>
      </c>
      <c r="CG19" t="s">
        <v>1309</v>
      </c>
      <c r="CH19" t="s">
        <v>1310</v>
      </c>
      <c r="CI19" t="s">
        <v>1309</v>
      </c>
      <c r="CJ19" t="s">
        <v>1309</v>
      </c>
      <c r="CK19" t="s">
        <v>1309</v>
      </c>
      <c r="CL19" t="s">
        <v>1309</v>
      </c>
      <c r="CM19" t="s">
        <v>1309</v>
      </c>
      <c r="CN19" t="s">
        <v>1309</v>
      </c>
      <c r="CO19" t="s">
        <v>1309</v>
      </c>
      <c r="CP19" t="s">
        <v>1309</v>
      </c>
      <c r="CQ19" t="s">
        <v>1309</v>
      </c>
      <c r="CR19" t="s">
        <v>1309</v>
      </c>
      <c r="CT19" t="s">
        <v>4435</v>
      </c>
      <c r="CV19" t="s">
        <v>1308</v>
      </c>
      <c r="CW19" t="s">
        <v>1310</v>
      </c>
      <c r="CX19" t="s">
        <v>1309</v>
      </c>
      <c r="CY19" t="s">
        <v>1309</v>
      </c>
      <c r="CZ19" t="s">
        <v>1309</v>
      </c>
      <c r="DA19" t="s">
        <v>1309</v>
      </c>
      <c r="DB19" t="s">
        <v>1309</v>
      </c>
      <c r="DC19" t="s">
        <v>1309</v>
      </c>
      <c r="DE19" t="s">
        <v>1358</v>
      </c>
      <c r="DF19" t="s">
        <v>1319</v>
      </c>
      <c r="DH19">
        <v>1200</v>
      </c>
      <c r="DI19">
        <v>600</v>
      </c>
      <c r="DJ19" t="s">
        <v>1358</v>
      </c>
      <c r="DL19">
        <v>2200</v>
      </c>
      <c r="DM19">
        <v>500</v>
      </c>
      <c r="DN19" t="s">
        <v>1521</v>
      </c>
      <c r="DO19" t="s">
        <v>1309</v>
      </c>
      <c r="DP19" t="s">
        <v>1310</v>
      </c>
      <c r="DQ19" t="s">
        <v>1309</v>
      </c>
      <c r="DR19" t="s">
        <v>1309</v>
      </c>
      <c r="DS19" t="s">
        <v>1309</v>
      </c>
      <c r="DT19" t="s">
        <v>1310</v>
      </c>
      <c r="DU19" t="s">
        <v>1309</v>
      </c>
      <c r="DV19" t="s">
        <v>1309</v>
      </c>
      <c r="DW19" t="s">
        <v>1309</v>
      </c>
      <c r="DY19" t="s">
        <v>1456</v>
      </c>
      <c r="DZ19">
        <v>600</v>
      </c>
      <c r="EA19" t="s">
        <v>1386</v>
      </c>
      <c r="EC19" t="s">
        <v>1457</v>
      </c>
      <c r="ED19">
        <v>800</v>
      </c>
      <c r="EE19" t="s">
        <v>1386</v>
      </c>
      <c r="EG19" t="s">
        <v>5356</v>
      </c>
      <c r="EI19" t="s">
        <v>1307</v>
      </c>
      <c r="ET19" t="s">
        <v>1307</v>
      </c>
      <c r="EV19" t="s">
        <v>1307</v>
      </c>
      <c r="EX19" t="s">
        <v>1319</v>
      </c>
      <c r="EY19" t="s">
        <v>1319</v>
      </c>
      <c r="FA19" t="s">
        <v>1522</v>
      </c>
      <c r="FB19" t="s">
        <v>1310</v>
      </c>
      <c r="FC19" t="s">
        <v>1309</v>
      </c>
      <c r="FD19" t="s">
        <v>1309</v>
      </c>
      <c r="FE19" t="s">
        <v>1309</v>
      </c>
      <c r="FF19" t="s">
        <v>1309</v>
      </c>
      <c r="FG19" t="s">
        <v>1309</v>
      </c>
      <c r="FH19" t="s">
        <v>1309</v>
      </c>
      <c r="FI19" t="s">
        <v>1309</v>
      </c>
      <c r="FJ19" t="s">
        <v>1310</v>
      </c>
      <c r="FK19" t="s">
        <v>1309</v>
      </c>
      <c r="FL19" t="s">
        <v>1310</v>
      </c>
      <c r="FM19" t="s">
        <v>1309</v>
      </c>
      <c r="FN19" t="s">
        <v>1309</v>
      </c>
      <c r="FO19" t="s">
        <v>1309</v>
      </c>
      <c r="FP19" t="s">
        <v>1309</v>
      </c>
      <c r="FQ19" t="s">
        <v>1309</v>
      </c>
      <c r="FR19" t="s">
        <v>1309</v>
      </c>
      <c r="FT19" t="s">
        <v>1307</v>
      </c>
      <c r="GI19" t="s">
        <v>1448</v>
      </c>
      <c r="GJ19" t="s">
        <v>1448</v>
      </c>
      <c r="GT19" t="s">
        <v>1325</v>
      </c>
      <c r="GU19" t="s">
        <v>1310</v>
      </c>
      <c r="GV19" t="s">
        <v>1309</v>
      </c>
      <c r="GW19" t="s">
        <v>1309</v>
      </c>
      <c r="GX19" t="s">
        <v>1309</v>
      </c>
      <c r="GY19" t="s">
        <v>1309</v>
      </c>
      <c r="GZ19" t="s">
        <v>1309</v>
      </c>
      <c r="HA19" t="s">
        <v>1309</v>
      </c>
      <c r="HB19" t="s">
        <v>1309</v>
      </c>
      <c r="HC19" t="s">
        <v>1309</v>
      </c>
      <c r="HD19" t="s">
        <v>1309</v>
      </c>
      <c r="HE19" t="s">
        <v>1309</v>
      </c>
      <c r="HF19" t="s">
        <v>1309</v>
      </c>
      <c r="HH19" t="s">
        <v>1363</v>
      </c>
      <c r="HI19" t="s">
        <v>1363</v>
      </c>
      <c r="HJ19" t="s">
        <v>1390</v>
      </c>
      <c r="HK19" t="s">
        <v>1327</v>
      </c>
      <c r="HL19" t="s">
        <v>1364</v>
      </c>
      <c r="HM19" t="s">
        <v>1390</v>
      </c>
      <c r="IA19" t="s">
        <v>1307</v>
      </c>
      <c r="IQ19" t="s">
        <v>1330</v>
      </c>
      <c r="IS19" t="s">
        <v>1316</v>
      </c>
      <c r="JF19" t="s">
        <v>1316</v>
      </c>
      <c r="JG19" t="s">
        <v>1523</v>
      </c>
      <c r="JH19" t="s">
        <v>1309</v>
      </c>
      <c r="JI19" t="s">
        <v>1309</v>
      </c>
      <c r="JJ19" t="s">
        <v>1309</v>
      </c>
      <c r="JK19" t="s">
        <v>1310</v>
      </c>
      <c r="JL19" t="s">
        <v>1309</v>
      </c>
      <c r="JM19" t="s">
        <v>1309</v>
      </c>
      <c r="JN19" t="s">
        <v>1309</v>
      </c>
      <c r="JO19" t="s">
        <v>1309</v>
      </c>
      <c r="JQ19" s="92" t="s">
        <v>1524</v>
      </c>
      <c r="JR19" s="92" t="s">
        <v>1525</v>
      </c>
      <c r="JS19" s="92">
        <v>27</v>
      </c>
      <c r="JT19" s="92" t="s">
        <v>1319</v>
      </c>
      <c r="JU19" s="92" t="s">
        <v>1396</v>
      </c>
      <c r="JV19" s="92" t="s">
        <v>1526</v>
      </c>
      <c r="JW19" s="92" t="s">
        <v>1296</v>
      </c>
      <c r="JX19" s="92" t="s">
        <v>71</v>
      </c>
      <c r="JY19" s="92" t="s">
        <v>1397</v>
      </c>
      <c r="JZ19" s="92" t="s">
        <v>1398</v>
      </c>
      <c r="KA19" s="92" t="s">
        <v>4845</v>
      </c>
      <c r="KB19" s="92" t="s">
        <v>1415</v>
      </c>
      <c r="KC19" s="92" t="s">
        <v>109</v>
      </c>
      <c r="KD19" s="92" t="s">
        <v>1309</v>
      </c>
      <c r="KE19" s="92" t="s">
        <v>1340</v>
      </c>
      <c r="KF19" s="92">
        <v>1800</v>
      </c>
      <c r="KG19" s="92" t="s">
        <v>1340</v>
      </c>
      <c r="KH19" s="92" t="s">
        <v>109</v>
      </c>
      <c r="KI19" s="92" t="s">
        <v>192</v>
      </c>
      <c r="KJ19" s="92" t="s">
        <v>109</v>
      </c>
      <c r="KK19" s="92" t="s">
        <v>192</v>
      </c>
      <c r="KL19" s="92" t="s">
        <v>1440</v>
      </c>
      <c r="KM19" s="92">
        <v>2700</v>
      </c>
      <c r="KN19" s="92" t="s">
        <v>1340</v>
      </c>
      <c r="KO19" s="92" t="s">
        <v>1425</v>
      </c>
      <c r="KP19" s="92" t="s">
        <v>1342</v>
      </c>
      <c r="KQ19" s="92" t="s">
        <v>192</v>
      </c>
      <c r="KR19" s="92">
        <v>33</v>
      </c>
      <c r="KS19" s="92" t="s">
        <v>1345</v>
      </c>
      <c r="KT19" s="92" t="s">
        <v>1402</v>
      </c>
      <c r="KU19" s="92">
        <v>30</v>
      </c>
      <c r="KV19" s="92" t="s">
        <v>1441</v>
      </c>
      <c r="KW19" s="92" t="s">
        <v>1402</v>
      </c>
      <c r="KX19" s="92" t="s">
        <v>1376</v>
      </c>
      <c r="KY19" s="92" t="s">
        <v>1377</v>
      </c>
      <c r="KZ19" s="92" t="s">
        <v>1403</v>
      </c>
      <c r="LA19" s="92" t="s">
        <v>109</v>
      </c>
      <c r="LB19" s="92" t="s">
        <v>109</v>
      </c>
      <c r="LC19" s="92" t="s">
        <v>5566</v>
      </c>
      <c r="LD19" s="92" t="s">
        <v>5566</v>
      </c>
      <c r="LE19" s="92"/>
      <c r="LF19" s="92"/>
    </row>
    <row r="20" spans="1:318" x14ac:dyDescent="0.25">
      <c r="A20" t="s">
        <v>1527</v>
      </c>
      <c r="B20" t="s">
        <v>1528</v>
      </c>
      <c r="C20" t="s">
        <v>1304</v>
      </c>
      <c r="D20" t="s">
        <v>1305</v>
      </c>
      <c r="E20" t="s">
        <v>1306</v>
      </c>
      <c r="G20" t="s">
        <v>1307</v>
      </c>
      <c r="H20">
        <v>3</v>
      </c>
      <c r="I20" t="s">
        <v>1307</v>
      </c>
      <c r="J20" t="s">
        <v>1406</v>
      </c>
      <c r="K20" t="s">
        <v>1309</v>
      </c>
      <c r="L20" t="s">
        <v>1310</v>
      </c>
      <c r="M20" t="s">
        <v>1309</v>
      </c>
      <c r="N20" t="s">
        <v>1309</v>
      </c>
      <c r="O20" t="s">
        <v>1309</v>
      </c>
      <c r="P20" t="s">
        <v>1309</v>
      </c>
      <c r="Q20" t="s">
        <v>1309</v>
      </c>
      <c r="R20" t="s">
        <v>1309</v>
      </c>
      <c r="S20">
        <v>1</v>
      </c>
      <c r="U20" t="s">
        <v>1312</v>
      </c>
      <c r="V20" t="s">
        <v>1312</v>
      </c>
      <c r="W20" t="s">
        <v>1312</v>
      </c>
      <c r="X20" t="s">
        <v>1312</v>
      </c>
      <c r="Y20" t="s">
        <v>1312</v>
      </c>
      <c r="Z20" t="s">
        <v>1312</v>
      </c>
      <c r="AC20">
        <v>2</v>
      </c>
      <c r="AD20">
        <v>8000</v>
      </c>
      <c r="AE20">
        <v>5000</v>
      </c>
      <c r="AF20" t="s">
        <v>1351</v>
      </c>
      <c r="AH20" t="s">
        <v>1314</v>
      </c>
      <c r="AJ20" t="s">
        <v>1353</v>
      </c>
      <c r="AL20" t="s">
        <v>1354</v>
      </c>
      <c r="BA20" t="s">
        <v>1354</v>
      </c>
      <c r="BS20" t="s">
        <v>1307</v>
      </c>
      <c r="CE20" t="s">
        <v>1355</v>
      </c>
      <c r="CF20" t="s">
        <v>1309</v>
      </c>
      <c r="CG20" t="s">
        <v>1309</v>
      </c>
      <c r="CH20" t="s">
        <v>1309</v>
      </c>
      <c r="CI20" t="s">
        <v>1309</v>
      </c>
      <c r="CJ20" t="s">
        <v>1309</v>
      </c>
      <c r="CK20" t="s">
        <v>1309</v>
      </c>
      <c r="CL20" t="s">
        <v>1309</v>
      </c>
      <c r="CM20" t="s">
        <v>1309</v>
      </c>
      <c r="CN20" t="s">
        <v>1310</v>
      </c>
      <c r="CO20" t="s">
        <v>1309</v>
      </c>
      <c r="CP20" t="s">
        <v>1309</v>
      </c>
      <c r="CQ20" t="s">
        <v>1309</v>
      </c>
      <c r="CR20" t="s">
        <v>1309</v>
      </c>
      <c r="CT20" t="s">
        <v>4436</v>
      </c>
      <c r="CV20" t="s">
        <v>1308</v>
      </c>
      <c r="CW20" t="s">
        <v>1310</v>
      </c>
      <c r="CX20" t="s">
        <v>1309</v>
      </c>
      <c r="CY20" t="s">
        <v>1309</v>
      </c>
      <c r="CZ20" t="s">
        <v>1309</v>
      </c>
      <c r="DA20" t="s">
        <v>1309</v>
      </c>
      <c r="DB20" t="s">
        <v>1309</v>
      </c>
      <c r="DC20" t="s">
        <v>1309</v>
      </c>
      <c r="DE20" t="s">
        <v>1358</v>
      </c>
      <c r="DF20" t="s">
        <v>1319</v>
      </c>
      <c r="DG20">
        <v>200</v>
      </c>
      <c r="DH20">
        <v>2000</v>
      </c>
      <c r="DI20">
        <v>600</v>
      </c>
      <c r="DJ20" t="s">
        <v>1358</v>
      </c>
      <c r="DK20">
        <v>250</v>
      </c>
      <c r="DL20">
        <v>2000</v>
      </c>
      <c r="DM20">
        <v>600</v>
      </c>
      <c r="DN20" t="s">
        <v>1445</v>
      </c>
      <c r="DO20" t="s">
        <v>1310</v>
      </c>
      <c r="DP20" t="s">
        <v>1310</v>
      </c>
      <c r="DQ20" t="s">
        <v>1309</v>
      </c>
      <c r="DR20" t="s">
        <v>1309</v>
      </c>
      <c r="DS20" t="s">
        <v>1309</v>
      </c>
      <c r="DT20" t="s">
        <v>1310</v>
      </c>
      <c r="DU20" t="s">
        <v>1309</v>
      </c>
      <c r="DV20" t="s">
        <v>1309</v>
      </c>
      <c r="DW20" t="s">
        <v>1309</v>
      </c>
      <c r="DY20" t="s">
        <v>1456</v>
      </c>
      <c r="DZ20">
        <v>300</v>
      </c>
      <c r="EA20" t="s">
        <v>1386</v>
      </c>
      <c r="EC20" t="s">
        <v>1457</v>
      </c>
      <c r="ED20">
        <v>500</v>
      </c>
      <c r="EE20" t="s">
        <v>1386</v>
      </c>
      <c r="EG20" t="s">
        <v>5357</v>
      </c>
      <c r="ET20" t="s">
        <v>1434</v>
      </c>
      <c r="EV20" t="s">
        <v>1319</v>
      </c>
      <c r="EW20" t="s">
        <v>1529</v>
      </c>
      <c r="EX20" t="s">
        <v>1319</v>
      </c>
      <c r="EY20" t="s">
        <v>1307</v>
      </c>
      <c r="EZ20" t="s">
        <v>1319</v>
      </c>
      <c r="FA20" t="s">
        <v>1530</v>
      </c>
      <c r="FB20" t="s">
        <v>1309</v>
      </c>
      <c r="FC20" t="s">
        <v>1310</v>
      </c>
      <c r="FD20" t="s">
        <v>1309</v>
      </c>
      <c r="FE20" t="s">
        <v>1309</v>
      </c>
      <c r="FF20" t="s">
        <v>1310</v>
      </c>
      <c r="FG20" t="s">
        <v>1309</v>
      </c>
      <c r="FH20" t="s">
        <v>1310</v>
      </c>
      <c r="FI20" t="s">
        <v>1310</v>
      </c>
      <c r="FJ20" t="s">
        <v>1309</v>
      </c>
      <c r="FK20" t="s">
        <v>1309</v>
      </c>
      <c r="FL20" t="s">
        <v>1310</v>
      </c>
      <c r="FM20" t="s">
        <v>1310</v>
      </c>
      <c r="FN20" t="s">
        <v>1309</v>
      </c>
      <c r="FO20" t="s">
        <v>1309</v>
      </c>
      <c r="FP20" t="s">
        <v>1309</v>
      </c>
      <c r="FQ20" t="s">
        <v>1309</v>
      </c>
      <c r="FR20" t="s">
        <v>1309</v>
      </c>
      <c r="FT20" t="s">
        <v>1307</v>
      </c>
      <c r="GI20" t="s">
        <v>1324</v>
      </c>
      <c r="GJ20" t="s">
        <v>1324</v>
      </c>
      <c r="GT20" t="s">
        <v>1531</v>
      </c>
      <c r="GU20" t="s">
        <v>1310</v>
      </c>
      <c r="GV20" t="s">
        <v>1310</v>
      </c>
      <c r="GW20" t="s">
        <v>1309</v>
      </c>
      <c r="GX20" t="s">
        <v>1309</v>
      </c>
      <c r="GY20" t="s">
        <v>1309</v>
      </c>
      <c r="GZ20" t="s">
        <v>1309</v>
      </c>
      <c r="HA20" t="s">
        <v>1309</v>
      </c>
      <c r="HB20" t="s">
        <v>1309</v>
      </c>
      <c r="HC20" t="s">
        <v>1309</v>
      </c>
      <c r="HD20" t="s">
        <v>1309</v>
      </c>
      <c r="HE20" t="s">
        <v>1309</v>
      </c>
      <c r="HF20" t="s">
        <v>1309</v>
      </c>
      <c r="HH20" t="s">
        <v>1326</v>
      </c>
      <c r="HI20" t="s">
        <v>1327</v>
      </c>
      <c r="HJ20" t="s">
        <v>1326</v>
      </c>
      <c r="HK20" t="s">
        <v>1327</v>
      </c>
      <c r="HL20" t="s">
        <v>1364</v>
      </c>
      <c r="HM20" t="s">
        <v>1326</v>
      </c>
      <c r="IA20" t="s">
        <v>1319</v>
      </c>
      <c r="IB20" t="s">
        <v>1532</v>
      </c>
      <c r="IC20" t="s">
        <v>1309</v>
      </c>
      <c r="ID20" t="s">
        <v>1309</v>
      </c>
      <c r="IE20" t="s">
        <v>1309</v>
      </c>
      <c r="IF20" t="s">
        <v>1309</v>
      </c>
      <c r="IG20" t="s">
        <v>1310</v>
      </c>
      <c r="IH20" t="s">
        <v>1309</v>
      </c>
      <c r="II20" t="s">
        <v>1310</v>
      </c>
      <c r="IJ20" t="s">
        <v>1309</v>
      </c>
      <c r="IK20" t="s">
        <v>1309</v>
      </c>
      <c r="IL20" t="s">
        <v>1309</v>
      </c>
      <c r="IM20" t="s">
        <v>1309</v>
      </c>
      <c r="IN20" t="s">
        <v>1309</v>
      </c>
      <c r="IO20" t="s">
        <v>1309</v>
      </c>
      <c r="IQ20" t="s">
        <v>1330</v>
      </c>
      <c r="IS20" t="s">
        <v>1316</v>
      </c>
      <c r="JF20" t="s">
        <v>1316</v>
      </c>
      <c r="JG20" t="s">
        <v>1332</v>
      </c>
      <c r="JH20" t="s">
        <v>1309</v>
      </c>
      <c r="JI20" t="s">
        <v>1309</v>
      </c>
      <c r="JJ20" t="s">
        <v>1309</v>
      </c>
      <c r="JK20" t="s">
        <v>1309</v>
      </c>
      <c r="JL20" t="s">
        <v>1310</v>
      </c>
      <c r="JM20" t="s">
        <v>1309</v>
      </c>
      <c r="JN20" t="s">
        <v>1309</v>
      </c>
      <c r="JO20" t="s">
        <v>1309</v>
      </c>
      <c r="JQ20" s="92" t="s">
        <v>1366</v>
      </c>
      <c r="JR20" s="92" t="s">
        <v>1533</v>
      </c>
      <c r="JS20" s="92">
        <v>43</v>
      </c>
      <c r="JT20" s="92" t="s">
        <v>1319</v>
      </c>
      <c r="JU20" s="92" t="s">
        <v>1335</v>
      </c>
      <c r="JV20" s="92" t="s">
        <v>1368</v>
      </c>
      <c r="JW20" s="92" t="s">
        <v>1296</v>
      </c>
      <c r="JX20" s="92" t="s">
        <v>70</v>
      </c>
      <c r="JY20" s="92" t="s">
        <v>5549</v>
      </c>
      <c r="JZ20" s="92" t="s">
        <v>1337</v>
      </c>
      <c r="KA20" s="92" t="s">
        <v>4845</v>
      </c>
      <c r="KB20" s="92" t="s">
        <v>1415</v>
      </c>
      <c r="KC20" s="92" t="s">
        <v>109</v>
      </c>
      <c r="KD20" s="92" t="s">
        <v>4847</v>
      </c>
      <c r="KE20" s="92" t="s">
        <v>1424</v>
      </c>
      <c r="KF20" s="92">
        <v>2800</v>
      </c>
      <c r="KG20" s="92" t="s">
        <v>4439</v>
      </c>
      <c r="KH20" s="92" t="s">
        <v>192</v>
      </c>
      <c r="KI20" s="92" t="s">
        <v>192</v>
      </c>
      <c r="KJ20" s="92" t="s">
        <v>192</v>
      </c>
      <c r="KK20" s="92" t="s">
        <v>192</v>
      </c>
      <c r="KL20" s="92" t="s">
        <v>1425</v>
      </c>
      <c r="KM20" s="92">
        <v>2850</v>
      </c>
      <c r="KN20" s="92" t="s">
        <v>4439</v>
      </c>
      <c r="KO20" s="92" t="s">
        <v>1425</v>
      </c>
      <c r="KP20" s="92" t="s">
        <v>1401</v>
      </c>
      <c r="KQ20" s="92" t="s">
        <v>192</v>
      </c>
      <c r="KR20" s="92"/>
      <c r="KS20" s="92" t="s">
        <v>1343</v>
      </c>
      <c r="KT20" s="92" t="s">
        <v>1402</v>
      </c>
      <c r="KU20" s="92"/>
      <c r="KV20" s="92" t="s">
        <v>1345</v>
      </c>
      <c r="KW20" s="92" t="s">
        <v>1402</v>
      </c>
      <c r="KX20" s="92" t="s">
        <v>1376</v>
      </c>
      <c r="KY20" s="92" t="s">
        <v>1377</v>
      </c>
      <c r="KZ20" s="92" t="s">
        <v>5795</v>
      </c>
      <c r="LA20" s="92" t="s">
        <v>109</v>
      </c>
      <c r="LB20" s="92" t="s">
        <v>109</v>
      </c>
      <c r="LC20" s="92" t="s">
        <v>4439</v>
      </c>
      <c r="LD20" s="92" t="s">
        <v>4439</v>
      </c>
      <c r="LE20" s="92" t="s">
        <v>109</v>
      </c>
      <c r="LF20" s="92" t="s">
        <v>109</v>
      </c>
    </row>
    <row r="21" spans="1:318" x14ac:dyDescent="0.25">
      <c r="A21" t="s">
        <v>1534</v>
      </c>
      <c r="B21" t="s">
        <v>1535</v>
      </c>
      <c r="C21" t="s">
        <v>1304</v>
      </c>
      <c r="D21" t="s">
        <v>1305</v>
      </c>
      <c r="E21" t="s">
        <v>1306</v>
      </c>
      <c r="G21" t="s">
        <v>1307</v>
      </c>
      <c r="H21">
        <v>2</v>
      </c>
      <c r="I21" t="s">
        <v>1307</v>
      </c>
      <c r="J21" t="s">
        <v>1308</v>
      </c>
      <c r="K21" t="s">
        <v>1309</v>
      </c>
      <c r="L21" t="s">
        <v>1309</v>
      </c>
      <c r="M21" t="s">
        <v>1309</v>
      </c>
      <c r="N21" t="s">
        <v>1309</v>
      </c>
      <c r="O21" t="s">
        <v>1309</v>
      </c>
      <c r="P21" t="s">
        <v>1309</v>
      </c>
      <c r="Q21" t="s">
        <v>1310</v>
      </c>
      <c r="R21" t="s">
        <v>1309</v>
      </c>
      <c r="U21" t="s">
        <v>1312</v>
      </c>
      <c r="V21" t="s">
        <v>1312</v>
      </c>
      <c r="W21" t="s">
        <v>1312</v>
      </c>
      <c r="X21" t="s">
        <v>1312</v>
      </c>
      <c r="Y21" t="s">
        <v>1312</v>
      </c>
      <c r="Z21" t="s">
        <v>1312</v>
      </c>
      <c r="AC21">
        <v>1</v>
      </c>
      <c r="AD21">
        <v>9000</v>
      </c>
      <c r="AE21">
        <v>4000</v>
      </c>
      <c r="AF21" t="s">
        <v>1351</v>
      </c>
      <c r="AH21" t="s">
        <v>1536</v>
      </c>
      <c r="AJ21" t="s">
        <v>1353</v>
      </c>
      <c r="AL21" t="s">
        <v>1316</v>
      </c>
      <c r="BA21" t="s">
        <v>1316</v>
      </c>
      <c r="BS21" t="s">
        <v>1307</v>
      </c>
      <c r="CE21" t="s">
        <v>1537</v>
      </c>
      <c r="CF21" t="s">
        <v>1309</v>
      </c>
      <c r="CG21" t="s">
        <v>1309</v>
      </c>
      <c r="CH21" t="s">
        <v>1309</v>
      </c>
      <c r="CI21" t="s">
        <v>1309</v>
      </c>
      <c r="CJ21" t="s">
        <v>1309</v>
      </c>
      <c r="CK21" t="s">
        <v>1310</v>
      </c>
      <c r="CL21" t="s">
        <v>1309</v>
      </c>
      <c r="CM21" t="s">
        <v>1309</v>
      </c>
      <c r="CN21" t="s">
        <v>1310</v>
      </c>
      <c r="CO21" t="s">
        <v>1309</v>
      </c>
      <c r="CP21" t="s">
        <v>1309</v>
      </c>
      <c r="CQ21" t="s">
        <v>1309</v>
      </c>
      <c r="CR21" t="s">
        <v>1309</v>
      </c>
      <c r="CT21" t="s">
        <v>4436</v>
      </c>
      <c r="CV21" t="s">
        <v>1308</v>
      </c>
      <c r="CW21" t="s">
        <v>1310</v>
      </c>
      <c r="CX21" t="s">
        <v>1309</v>
      </c>
      <c r="CY21" t="s">
        <v>1309</v>
      </c>
      <c r="CZ21" t="s">
        <v>1309</v>
      </c>
      <c r="DA21" t="s">
        <v>1309</v>
      </c>
      <c r="DB21" t="s">
        <v>1309</v>
      </c>
      <c r="DC21" t="s">
        <v>1309</v>
      </c>
      <c r="DE21" t="s">
        <v>1358</v>
      </c>
      <c r="DF21" t="s">
        <v>1319</v>
      </c>
      <c r="DG21">
        <v>200</v>
      </c>
      <c r="DH21">
        <v>3000</v>
      </c>
      <c r="DI21">
        <v>300</v>
      </c>
      <c r="DJ21" t="s">
        <v>1358</v>
      </c>
      <c r="DK21">
        <v>250</v>
      </c>
      <c r="DL21">
        <v>3500</v>
      </c>
      <c r="DM21">
        <v>350</v>
      </c>
      <c r="DN21" t="s">
        <v>1320</v>
      </c>
      <c r="DO21" t="s">
        <v>1310</v>
      </c>
      <c r="DP21" t="s">
        <v>1309</v>
      </c>
      <c r="DQ21" t="s">
        <v>1309</v>
      </c>
      <c r="DR21" t="s">
        <v>1309</v>
      </c>
      <c r="DS21" t="s">
        <v>1309</v>
      </c>
      <c r="DT21" t="s">
        <v>1310</v>
      </c>
      <c r="DU21" t="s">
        <v>1309</v>
      </c>
      <c r="DV21" t="s">
        <v>1309</v>
      </c>
      <c r="DW21" t="s">
        <v>1309</v>
      </c>
      <c r="DY21" t="s">
        <v>1321</v>
      </c>
      <c r="DZ21">
        <v>300</v>
      </c>
      <c r="EA21" t="s">
        <v>1386</v>
      </c>
      <c r="EC21" t="s">
        <v>1322</v>
      </c>
      <c r="ED21">
        <v>500</v>
      </c>
      <c r="EE21" t="s">
        <v>1386</v>
      </c>
      <c r="EG21" t="s">
        <v>5356</v>
      </c>
      <c r="EI21" t="s">
        <v>1307</v>
      </c>
      <c r="ET21" t="s">
        <v>1307</v>
      </c>
      <c r="EV21" t="s">
        <v>1319</v>
      </c>
      <c r="EW21" t="s">
        <v>1414</v>
      </c>
      <c r="EX21" t="s">
        <v>1319</v>
      </c>
      <c r="EY21" t="s">
        <v>1319</v>
      </c>
      <c r="EZ21" t="s">
        <v>1319</v>
      </c>
      <c r="FA21" t="s">
        <v>1538</v>
      </c>
      <c r="FB21" t="s">
        <v>1309</v>
      </c>
      <c r="FC21" t="s">
        <v>1309</v>
      </c>
      <c r="FD21" t="s">
        <v>1309</v>
      </c>
      <c r="FE21" t="s">
        <v>1310</v>
      </c>
      <c r="FF21" t="s">
        <v>1310</v>
      </c>
      <c r="FG21" t="s">
        <v>1310</v>
      </c>
      <c r="FH21" t="s">
        <v>1310</v>
      </c>
      <c r="FI21" t="s">
        <v>1309</v>
      </c>
      <c r="FJ21" t="s">
        <v>1309</v>
      </c>
      <c r="FK21" t="s">
        <v>1309</v>
      </c>
      <c r="FL21" t="s">
        <v>1310</v>
      </c>
      <c r="FM21" t="s">
        <v>1309</v>
      </c>
      <c r="FN21" t="s">
        <v>1310</v>
      </c>
      <c r="FO21" t="s">
        <v>1309</v>
      </c>
      <c r="FP21" t="s">
        <v>1309</v>
      </c>
      <c r="FQ21" t="s">
        <v>1309</v>
      </c>
      <c r="FR21" t="s">
        <v>1309</v>
      </c>
      <c r="FT21" t="s">
        <v>1307</v>
      </c>
      <c r="GI21" t="s">
        <v>1324</v>
      </c>
      <c r="GJ21" t="s">
        <v>1324</v>
      </c>
      <c r="GT21" t="s">
        <v>1539</v>
      </c>
      <c r="GU21" t="s">
        <v>1310</v>
      </c>
      <c r="GV21" t="s">
        <v>1310</v>
      </c>
      <c r="GW21" t="s">
        <v>1309</v>
      </c>
      <c r="GX21" t="s">
        <v>1309</v>
      </c>
      <c r="GY21" t="s">
        <v>1309</v>
      </c>
      <c r="GZ21" t="s">
        <v>1309</v>
      </c>
      <c r="HA21" t="s">
        <v>1309</v>
      </c>
      <c r="HB21" t="s">
        <v>1309</v>
      </c>
      <c r="HC21" t="s">
        <v>1309</v>
      </c>
      <c r="HD21" t="s">
        <v>1309</v>
      </c>
      <c r="HE21" t="s">
        <v>1309</v>
      </c>
      <c r="HF21" t="s">
        <v>1309</v>
      </c>
      <c r="HH21" t="s">
        <v>1390</v>
      </c>
      <c r="HI21" t="s">
        <v>1327</v>
      </c>
      <c r="HJ21" t="s">
        <v>1390</v>
      </c>
      <c r="HK21" t="s">
        <v>1327</v>
      </c>
      <c r="HL21" t="s">
        <v>1364</v>
      </c>
      <c r="HM21" t="s">
        <v>1390</v>
      </c>
      <c r="IA21" t="s">
        <v>1319</v>
      </c>
      <c r="IB21" t="s">
        <v>1540</v>
      </c>
      <c r="IC21" t="s">
        <v>1309</v>
      </c>
      <c r="ID21" t="s">
        <v>1309</v>
      </c>
      <c r="IE21" t="s">
        <v>1309</v>
      </c>
      <c r="IF21" t="s">
        <v>1309</v>
      </c>
      <c r="IG21" t="s">
        <v>1310</v>
      </c>
      <c r="IH21" t="s">
        <v>1309</v>
      </c>
      <c r="II21" t="s">
        <v>1310</v>
      </c>
      <c r="IJ21" t="s">
        <v>1309</v>
      </c>
      <c r="IK21" t="s">
        <v>1310</v>
      </c>
      <c r="IL21" t="s">
        <v>1309</v>
      </c>
      <c r="IM21" t="s">
        <v>1309</v>
      </c>
      <c r="IN21" t="s">
        <v>1309</v>
      </c>
      <c r="IO21" t="s">
        <v>1309</v>
      </c>
      <c r="IQ21" t="s">
        <v>1356</v>
      </c>
      <c r="IS21" t="s">
        <v>1316</v>
      </c>
      <c r="JF21" t="s">
        <v>1316</v>
      </c>
      <c r="JG21" t="s">
        <v>1332</v>
      </c>
      <c r="JH21" t="s">
        <v>1309</v>
      </c>
      <c r="JI21" t="s">
        <v>1309</v>
      </c>
      <c r="JJ21" t="s">
        <v>1309</v>
      </c>
      <c r="JK21" t="s">
        <v>1309</v>
      </c>
      <c r="JL21" t="s">
        <v>1310</v>
      </c>
      <c r="JM21" t="s">
        <v>1309</v>
      </c>
      <c r="JN21" t="s">
        <v>1309</v>
      </c>
      <c r="JO21" t="s">
        <v>1309</v>
      </c>
      <c r="JQ21" s="92" t="s">
        <v>1366</v>
      </c>
      <c r="JR21" s="92" t="s">
        <v>1533</v>
      </c>
      <c r="JS21" s="92">
        <v>42</v>
      </c>
      <c r="JT21" s="92" t="s">
        <v>1319</v>
      </c>
      <c r="JU21" s="92" t="s">
        <v>1335</v>
      </c>
      <c r="JV21" s="92" t="s">
        <v>1368</v>
      </c>
      <c r="JW21" s="92" t="s">
        <v>1296</v>
      </c>
      <c r="JX21" s="92" t="s">
        <v>70</v>
      </c>
      <c r="JY21" s="92" t="s">
        <v>5549</v>
      </c>
      <c r="JZ21" s="92" t="s">
        <v>1337</v>
      </c>
      <c r="KA21" s="92" t="s">
        <v>4845</v>
      </c>
      <c r="KB21" s="92" t="s">
        <v>1338</v>
      </c>
      <c r="KC21" s="92" t="s">
        <v>109</v>
      </c>
      <c r="KD21" s="92" t="s">
        <v>4844</v>
      </c>
      <c r="KE21" s="92" t="s">
        <v>1424</v>
      </c>
      <c r="KF21" s="92">
        <v>3500</v>
      </c>
      <c r="KG21" s="92" t="s">
        <v>4439</v>
      </c>
      <c r="KH21" s="92" t="s">
        <v>192</v>
      </c>
      <c r="KI21" s="92" t="s">
        <v>192</v>
      </c>
      <c r="KJ21" s="92" t="s">
        <v>192</v>
      </c>
      <c r="KK21" s="92" t="s">
        <v>192</v>
      </c>
      <c r="KL21" s="92" t="s">
        <v>1341</v>
      </c>
      <c r="KM21" s="92">
        <v>4100</v>
      </c>
      <c r="KN21" s="92" t="s">
        <v>4439</v>
      </c>
      <c r="KO21" s="92" t="s">
        <v>1341</v>
      </c>
      <c r="KP21" s="92" t="s">
        <v>1401</v>
      </c>
      <c r="KQ21" s="92" t="s">
        <v>192</v>
      </c>
      <c r="KR21" s="92"/>
      <c r="KS21" s="92" t="s">
        <v>1343</v>
      </c>
      <c r="KT21" s="92" t="s">
        <v>1402</v>
      </c>
      <c r="KU21" s="92"/>
      <c r="KV21" s="92" t="s">
        <v>1345</v>
      </c>
      <c r="KW21" s="92" t="s">
        <v>1402</v>
      </c>
      <c r="KX21" s="92" t="s">
        <v>1346</v>
      </c>
      <c r="KY21" s="92" t="s">
        <v>1347</v>
      </c>
      <c r="KZ21" s="92" t="s">
        <v>5795</v>
      </c>
      <c r="LA21" s="92" t="s">
        <v>109</v>
      </c>
      <c r="LB21" s="92" t="s">
        <v>109</v>
      </c>
      <c r="LC21" s="92" t="s">
        <v>4439</v>
      </c>
      <c r="LD21" s="92" t="s">
        <v>1400</v>
      </c>
      <c r="LE21" s="92" t="s">
        <v>109</v>
      </c>
      <c r="LF21" s="92" t="s">
        <v>109</v>
      </c>
    </row>
    <row r="22" spans="1:318" x14ac:dyDescent="0.25">
      <c r="A22" t="s">
        <v>1541</v>
      </c>
      <c r="B22" t="s">
        <v>1542</v>
      </c>
      <c r="C22" t="s">
        <v>1304</v>
      </c>
      <c r="D22" t="s">
        <v>1305</v>
      </c>
      <c r="E22" t="s">
        <v>1306</v>
      </c>
      <c r="G22" t="s">
        <v>1307</v>
      </c>
      <c r="H22">
        <v>2</v>
      </c>
      <c r="I22" t="s">
        <v>1307</v>
      </c>
      <c r="J22" t="s">
        <v>1430</v>
      </c>
      <c r="K22" t="s">
        <v>1309</v>
      </c>
      <c r="L22" t="s">
        <v>1309</v>
      </c>
      <c r="M22" t="s">
        <v>1310</v>
      </c>
      <c r="N22" t="s">
        <v>1309</v>
      </c>
      <c r="O22" t="s">
        <v>1309</v>
      </c>
      <c r="P22" t="s">
        <v>1309</v>
      </c>
      <c r="Q22" t="s">
        <v>1309</v>
      </c>
      <c r="R22" t="s">
        <v>1309</v>
      </c>
      <c r="T22">
        <v>1</v>
      </c>
      <c r="U22" t="s">
        <v>1311</v>
      </c>
      <c r="V22" t="s">
        <v>1312</v>
      </c>
      <c r="W22" t="s">
        <v>1311</v>
      </c>
      <c r="X22" t="s">
        <v>1312</v>
      </c>
      <c r="Y22" t="s">
        <v>1312</v>
      </c>
      <c r="Z22" t="s">
        <v>1312</v>
      </c>
      <c r="AC22">
        <v>1</v>
      </c>
      <c r="AD22">
        <v>2000</v>
      </c>
      <c r="AE22">
        <v>3000</v>
      </c>
      <c r="AF22" t="s">
        <v>1351</v>
      </c>
      <c r="AH22" t="s">
        <v>1352</v>
      </c>
      <c r="AJ22" t="s">
        <v>1315</v>
      </c>
      <c r="AL22" t="s">
        <v>1316</v>
      </c>
      <c r="BS22" t="s">
        <v>1307</v>
      </c>
      <c r="CE22" t="s">
        <v>1317</v>
      </c>
      <c r="CF22" t="s">
        <v>1309</v>
      </c>
      <c r="CG22" t="s">
        <v>1309</v>
      </c>
      <c r="CH22" t="s">
        <v>1309</v>
      </c>
      <c r="CI22" t="s">
        <v>1309</v>
      </c>
      <c r="CJ22" t="s">
        <v>1309</v>
      </c>
      <c r="CK22" t="s">
        <v>1309</v>
      </c>
      <c r="CL22" t="s">
        <v>1309</v>
      </c>
      <c r="CM22" t="s">
        <v>1309</v>
      </c>
      <c r="CN22" t="s">
        <v>1310</v>
      </c>
      <c r="CO22" t="s">
        <v>1310</v>
      </c>
      <c r="CP22" t="s">
        <v>1309</v>
      </c>
      <c r="CQ22" t="s">
        <v>1309</v>
      </c>
      <c r="CR22" t="s">
        <v>1309</v>
      </c>
      <c r="CT22" t="s">
        <v>4436</v>
      </c>
      <c r="CV22" t="s">
        <v>1308</v>
      </c>
      <c r="CW22" t="s">
        <v>1310</v>
      </c>
      <c r="CX22" t="s">
        <v>1309</v>
      </c>
      <c r="CY22" t="s">
        <v>1309</v>
      </c>
      <c r="CZ22" t="s">
        <v>1309</v>
      </c>
      <c r="DA22" t="s">
        <v>1309</v>
      </c>
      <c r="DB22" t="s">
        <v>1309</v>
      </c>
      <c r="DC22" t="s">
        <v>1309</v>
      </c>
      <c r="DE22" t="s">
        <v>1358</v>
      </c>
      <c r="DF22" t="s">
        <v>1319</v>
      </c>
      <c r="DG22">
        <v>200</v>
      </c>
      <c r="DI22">
        <v>200</v>
      </c>
      <c r="DJ22" t="s">
        <v>1358</v>
      </c>
      <c r="DK22">
        <v>300</v>
      </c>
      <c r="DM22">
        <v>250</v>
      </c>
      <c r="DN22" t="s">
        <v>1543</v>
      </c>
      <c r="DO22" t="s">
        <v>1309</v>
      </c>
      <c r="DP22" t="s">
        <v>1310</v>
      </c>
      <c r="DQ22" t="s">
        <v>1309</v>
      </c>
      <c r="DR22" t="s">
        <v>1310</v>
      </c>
      <c r="DS22" t="s">
        <v>1309</v>
      </c>
      <c r="DT22" t="s">
        <v>1310</v>
      </c>
      <c r="DU22" t="s">
        <v>1309</v>
      </c>
      <c r="DV22" t="s">
        <v>1309</v>
      </c>
      <c r="DW22" t="s">
        <v>1309</v>
      </c>
      <c r="DY22" t="s">
        <v>1490</v>
      </c>
      <c r="DZ22">
        <v>300</v>
      </c>
      <c r="EA22" t="s">
        <v>1386</v>
      </c>
      <c r="EC22" t="s">
        <v>1387</v>
      </c>
      <c r="ED22">
        <v>500</v>
      </c>
      <c r="EE22" t="s">
        <v>1386</v>
      </c>
      <c r="EG22" t="s">
        <v>5356</v>
      </c>
      <c r="EI22" t="s">
        <v>1307</v>
      </c>
      <c r="ET22" t="s">
        <v>1544</v>
      </c>
      <c r="EV22" t="s">
        <v>1307</v>
      </c>
      <c r="EX22" t="s">
        <v>1319</v>
      </c>
      <c r="EY22" t="s">
        <v>1319</v>
      </c>
      <c r="EZ22" t="s">
        <v>1319</v>
      </c>
      <c r="FA22" t="s">
        <v>1545</v>
      </c>
      <c r="FB22" t="s">
        <v>1310</v>
      </c>
      <c r="FC22" t="s">
        <v>1310</v>
      </c>
      <c r="FD22" t="s">
        <v>1309</v>
      </c>
      <c r="FE22" t="s">
        <v>1310</v>
      </c>
      <c r="FF22" t="s">
        <v>1309</v>
      </c>
      <c r="FG22" t="s">
        <v>1309</v>
      </c>
      <c r="FH22" t="s">
        <v>1309</v>
      </c>
      <c r="FI22" t="s">
        <v>1310</v>
      </c>
      <c r="FJ22" t="s">
        <v>1309</v>
      </c>
      <c r="FK22" t="s">
        <v>1309</v>
      </c>
      <c r="FL22" t="s">
        <v>1309</v>
      </c>
      <c r="FM22" t="s">
        <v>1310</v>
      </c>
      <c r="FN22" t="s">
        <v>1310</v>
      </c>
      <c r="FO22" t="s">
        <v>1309</v>
      </c>
      <c r="FP22" t="s">
        <v>1309</v>
      </c>
      <c r="FQ22" t="s">
        <v>1309</v>
      </c>
      <c r="FR22" t="s">
        <v>1309</v>
      </c>
      <c r="FT22" t="s">
        <v>1307</v>
      </c>
      <c r="GI22" t="s">
        <v>1324</v>
      </c>
      <c r="GJ22" t="s">
        <v>1324</v>
      </c>
      <c r="GT22" t="s">
        <v>1539</v>
      </c>
      <c r="GU22" t="s">
        <v>1310</v>
      </c>
      <c r="GV22" t="s">
        <v>1310</v>
      </c>
      <c r="GW22" t="s">
        <v>1309</v>
      </c>
      <c r="GX22" t="s">
        <v>1309</v>
      </c>
      <c r="GY22" t="s">
        <v>1309</v>
      </c>
      <c r="GZ22" t="s">
        <v>1309</v>
      </c>
      <c r="HA22" t="s">
        <v>1309</v>
      </c>
      <c r="HB22" t="s">
        <v>1309</v>
      </c>
      <c r="HC22" t="s">
        <v>1309</v>
      </c>
      <c r="HD22" t="s">
        <v>1309</v>
      </c>
      <c r="HE22" t="s">
        <v>1309</v>
      </c>
      <c r="HF22" t="s">
        <v>1309</v>
      </c>
      <c r="HH22" t="s">
        <v>1326</v>
      </c>
      <c r="HI22" t="s">
        <v>1326</v>
      </c>
      <c r="HJ22" t="s">
        <v>1326</v>
      </c>
      <c r="HK22" t="s">
        <v>1326</v>
      </c>
      <c r="HL22" t="s">
        <v>1364</v>
      </c>
      <c r="HM22" t="s">
        <v>1326</v>
      </c>
      <c r="IA22" t="s">
        <v>1319</v>
      </c>
      <c r="IB22" t="s">
        <v>1532</v>
      </c>
      <c r="IC22" t="s">
        <v>1309</v>
      </c>
      <c r="ID22" t="s">
        <v>1309</v>
      </c>
      <c r="IE22" t="s">
        <v>1309</v>
      </c>
      <c r="IF22" t="s">
        <v>1309</v>
      </c>
      <c r="IG22" t="s">
        <v>1310</v>
      </c>
      <c r="IH22" t="s">
        <v>1309</v>
      </c>
      <c r="II22" t="s">
        <v>1310</v>
      </c>
      <c r="IJ22" t="s">
        <v>1309</v>
      </c>
      <c r="IK22" t="s">
        <v>1309</v>
      </c>
      <c r="IL22" t="s">
        <v>1309</v>
      </c>
      <c r="IM22" t="s">
        <v>1309</v>
      </c>
      <c r="IN22" t="s">
        <v>1309</v>
      </c>
      <c r="IO22" t="s">
        <v>1309</v>
      </c>
      <c r="IQ22" t="s">
        <v>1308</v>
      </c>
      <c r="IS22" t="s">
        <v>1316</v>
      </c>
      <c r="JF22" t="s">
        <v>1316</v>
      </c>
      <c r="JG22" t="s">
        <v>1332</v>
      </c>
      <c r="JH22" t="s">
        <v>1309</v>
      </c>
      <c r="JI22" t="s">
        <v>1309</v>
      </c>
      <c r="JJ22" t="s">
        <v>1309</v>
      </c>
      <c r="JK22" t="s">
        <v>1309</v>
      </c>
      <c r="JL22" t="s">
        <v>1310</v>
      </c>
      <c r="JM22" t="s">
        <v>1309</v>
      </c>
      <c r="JN22" t="s">
        <v>1309</v>
      </c>
      <c r="JO22" t="s">
        <v>1309</v>
      </c>
      <c r="JQ22" s="92" t="s">
        <v>1366</v>
      </c>
      <c r="JR22" s="92" t="s">
        <v>1533</v>
      </c>
      <c r="JS22" s="92">
        <v>58</v>
      </c>
      <c r="JT22" s="92" t="s">
        <v>1319</v>
      </c>
      <c r="JU22" s="92" t="s">
        <v>1335</v>
      </c>
      <c r="JV22" s="92" t="s">
        <v>1368</v>
      </c>
      <c r="JW22" s="92" t="s">
        <v>1296</v>
      </c>
      <c r="JX22" s="92" t="s">
        <v>70</v>
      </c>
      <c r="JY22" s="92" t="s">
        <v>5549</v>
      </c>
      <c r="JZ22" s="92" t="s">
        <v>1337</v>
      </c>
      <c r="KA22" s="92" t="s">
        <v>4845</v>
      </c>
      <c r="KB22" s="92" t="s">
        <v>1439</v>
      </c>
      <c r="KC22" s="92" t="s">
        <v>109</v>
      </c>
      <c r="KD22" s="92" t="s">
        <v>4844</v>
      </c>
      <c r="KE22" s="92" t="s">
        <v>5561</v>
      </c>
      <c r="KF22" s="92">
        <v>400</v>
      </c>
      <c r="KG22" s="92" t="s">
        <v>4438</v>
      </c>
      <c r="KH22" s="92" t="s">
        <v>192</v>
      </c>
      <c r="KI22" s="92" t="s">
        <v>109</v>
      </c>
      <c r="KJ22" s="92" t="s">
        <v>192</v>
      </c>
      <c r="KK22" s="92" t="s">
        <v>109</v>
      </c>
      <c r="KL22" s="92" t="s">
        <v>1373</v>
      </c>
      <c r="KM22" s="92">
        <v>550</v>
      </c>
      <c r="KN22" s="92" t="s">
        <v>4439</v>
      </c>
      <c r="KO22" s="92" t="s">
        <v>1374</v>
      </c>
      <c r="KP22" s="92" t="s">
        <v>1401</v>
      </c>
      <c r="KQ22" s="92" t="s">
        <v>192</v>
      </c>
      <c r="KR22" s="92"/>
      <c r="KS22" s="92" t="s">
        <v>1343</v>
      </c>
      <c r="KT22" s="92" t="s">
        <v>1402</v>
      </c>
      <c r="KU22" s="92"/>
      <c r="KV22" s="92" t="s">
        <v>1345</v>
      </c>
      <c r="KW22" s="92" t="s">
        <v>1402</v>
      </c>
      <c r="KX22" s="92" t="s">
        <v>1346</v>
      </c>
      <c r="KY22" s="92" t="s">
        <v>1347</v>
      </c>
      <c r="KZ22" s="92" t="s">
        <v>5795</v>
      </c>
      <c r="LA22" s="92" t="s">
        <v>109</v>
      </c>
      <c r="LB22" s="92" t="s">
        <v>109</v>
      </c>
      <c r="LC22" s="92" t="s">
        <v>4438</v>
      </c>
      <c r="LD22" s="92" t="s">
        <v>4438</v>
      </c>
      <c r="LE22" s="92" t="s">
        <v>192</v>
      </c>
      <c r="LF22" s="92" t="s">
        <v>192</v>
      </c>
    </row>
    <row r="23" spans="1:318" x14ac:dyDescent="0.25">
      <c r="A23" t="s">
        <v>1546</v>
      </c>
      <c r="B23" t="s">
        <v>1547</v>
      </c>
      <c r="C23" t="s">
        <v>1304</v>
      </c>
      <c r="D23" t="s">
        <v>1305</v>
      </c>
      <c r="E23" t="s">
        <v>1306</v>
      </c>
      <c r="G23" t="s">
        <v>1307</v>
      </c>
      <c r="H23">
        <v>2</v>
      </c>
      <c r="I23" t="s">
        <v>1307</v>
      </c>
      <c r="J23" t="s">
        <v>1548</v>
      </c>
      <c r="K23" t="s">
        <v>1309</v>
      </c>
      <c r="L23" t="s">
        <v>1309</v>
      </c>
      <c r="M23" t="s">
        <v>1310</v>
      </c>
      <c r="N23" t="s">
        <v>1310</v>
      </c>
      <c r="O23" t="s">
        <v>1309</v>
      </c>
      <c r="P23" t="s">
        <v>1309</v>
      </c>
      <c r="Q23" t="s">
        <v>1309</v>
      </c>
      <c r="R23" t="s">
        <v>1309</v>
      </c>
      <c r="T23">
        <v>1</v>
      </c>
      <c r="U23" t="s">
        <v>1311</v>
      </c>
      <c r="V23" t="s">
        <v>1311</v>
      </c>
      <c r="W23" t="s">
        <v>1486</v>
      </c>
      <c r="X23" t="s">
        <v>1311</v>
      </c>
      <c r="Y23" t="s">
        <v>1312</v>
      </c>
      <c r="Z23" t="s">
        <v>1312</v>
      </c>
      <c r="AA23">
        <v>1</v>
      </c>
      <c r="AB23">
        <v>1</v>
      </c>
      <c r="AC23">
        <v>2</v>
      </c>
      <c r="AD23">
        <v>5000</v>
      </c>
      <c r="AE23">
        <v>2500</v>
      </c>
      <c r="AF23" t="s">
        <v>1351</v>
      </c>
      <c r="AH23" t="s">
        <v>1352</v>
      </c>
      <c r="AJ23" t="s">
        <v>1315</v>
      </c>
      <c r="AL23" t="s">
        <v>1316</v>
      </c>
      <c r="BS23" t="s">
        <v>1307</v>
      </c>
      <c r="CE23" t="s">
        <v>1355</v>
      </c>
      <c r="CF23" t="s">
        <v>1309</v>
      </c>
      <c r="CG23" t="s">
        <v>1309</v>
      </c>
      <c r="CH23" t="s">
        <v>1309</v>
      </c>
      <c r="CI23" t="s">
        <v>1309</v>
      </c>
      <c r="CJ23" t="s">
        <v>1309</v>
      </c>
      <c r="CK23" t="s">
        <v>1309</v>
      </c>
      <c r="CL23" t="s">
        <v>1309</v>
      </c>
      <c r="CM23" t="s">
        <v>1309</v>
      </c>
      <c r="CN23" t="s">
        <v>1310</v>
      </c>
      <c r="CO23" t="s">
        <v>1309</v>
      </c>
      <c r="CP23" t="s">
        <v>1309</v>
      </c>
      <c r="CQ23" t="s">
        <v>1309</v>
      </c>
      <c r="CR23" t="s">
        <v>1309</v>
      </c>
      <c r="CT23" t="s">
        <v>4434</v>
      </c>
      <c r="CV23" t="s">
        <v>1308</v>
      </c>
      <c r="CW23" t="s">
        <v>1310</v>
      </c>
      <c r="CX23" t="s">
        <v>1309</v>
      </c>
      <c r="CY23" t="s">
        <v>1309</v>
      </c>
      <c r="CZ23" t="s">
        <v>1309</v>
      </c>
      <c r="DA23" t="s">
        <v>1309</v>
      </c>
      <c r="DB23" t="s">
        <v>1309</v>
      </c>
      <c r="DC23" t="s">
        <v>1309</v>
      </c>
      <c r="DE23" t="s">
        <v>1358</v>
      </c>
      <c r="DG23">
        <v>900</v>
      </c>
      <c r="DI23">
        <v>350</v>
      </c>
      <c r="DJ23" t="s">
        <v>1358</v>
      </c>
      <c r="DK23">
        <v>1000</v>
      </c>
      <c r="DM23">
        <v>600</v>
      </c>
      <c r="DN23" t="s">
        <v>1320</v>
      </c>
      <c r="DO23" t="s">
        <v>1310</v>
      </c>
      <c r="DP23" t="s">
        <v>1309</v>
      </c>
      <c r="DQ23" t="s">
        <v>1309</v>
      </c>
      <c r="DR23" t="s">
        <v>1309</v>
      </c>
      <c r="DS23" t="s">
        <v>1309</v>
      </c>
      <c r="DT23" t="s">
        <v>1310</v>
      </c>
      <c r="DU23" t="s">
        <v>1309</v>
      </c>
      <c r="DV23" t="s">
        <v>1309</v>
      </c>
      <c r="DW23" t="s">
        <v>1309</v>
      </c>
      <c r="DY23" t="s">
        <v>1446</v>
      </c>
      <c r="DZ23">
        <v>300</v>
      </c>
      <c r="EA23" t="s">
        <v>1319</v>
      </c>
      <c r="EC23" t="s">
        <v>1474</v>
      </c>
      <c r="ED23">
        <v>500</v>
      </c>
      <c r="EE23" t="s">
        <v>1319</v>
      </c>
      <c r="EG23" t="s">
        <v>5357</v>
      </c>
      <c r="ET23" t="s">
        <v>1307</v>
      </c>
      <c r="EV23" t="s">
        <v>1319</v>
      </c>
      <c r="EW23" t="s">
        <v>1409</v>
      </c>
      <c r="EX23" t="s">
        <v>1319</v>
      </c>
      <c r="EY23" t="s">
        <v>1319</v>
      </c>
      <c r="FA23" t="s">
        <v>1323</v>
      </c>
      <c r="FB23" t="s">
        <v>1310</v>
      </c>
      <c r="FC23" t="s">
        <v>1309</v>
      </c>
      <c r="FD23" t="s">
        <v>1309</v>
      </c>
      <c r="FE23" t="s">
        <v>1309</v>
      </c>
      <c r="FF23" t="s">
        <v>1309</v>
      </c>
      <c r="FG23" t="s">
        <v>1309</v>
      </c>
      <c r="FH23" t="s">
        <v>1309</v>
      </c>
      <c r="FI23" t="s">
        <v>1309</v>
      </c>
      <c r="FJ23" t="s">
        <v>1309</v>
      </c>
      <c r="FK23" t="s">
        <v>1309</v>
      </c>
      <c r="FL23" t="s">
        <v>1309</v>
      </c>
      <c r="FM23" t="s">
        <v>1309</v>
      </c>
      <c r="FN23" t="s">
        <v>1309</v>
      </c>
      <c r="FO23" t="s">
        <v>1309</v>
      </c>
      <c r="FP23" t="s">
        <v>1309</v>
      </c>
      <c r="FQ23" t="s">
        <v>1309</v>
      </c>
      <c r="FR23" t="s">
        <v>1309</v>
      </c>
      <c r="FT23" t="s">
        <v>1319</v>
      </c>
      <c r="FU23" t="s">
        <v>1549</v>
      </c>
      <c r="FV23" t="s">
        <v>1310</v>
      </c>
      <c r="FW23" t="s">
        <v>1310</v>
      </c>
      <c r="FX23" t="s">
        <v>1309</v>
      </c>
      <c r="FY23" t="s">
        <v>1309</v>
      </c>
      <c r="FZ23" t="s">
        <v>1309</v>
      </c>
      <c r="GA23" t="s">
        <v>1309</v>
      </c>
      <c r="GB23" t="s">
        <v>1309</v>
      </c>
      <c r="GC23" t="s">
        <v>1309</v>
      </c>
      <c r="GD23" t="s">
        <v>1309</v>
      </c>
      <c r="GE23" t="s">
        <v>1309</v>
      </c>
      <c r="GF23" t="s">
        <v>1309</v>
      </c>
      <c r="GG23" t="s">
        <v>1309</v>
      </c>
      <c r="GI23" t="s">
        <v>1324</v>
      </c>
      <c r="GJ23" t="s">
        <v>1324</v>
      </c>
      <c r="GT23" t="s">
        <v>1325</v>
      </c>
      <c r="GU23" t="s">
        <v>1310</v>
      </c>
      <c r="GV23" t="s">
        <v>1309</v>
      </c>
      <c r="GW23" t="s">
        <v>1309</v>
      </c>
      <c r="GX23" t="s">
        <v>1309</v>
      </c>
      <c r="GY23" t="s">
        <v>1309</v>
      </c>
      <c r="GZ23" t="s">
        <v>1309</v>
      </c>
      <c r="HA23" t="s">
        <v>1309</v>
      </c>
      <c r="HB23" t="s">
        <v>1309</v>
      </c>
      <c r="HC23" t="s">
        <v>1309</v>
      </c>
      <c r="HD23" t="s">
        <v>1309</v>
      </c>
      <c r="HE23" t="s">
        <v>1309</v>
      </c>
      <c r="HF23" t="s">
        <v>1309</v>
      </c>
      <c r="HH23" t="s">
        <v>1326</v>
      </c>
      <c r="HI23" t="s">
        <v>1326</v>
      </c>
      <c r="HJ23" t="s">
        <v>1390</v>
      </c>
      <c r="HK23" t="s">
        <v>1327</v>
      </c>
      <c r="HL23" t="s">
        <v>1328</v>
      </c>
      <c r="HM23" t="s">
        <v>1326</v>
      </c>
      <c r="HN23" t="s">
        <v>1550</v>
      </c>
      <c r="HO23" t="s">
        <v>1310</v>
      </c>
      <c r="HP23" t="s">
        <v>1309</v>
      </c>
      <c r="HQ23" t="s">
        <v>1309</v>
      </c>
      <c r="HR23" t="s">
        <v>1310</v>
      </c>
      <c r="HS23" t="s">
        <v>1309</v>
      </c>
      <c r="HT23" t="s">
        <v>1309</v>
      </c>
      <c r="HU23" t="s">
        <v>1309</v>
      </c>
      <c r="HV23" t="s">
        <v>1309</v>
      </c>
      <c r="HW23" t="s">
        <v>1309</v>
      </c>
      <c r="HX23" t="s">
        <v>1309</v>
      </c>
      <c r="HY23" t="s">
        <v>1309</v>
      </c>
      <c r="IA23" t="s">
        <v>1307</v>
      </c>
      <c r="IQ23" t="s">
        <v>1330</v>
      </c>
      <c r="IS23" t="s">
        <v>1331</v>
      </c>
      <c r="JF23" t="s">
        <v>1413</v>
      </c>
      <c r="JG23" t="s">
        <v>1332</v>
      </c>
      <c r="JH23" t="s">
        <v>1309</v>
      </c>
      <c r="JI23" t="s">
        <v>1309</v>
      </c>
      <c r="JJ23" t="s">
        <v>1309</v>
      </c>
      <c r="JK23" t="s">
        <v>1309</v>
      </c>
      <c r="JL23" t="s">
        <v>1310</v>
      </c>
      <c r="JM23" t="s">
        <v>1309</v>
      </c>
      <c r="JN23" t="s">
        <v>1309</v>
      </c>
      <c r="JO23" t="s">
        <v>1309</v>
      </c>
      <c r="JQ23" s="92" t="s">
        <v>1333</v>
      </c>
      <c r="JR23" s="92" t="s">
        <v>1334</v>
      </c>
      <c r="JS23" s="92">
        <v>60</v>
      </c>
      <c r="JT23" s="92" t="s">
        <v>1319</v>
      </c>
      <c r="JU23" s="92" t="s">
        <v>1335</v>
      </c>
      <c r="JV23" s="92" t="s">
        <v>1336</v>
      </c>
      <c r="JW23" s="92" t="s">
        <v>1296</v>
      </c>
      <c r="JX23" s="92" t="s">
        <v>71</v>
      </c>
      <c r="JY23" s="92" t="s">
        <v>5549</v>
      </c>
      <c r="JZ23" s="92" t="s">
        <v>1369</v>
      </c>
      <c r="KA23" s="92" t="s">
        <v>4845</v>
      </c>
      <c r="KB23" s="92" t="s">
        <v>1476</v>
      </c>
      <c r="KC23" s="92" t="s">
        <v>192</v>
      </c>
      <c r="KD23" s="92" t="s">
        <v>4847</v>
      </c>
      <c r="KE23" s="92" t="s">
        <v>5560</v>
      </c>
      <c r="KF23" s="92">
        <v>1250</v>
      </c>
      <c r="KG23" s="92" t="s">
        <v>4438</v>
      </c>
      <c r="KH23" s="92" t="s">
        <v>192</v>
      </c>
      <c r="KI23" s="92" t="s">
        <v>109</v>
      </c>
      <c r="KJ23" s="92" t="s">
        <v>192</v>
      </c>
      <c r="KK23" s="92" t="s">
        <v>109</v>
      </c>
      <c r="KL23" s="92" t="s">
        <v>1440</v>
      </c>
      <c r="KM23" s="92">
        <v>1600</v>
      </c>
      <c r="KN23" s="92" t="s">
        <v>4439</v>
      </c>
      <c r="KO23" s="92" t="s">
        <v>1440</v>
      </c>
      <c r="KP23" s="92" t="s">
        <v>1460</v>
      </c>
      <c r="KQ23" s="92" t="s">
        <v>192</v>
      </c>
      <c r="KR23" s="92">
        <v>24</v>
      </c>
      <c r="KS23" s="92" t="s">
        <v>1343</v>
      </c>
      <c r="KT23" s="92" t="s">
        <v>1344</v>
      </c>
      <c r="KU23" s="92">
        <v>31</v>
      </c>
      <c r="KV23" s="92" t="s">
        <v>1345</v>
      </c>
      <c r="KW23" s="92" t="s">
        <v>1344</v>
      </c>
      <c r="KX23" s="92" t="s">
        <v>1376</v>
      </c>
      <c r="KY23" s="92" t="s">
        <v>1377</v>
      </c>
      <c r="KZ23" s="92" t="s">
        <v>5795</v>
      </c>
      <c r="LA23" s="92" t="s">
        <v>192</v>
      </c>
      <c r="LB23" s="92" t="s">
        <v>192</v>
      </c>
      <c r="LC23" s="92" t="s">
        <v>4439</v>
      </c>
      <c r="LD23" s="92" t="s">
        <v>4439</v>
      </c>
      <c r="LE23" s="92" t="s">
        <v>109</v>
      </c>
      <c r="LF23" s="92" t="s">
        <v>109</v>
      </c>
    </row>
    <row r="24" spans="1:318" x14ac:dyDescent="0.25">
      <c r="A24" t="s">
        <v>1551</v>
      </c>
      <c r="B24" t="s">
        <v>1552</v>
      </c>
      <c r="C24" t="s">
        <v>1304</v>
      </c>
      <c r="D24" t="s">
        <v>1305</v>
      </c>
      <c r="E24" t="s">
        <v>1381</v>
      </c>
      <c r="G24" t="s">
        <v>1319</v>
      </c>
      <c r="H24">
        <v>3</v>
      </c>
      <c r="I24" t="s">
        <v>1358</v>
      </c>
      <c r="J24" t="s">
        <v>1553</v>
      </c>
      <c r="K24" t="s">
        <v>1310</v>
      </c>
      <c r="L24" t="s">
        <v>1310</v>
      </c>
      <c r="M24" t="s">
        <v>1309</v>
      </c>
      <c r="N24" t="s">
        <v>1309</v>
      </c>
      <c r="O24" t="s">
        <v>1309</v>
      </c>
      <c r="P24" t="s">
        <v>1310</v>
      </c>
      <c r="Q24" t="s">
        <v>1309</v>
      </c>
      <c r="R24" t="s">
        <v>1309</v>
      </c>
      <c r="S24">
        <v>2</v>
      </c>
      <c r="U24" t="s">
        <v>1312</v>
      </c>
      <c r="V24" t="s">
        <v>1312</v>
      </c>
      <c r="W24" t="s">
        <v>1312</v>
      </c>
      <c r="X24" t="s">
        <v>1312</v>
      </c>
      <c r="Y24" t="s">
        <v>1312</v>
      </c>
      <c r="Z24" t="s">
        <v>1312</v>
      </c>
      <c r="AC24">
        <v>1</v>
      </c>
      <c r="AD24">
        <v>5000</v>
      </c>
      <c r="AE24">
        <v>8000</v>
      </c>
      <c r="AF24" t="s">
        <v>1351</v>
      </c>
      <c r="AH24" t="s">
        <v>1536</v>
      </c>
      <c r="AJ24" t="s">
        <v>1353</v>
      </c>
      <c r="AL24" t="s">
        <v>1354</v>
      </c>
      <c r="BA24" t="s">
        <v>1354</v>
      </c>
      <c r="BS24" t="s">
        <v>1307</v>
      </c>
      <c r="CE24" t="s">
        <v>1414</v>
      </c>
      <c r="CF24" t="s">
        <v>1309</v>
      </c>
      <c r="CG24" t="s">
        <v>1309</v>
      </c>
      <c r="CH24" t="s">
        <v>1309</v>
      </c>
      <c r="CI24" t="s">
        <v>1309</v>
      </c>
      <c r="CJ24" t="s">
        <v>1309</v>
      </c>
      <c r="CK24" t="s">
        <v>1309</v>
      </c>
      <c r="CL24" t="s">
        <v>1309</v>
      </c>
      <c r="CM24" t="s">
        <v>1309</v>
      </c>
      <c r="CN24" t="s">
        <v>1309</v>
      </c>
      <c r="CO24" t="s">
        <v>1309</v>
      </c>
      <c r="CP24" t="s">
        <v>1309</v>
      </c>
      <c r="CQ24" t="s">
        <v>1310</v>
      </c>
      <c r="CR24" t="s">
        <v>1309</v>
      </c>
      <c r="CT24" t="s">
        <v>4436</v>
      </c>
      <c r="CV24" t="s">
        <v>1444</v>
      </c>
      <c r="CW24" t="s">
        <v>1309</v>
      </c>
      <c r="CX24" t="s">
        <v>1310</v>
      </c>
      <c r="CY24" t="s">
        <v>1309</v>
      </c>
      <c r="CZ24" t="s">
        <v>1309</v>
      </c>
      <c r="DA24" t="s">
        <v>1309</v>
      </c>
      <c r="DB24" t="s">
        <v>1309</v>
      </c>
      <c r="DC24" t="s">
        <v>1309</v>
      </c>
      <c r="DE24" t="s">
        <v>1358</v>
      </c>
      <c r="DH24">
        <v>2000</v>
      </c>
      <c r="DI24">
        <v>600</v>
      </c>
      <c r="DJ24" t="s">
        <v>1358</v>
      </c>
      <c r="DM24">
        <v>300</v>
      </c>
      <c r="DN24" t="s">
        <v>1320</v>
      </c>
      <c r="DO24" t="s">
        <v>1310</v>
      </c>
      <c r="DP24" t="s">
        <v>1309</v>
      </c>
      <c r="DQ24" t="s">
        <v>1309</v>
      </c>
      <c r="DR24" t="s">
        <v>1309</v>
      </c>
      <c r="DS24" t="s">
        <v>1309</v>
      </c>
      <c r="DT24" t="s">
        <v>1310</v>
      </c>
      <c r="DU24" t="s">
        <v>1309</v>
      </c>
      <c r="DV24" t="s">
        <v>1309</v>
      </c>
      <c r="DW24" t="s">
        <v>1309</v>
      </c>
      <c r="DY24" t="s">
        <v>1490</v>
      </c>
      <c r="DZ24">
        <v>300</v>
      </c>
      <c r="EA24" t="s">
        <v>1319</v>
      </c>
      <c r="EC24" t="s">
        <v>1387</v>
      </c>
      <c r="ED24">
        <v>600</v>
      </c>
      <c r="EE24" t="s">
        <v>1319</v>
      </c>
      <c r="EG24" t="s">
        <v>5356</v>
      </c>
      <c r="EI24" t="s">
        <v>1307</v>
      </c>
      <c r="ET24" t="s">
        <v>1307</v>
      </c>
      <c r="EV24" t="s">
        <v>1319</v>
      </c>
      <c r="EW24" t="s">
        <v>1409</v>
      </c>
      <c r="EX24" t="s">
        <v>1319</v>
      </c>
      <c r="EY24" t="s">
        <v>1319</v>
      </c>
      <c r="EZ24" t="s">
        <v>1319</v>
      </c>
      <c r="FA24" t="s">
        <v>1554</v>
      </c>
      <c r="FB24" t="s">
        <v>1310</v>
      </c>
      <c r="FC24" t="s">
        <v>1309</v>
      </c>
      <c r="FD24" t="s">
        <v>1309</v>
      </c>
      <c r="FE24" t="s">
        <v>1309</v>
      </c>
      <c r="FF24" t="s">
        <v>1310</v>
      </c>
      <c r="FG24" t="s">
        <v>1309</v>
      </c>
      <c r="FH24" t="s">
        <v>1309</v>
      </c>
      <c r="FI24" t="s">
        <v>1309</v>
      </c>
      <c r="FJ24" t="s">
        <v>1309</v>
      </c>
      <c r="FK24" t="s">
        <v>1309</v>
      </c>
      <c r="FL24" t="s">
        <v>1309</v>
      </c>
      <c r="FM24" t="s">
        <v>1309</v>
      </c>
      <c r="FN24" t="s">
        <v>1309</v>
      </c>
      <c r="FO24" t="s">
        <v>1309</v>
      </c>
      <c r="FP24" t="s">
        <v>1309</v>
      </c>
      <c r="FQ24" t="s">
        <v>1309</v>
      </c>
      <c r="FR24" t="s">
        <v>1309</v>
      </c>
      <c r="FT24" t="s">
        <v>1307</v>
      </c>
      <c r="GI24" t="s">
        <v>1324</v>
      </c>
      <c r="GJ24" t="s">
        <v>1324</v>
      </c>
      <c r="GT24" t="s">
        <v>1325</v>
      </c>
      <c r="GU24" t="s">
        <v>1310</v>
      </c>
      <c r="GV24" t="s">
        <v>1309</v>
      </c>
      <c r="GW24" t="s">
        <v>1309</v>
      </c>
      <c r="GX24" t="s">
        <v>1309</v>
      </c>
      <c r="GY24" t="s">
        <v>1309</v>
      </c>
      <c r="GZ24" t="s">
        <v>1309</v>
      </c>
      <c r="HA24" t="s">
        <v>1309</v>
      </c>
      <c r="HB24" t="s">
        <v>1309</v>
      </c>
      <c r="HC24" t="s">
        <v>1309</v>
      </c>
      <c r="HD24" t="s">
        <v>1309</v>
      </c>
      <c r="HE24" t="s">
        <v>1309</v>
      </c>
      <c r="HF24" t="s">
        <v>1309</v>
      </c>
      <c r="HH24" t="s">
        <v>1390</v>
      </c>
      <c r="HI24" t="s">
        <v>1390</v>
      </c>
      <c r="HJ24" t="s">
        <v>1390</v>
      </c>
      <c r="HK24" t="s">
        <v>1327</v>
      </c>
      <c r="HL24" t="s">
        <v>1437</v>
      </c>
      <c r="HM24" t="s">
        <v>1390</v>
      </c>
      <c r="HN24" t="s">
        <v>1555</v>
      </c>
      <c r="HO24" t="s">
        <v>1310</v>
      </c>
      <c r="HP24" t="s">
        <v>1310</v>
      </c>
      <c r="HQ24" t="s">
        <v>1309</v>
      </c>
      <c r="HR24" t="s">
        <v>1309</v>
      </c>
      <c r="HS24" t="s">
        <v>1309</v>
      </c>
      <c r="HT24" t="s">
        <v>1310</v>
      </c>
      <c r="HU24" t="s">
        <v>1309</v>
      </c>
      <c r="HV24" t="s">
        <v>1309</v>
      </c>
      <c r="HW24" t="s">
        <v>1309</v>
      </c>
      <c r="HX24" t="s">
        <v>1309</v>
      </c>
      <c r="HY24" t="s">
        <v>1309</v>
      </c>
      <c r="IA24" t="s">
        <v>1307</v>
      </c>
      <c r="IQ24" t="s">
        <v>1330</v>
      </c>
      <c r="IS24" t="s">
        <v>1354</v>
      </c>
      <c r="JF24" t="s">
        <v>1331</v>
      </c>
      <c r="JG24" t="s">
        <v>1393</v>
      </c>
      <c r="JH24" t="s">
        <v>1310</v>
      </c>
      <c r="JI24" t="s">
        <v>1309</v>
      </c>
      <c r="JJ24" t="s">
        <v>1309</v>
      </c>
      <c r="JK24" t="s">
        <v>1309</v>
      </c>
      <c r="JL24" t="s">
        <v>1309</v>
      </c>
      <c r="JM24" t="s">
        <v>1309</v>
      </c>
      <c r="JN24" t="s">
        <v>1309</v>
      </c>
      <c r="JO24" t="s">
        <v>1309</v>
      </c>
      <c r="JQ24" s="92" t="s">
        <v>1394</v>
      </c>
      <c r="JR24" s="92" t="s">
        <v>1496</v>
      </c>
      <c r="JS24" s="92">
        <v>29</v>
      </c>
      <c r="JT24" s="92" t="s">
        <v>1319</v>
      </c>
      <c r="JU24" s="92" t="s">
        <v>1396</v>
      </c>
      <c r="JV24" s="92" t="s">
        <v>1336</v>
      </c>
      <c r="JW24" s="92" t="s">
        <v>1296</v>
      </c>
      <c r="JX24" s="92" t="s">
        <v>71</v>
      </c>
      <c r="JY24" s="92" t="s">
        <v>1397</v>
      </c>
      <c r="JZ24" s="92" t="s">
        <v>1398</v>
      </c>
      <c r="KA24" s="92" t="s">
        <v>4845</v>
      </c>
      <c r="KB24" s="92" t="s">
        <v>1399</v>
      </c>
      <c r="KC24" s="92" t="s">
        <v>109</v>
      </c>
      <c r="KD24" s="92" t="s">
        <v>4844</v>
      </c>
      <c r="KE24" s="92" t="s">
        <v>5560</v>
      </c>
      <c r="KF24" s="92">
        <v>2600</v>
      </c>
      <c r="KG24" s="92" t="s">
        <v>1400</v>
      </c>
      <c r="KH24" s="92" t="s">
        <v>109</v>
      </c>
      <c r="KI24" s="92" t="s">
        <v>192</v>
      </c>
      <c r="KJ24" s="92" t="s">
        <v>109</v>
      </c>
      <c r="KK24" s="92" t="s">
        <v>109</v>
      </c>
      <c r="KL24" s="92" t="s">
        <v>1425</v>
      </c>
      <c r="KM24" s="92">
        <v>300</v>
      </c>
      <c r="KN24" s="92" t="s">
        <v>1372</v>
      </c>
      <c r="KO24" s="92" t="s">
        <v>1373</v>
      </c>
      <c r="KP24" s="92" t="s">
        <v>1375</v>
      </c>
      <c r="KQ24" s="92" t="s">
        <v>192</v>
      </c>
      <c r="KR24" s="92"/>
      <c r="KS24" s="92" t="s">
        <v>1343</v>
      </c>
      <c r="KT24" s="92" t="s">
        <v>1344</v>
      </c>
      <c r="KU24" s="92"/>
      <c r="KV24" s="92" t="s">
        <v>1345</v>
      </c>
      <c r="KW24" s="92" t="s">
        <v>1344</v>
      </c>
      <c r="KX24" s="92" t="s">
        <v>1346</v>
      </c>
      <c r="KY24" s="92" t="s">
        <v>1347</v>
      </c>
      <c r="KZ24" s="92" t="s">
        <v>1403</v>
      </c>
      <c r="LA24" s="92" t="s">
        <v>109</v>
      </c>
      <c r="LB24" s="92" t="s">
        <v>109</v>
      </c>
      <c r="LC24" s="92" t="s">
        <v>4438</v>
      </c>
      <c r="LD24" s="92" t="s">
        <v>1372</v>
      </c>
      <c r="LE24" s="92" t="s">
        <v>192</v>
      </c>
      <c r="LF24" s="92" t="s">
        <v>192</v>
      </c>
    </row>
    <row r="25" spans="1:318" x14ac:dyDescent="0.25">
      <c r="A25" t="s">
        <v>1556</v>
      </c>
      <c r="B25" t="s">
        <v>1557</v>
      </c>
      <c r="C25" t="s">
        <v>1304</v>
      </c>
      <c r="D25" t="s">
        <v>1305</v>
      </c>
      <c r="E25" t="s">
        <v>1306</v>
      </c>
      <c r="G25" t="s">
        <v>1307</v>
      </c>
      <c r="H25">
        <v>1</v>
      </c>
      <c r="J25" t="s">
        <v>1308</v>
      </c>
      <c r="K25" t="s">
        <v>1309</v>
      </c>
      <c r="L25" t="s">
        <v>1309</v>
      </c>
      <c r="M25" t="s">
        <v>1309</v>
      </c>
      <c r="N25" t="s">
        <v>1309</v>
      </c>
      <c r="O25" t="s">
        <v>1309</v>
      </c>
      <c r="P25" t="s">
        <v>1309</v>
      </c>
      <c r="Q25" t="s">
        <v>1310</v>
      </c>
      <c r="R25" t="s">
        <v>1309</v>
      </c>
      <c r="U25" t="s">
        <v>1311</v>
      </c>
      <c r="V25" t="s">
        <v>1312</v>
      </c>
      <c r="W25" t="s">
        <v>1312</v>
      </c>
      <c r="X25" t="s">
        <v>1312</v>
      </c>
      <c r="Y25" t="s">
        <v>1312</v>
      </c>
      <c r="Z25" t="s">
        <v>1312</v>
      </c>
      <c r="AC25">
        <v>1</v>
      </c>
      <c r="AD25">
        <v>10000</v>
      </c>
      <c r="AE25">
        <v>15000</v>
      </c>
      <c r="AF25" t="s">
        <v>1313</v>
      </c>
      <c r="AH25" t="s">
        <v>1383</v>
      </c>
      <c r="AJ25" t="s">
        <v>1315</v>
      </c>
      <c r="AL25" t="s">
        <v>1354</v>
      </c>
      <c r="BS25" t="s">
        <v>1307</v>
      </c>
      <c r="CE25" t="s">
        <v>1355</v>
      </c>
      <c r="CF25" t="s">
        <v>1309</v>
      </c>
      <c r="CG25" t="s">
        <v>1309</v>
      </c>
      <c r="CH25" t="s">
        <v>1309</v>
      </c>
      <c r="CI25" t="s">
        <v>1309</v>
      </c>
      <c r="CJ25" t="s">
        <v>1309</v>
      </c>
      <c r="CK25" t="s">
        <v>1309</v>
      </c>
      <c r="CL25" t="s">
        <v>1309</v>
      </c>
      <c r="CM25" t="s">
        <v>1309</v>
      </c>
      <c r="CN25" t="s">
        <v>1310</v>
      </c>
      <c r="CO25" t="s">
        <v>1309</v>
      </c>
      <c r="CP25" t="s">
        <v>1309</v>
      </c>
      <c r="CQ25" t="s">
        <v>1309</v>
      </c>
      <c r="CR25" t="s">
        <v>1309</v>
      </c>
      <c r="CT25" t="s">
        <v>4433</v>
      </c>
      <c r="CV25" t="s">
        <v>1308</v>
      </c>
      <c r="CW25" t="s">
        <v>1310</v>
      </c>
      <c r="CX25" t="s">
        <v>1309</v>
      </c>
      <c r="CY25" t="s">
        <v>1309</v>
      </c>
      <c r="CZ25" t="s">
        <v>1309</v>
      </c>
      <c r="DA25" t="s">
        <v>1309</v>
      </c>
      <c r="DB25" t="s">
        <v>1309</v>
      </c>
      <c r="DC25" t="s">
        <v>1309</v>
      </c>
      <c r="DE25" t="s">
        <v>1358</v>
      </c>
      <c r="DF25" t="s">
        <v>1319</v>
      </c>
      <c r="DI25">
        <v>500</v>
      </c>
      <c r="DJ25" t="s">
        <v>1358</v>
      </c>
      <c r="DN25" t="s">
        <v>1558</v>
      </c>
      <c r="DO25" t="s">
        <v>1309</v>
      </c>
      <c r="DP25" t="s">
        <v>1309</v>
      </c>
      <c r="DQ25" t="s">
        <v>1309</v>
      </c>
      <c r="DR25" t="s">
        <v>1309</v>
      </c>
      <c r="DS25" t="s">
        <v>1309</v>
      </c>
      <c r="DT25" t="s">
        <v>1310</v>
      </c>
      <c r="DU25" t="s">
        <v>1309</v>
      </c>
      <c r="DV25" t="s">
        <v>1309</v>
      </c>
      <c r="DW25" t="s">
        <v>1309</v>
      </c>
      <c r="DY25" t="s">
        <v>1456</v>
      </c>
      <c r="DZ25">
        <v>300</v>
      </c>
      <c r="EA25" t="s">
        <v>1386</v>
      </c>
      <c r="EC25" t="s">
        <v>1457</v>
      </c>
      <c r="ED25">
        <v>500</v>
      </c>
      <c r="EE25" t="s">
        <v>1386</v>
      </c>
      <c r="EG25" t="s">
        <v>5357</v>
      </c>
      <c r="ET25" t="s">
        <v>1307</v>
      </c>
      <c r="EV25" t="s">
        <v>1307</v>
      </c>
      <c r="EX25" t="s">
        <v>1319</v>
      </c>
      <c r="EY25" t="s">
        <v>1319</v>
      </c>
      <c r="FA25" t="s">
        <v>1559</v>
      </c>
      <c r="FB25" t="s">
        <v>1310</v>
      </c>
      <c r="FC25" t="s">
        <v>1309</v>
      </c>
      <c r="FD25" t="s">
        <v>1309</v>
      </c>
      <c r="FE25" t="s">
        <v>1309</v>
      </c>
      <c r="FF25" t="s">
        <v>1309</v>
      </c>
      <c r="FG25" t="s">
        <v>1309</v>
      </c>
      <c r="FH25" t="s">
        <v>1310</v>
      </c>
      <c r="FI25" t="s">
        <v>1310</v>
      </c>
      <c r="FJ25" t="s">
        <v>1309</v>
      </c>
      <c r="FK25" t="s">
        <v>1309</v>
      </c>
      <c r="FL25" t="s">
        <v>1309</v>
      </c>
      <c r="FM25" t="s">
        <v>1309</v>
      </c>
      <c r="FN25" t="s">
        <v>1309</v>
      </c>
      <c r="FO25" t="s">
        <v>1309</v>
      </c>
      <c r="FP25" t="s">
        <v>1309</v>
      </c>
      <c r="FQ25" t="s">
        <v>1309</v>
      </c>
      <c r="FR25" t="s">
        <v>1309</v>
      </c>
      <c r="FT25" t="s">
        <v>1307</v>
      </c>
      <c r="GI25" t="s">
        <v>1324</v>
      </c>
      <c r="GJ25" t="s">
        <v>1324</v>
      </c>
      <c r="GT25" t="s">
        <v>1325</v>
      </c>
      <c r="GU25" t="s">
        <v>1310</v>
      </c>
      <c r="GV25" t="s">
        <v>1309</v>
      </c>
      <c r="GW25" t="s">
        <v>1309</v>
      </c>
      <c r="GX25" t="s">
        <v>1309</v>
      </c>
      <c r="GY25" t="s">
        <v>1309</v>
      </c>
      <c r="GZ25" t="s">
        <v>1309</v>
      </c>
      <c r="HA25" t="s">
        <v>1309</v>
      </c>
      <c r="HB25" t="s">
        <v>1309</v>
      </c>
      <c r="HC25" t="s">
        <v>1309</v>
      </c>
      <c r="HD25" t="s">
        <v>1309</v>
      </c>
      <c r="HE25" t="s">
        <v>1309</v>
      </c>
      <c r="HF25" t="s">
        <v>1309</v>
      </c>
      <c r="HH25" t="s">
        <v>1560</v>
      </c>
      <c r="HI25" t="s">
        <v>1560</v>
      </c>
      <c r="HJ25" t="s">
        <v>1560</v>
      </c>
      <c r="HK25" t="s">
        <v>1560</v>
      </c>
      <c r="HL25" t="s">
        <v>1437</v>
      </c>
      <c r="HM25" t="s">
        <v>1390</v>
      </c>
      <c r="HN25" t="s">
        <v>1560</v>
      </c>
      <c r="HO25" t="s">
        <v>1309</v>
      </c>
      <c r="HP25" t="s">
        <v>1309</v>
      </c>
      <c r="HQ25" t="s">
        <v>1309</v>
      </c>
      <c r="HR25" t="s">
        <v>1309</v>
      </c>
      <c r="HS25" t="s">
        <v>1309</v>
      </c>
      <c r="HT25" t="s">
        <v>1309</v>
      </c>
      <c r="HU25" t="s">
        <v>1309</v>
      </c>
      <c r="HV25" t="s">
        <v>1309</v>
      </c>
      <c r="HW25" t="s">
        <v>1309</v>
      </c>
      <c r="HX25" t="s">
        <v>1309</v>
      </c>
      <c r="HY25" t="s">
        <v>1310</v>
      </c>
      <c r="IA25" t="s">
        <v>1560</v>
      </c>
      <c r="IQ25" t="s">
        <v>1330</v>
      </c>
      <c r="IS25" t="s">
        <v>1354</v>
      </c>
      <c r="JF25" t="s">
        <v>1413</v>
      </c>
      <c r="JG25" t="s">
        <v>1393</v>
      </c>
      <c r="JH25" t="s">
        <v>1310</v>
      </c>
      <c r="JI25" t="s">
        <v>1309</v>
      </c>
      <c r="JJ25" t="s">
        <v>1309</v>
      </c>
      <c r="JK25" t="s">
        <v>1309</v>
      </c>
      <c r="JL25" t="s">
        <v>1309</v>
      </c>
      <c r="JM25" t="s">
        <v>1309</v>
      </c>
      <c r="JN25" t="s">
        <v>1309</v>
      </c>
      <c r="JO25" t="s">
        <v>1309</v>
      </c>
      <c r="JQ25" s="92" t="s">
        <v>1333</v>
      </c>
      <c r="JR25" s="92" t="s">
        <v>1334</v>
      </c>
      <c r="JS25" s="92">
        <v>27</v>
      </c>
      <c r="JT25" s="92" t="s">
        <v>1319</v>
      </c>
      <c r="JU25" s="92" t="s">
        <v>1335</v>
      </c>
      <c r="JV25" s="92" t="s">
        <v>1336</v>
      </c>
      <c r="JW25" s="92" t="s">
        <v>1296</v>
      </c>
      <c r="JX25" s="92" t="s">
        <v>71</v>
      </c>
      <c r="JY25" s="92" t="s">
        <v>5549</v>
      </c>
      <c r="JZ25" s="92" t="s">
        <v>1398</v>
      </c>
      <c r="KA25" s="92" t="s">
        <v>4844</v>
      </c>
      <c r="KB25" s="92" t="s">
        <v>1338</v>
      </c>
      <c r="KC25" s="92" t="s">
        <v>109</v>
      </c>
      <c r="KD25" s="92" t="s">
        <v>4844</v>
      </c>
      <c r="KE25" s="92" t="s">
        <v>1424</v>
      </c>
      <c r="KF25" s="92">
        <v>500</v>
      </c>
      <c r="KG25" s="92" t="s">
        <v>1372</v>
      </c>
      <c r="KH25" s="92" t="s">
        <v>109</v>
      </c>
      <c r="KI25" s="92" t="s">
        <v>109</v>
      </c>
      <c r="KJ25" s="92" t="s">
        <v>109</v>
      </c>
      <c r="KK25" s="92" t="s">
        <v>109</v>
      </c>
      <c r="KL25" s="92" t="s">
        <v>1373</v>
      </c>
      <c r="KM25" s="92">
        <v>0</v>
      </c>
      <c r="KN25" s="92" t="s">
        <v>1372</v>
      </c>
      <c r="KO25" s="92" t="s">
        <v>1373</v>
      </c>
      <c r="KP25" s="92" t="s">
        <v>1561</v>
      </c>
      <c r="KQ25" s="92" t="s">
        <v>192</v>
      </c>
      <c r="KR25" s="92">
        <v>60</v>
      </c>
      <c r="KS25" s="92" t="s">
        <v>1343</v>
      </c>
      <c r="KT25" s="92" t="s">
        <v>1402</v>
      </c>
      <c r="KU25" s="92"/>
      <c r="KV25" s="92" t="s">
        <v>1345</v>
      </c>
      <c r="KW25" s="92" t="s">
        <v>1402</v>
      </c>
      <c r="KX25" s="92" t="s">
        <v>1376</v>
      </c>
      <c r="KY25" s="92" t="s">
        <v>1377</v>
      </c>
      <c r="KZ25" s="92" t="s">
        <v>5795</v>
      </c>
      <c r="LA25" s="92" t="s">
        <v>109</v>
      </c>
      <c r="LB25" s="92" t="s">
        <v>109</v>
      </c>
      <c r="LC25" s="92" t="s">
        <v>1372</v>
      </c>
      <c r="LD25" s="92" t="s">
        <v>1372</v>
      </c>
      <c r="LE25" s="92" t="s">
        <v>192</v>
      </c>
      <c r="LF25" s="92" t="s">
        <v>192</v>
      </c>
    </row>
    <row r="26" spans="1:318" x14ac:dyDescent="0.25">
      <c r="A26" t="s">
        <v>1562</v>
      </c>
      <c r="B26" t="s">
        <v>1563</v>
      </c>
      <c r="C26" t="s">
        <v>1304</v>
      </c>
      <c r="D26" t="s">
        <v>1305</v>
      </c>
      <c r="E26" t="s">
        <v>1381</v>
      </c>
      <c r="G26" t="s">
        <v>1319</v>
      </c>
      <c r="H26">
        <v>3</v>
      </c>
      <c r="I26" t="s">
        <v>1358</v>
      </c>
      <c r="J26" t="s">
        <v>1382</v>
      </c>
      <c r="K26" t="s">
        <v>1309</v>
      </c>
      <c r="L26" t="s">
        <v>1310</v>
      </c>
      <c r="M26" t="s">
        <v>1309</v>
      </c>
      <c r="N26" t="s">
        <v>1309</v>
      </c>
      <c r="O26" t="s">
        <v>1309</v>
      </c>
      <c r="P26" t="s">
        <v>1310</v>
      </c>
      <c r="Q26" t="s">
        <v>1309</v>
      </c>
      <c r="R26" t="s">
        <v>1309</v>
      </c>
      <c r="S26">
        <v>2</v>
      </c>
      <c r="U26" t="s">
        <v>1312</v>
      </c>
      <c r="V26" t="s">
        <v>1312</v>
      </c>
      <c r="W26" t="s">
        <v>1312</v>
      </c>
      <c r="X26" t="s">
        <v>1312</v>
      </c>
      <c r="Y26" t="s">
        <v>1312</v>
      </c>
      <c r="Z26" t="s">
        <v>1312</v>
      </c>
      <c r="AC26">
        <v>2</v>
      </c>
      <c r="AD26">
        <v>5500</v>
      </c>
      <c r="AE26">
        <v>5000</v>
      </c>
      <c r="AF26" t="s">
        <v>1313</v>
      </c>
      <c r="AH26" t="s">
        <v>1383</v>
      </c>
      <c r="AJ26" t="s">
        <v>1315</v>
      </c>
      <c r="AL26" t="s">
        <v>1316</v>
      </c>
      <c r="BS26" t="s">
        <v>1307</v>
      </c>
      <c r="CE26" t="s">
        <v>1355</v>
      </c>
      <c r="CF26" t="s">
        <v>1309</v>
      </c>
      <c r="CG26" t="s">
        <v>1309</v>
      </c>
      <c r="CH26" t="s">
        <v>1309</v>
      </c>
      <c r="CI26" t="s">
        <v>1309</v>
      </c>
      <c r="CJ26" t="s">
        <v>1309</v>
      </c>
      <c r="CK26" t="s">
        <v>1309</v>
      </c>
      <c r="CL26" t="s">
        <v>1309</v>
      </c>
      <c r="CM26" t="s">
        <v>1309</v>
      </c>
      <c r="CN26" t="s">
        <v>1310</v>
      </c>
      <c r="CO26" t="s">
        <v>1309</v>
      </c>
      <c r="CP26" t="s">
        <v>1309</v>
      </c>
      <c r="CQ26" t="s">
        <v>1309</v>
      </c>
      <c r="CR26" t="s">
        <v>1309</v>
      </c>
      <c r="CT26" t="s">
        <v>4435</v>
      </c>
      <c r="CV26" t="s">
        <v>1308</v>
      </c>
      <c r="CW26" t="s">
        <v>1310</v>
      </c>
      <c r="CX26" t="s">
        <v>1309</v>
      </c>
      <c r="CY26" t="s">
        <v>1309</v>
      </c>
      <c r="CZ26" t="s">
        <v>1309</v>
      </c>
      <c r="DA26" t="s">
        <v>1309</v>
      </c>
      <c r="DB26" t="s">
        <v>1309</v>
      </c>
      <c r="DC26" t="s">
        <v>1309</v>
      </c>
      <c r="DE26" t="s">
        <v>1358</v>
      </c>
      <c r="DF26" t="s">
        <v>1319</v>
      </c>
      <c r="DG26">
        <v>500</v>
      </c>
      <c r="DH26">
        <v>2000</v>
      </c>
      <c r="DI26">
        <v>1000</v>
      </c>
      <c r="DJ26" t="s">
        <v>1358</v>
      </c>
      <c r="DK26">
        <v>500</v>
      </c>
      <c r="DL26">
        <v>3000</v>
      </c>
      <c r="DM26">
        <v>1000</v>
      </c>
      <c r="DN26" t="s">
        <v>1564</v>
      </c>
      <c r="DO26" t="s">
        <v>1309</v>
      </c>
      <c r="DP26" t="s">
        <v>1309</v>
      </c>
      <c r="DQ26" t="s">
        <v>1309</v>
      </c>
      <c r="DR26" t="s">
        <v>1310</v>
      </c>
      <c r="DS26" t="s">
        <v>1310</v>
      </c>
      <c r="DT26" t="s">
        <v>1310</v>
      </c>
      <c r="DU26" t="s">
        <v>1309</v>
      </c>
      <c r="DV26" t="s">
        <v>1309</v>
      </c>
      <c r="DW26" t="s">
        <v>1309</v>
      </c>
      <c r="DY26" t="s">
        <v>1490</v>
      </c>
      <c r="DZ26">
        <v>800</v>
      </c>
      <c r="EA26" t="s">
        <v>1386</v>
      </c>
      <c r="EC26" t="s">
        <v>1322</v>
      </c>
      <c r="ED26">
        <v>1000</v>
      </c>
      <c r="EE26" t="s">
        <v>1386</v>
      </c>
      <c r="EG26" t="s">
        <v>5356</v>
      </c>
      <c r="EI26" t="s">
        <v>1307</v>
      </c>
      <c r="ET26" t="s">
        <v>1307</v>
      </c>
      <c r="EV26" t="s">
        <v>1319</v>
      </c>
      <c r="EW26" t="s">
        <v>1361</v>
      </c>
      <c r="EX26" t="s">
        <v>1319</v>
      </c>
      <c r="EY26" t="s">
        <v>1319</v>
      </c>
      <c r="FA26" t="s">
        <v>1565</v>
      </c>
      <c r="FB26" t="s">
        <v>1309</v>
      </c>
      <c r="FC26" t="s">
        <v>1309</v>
      </c>
      <c r="FD26" t="s">
        <v>1310</v>
      </c>
      <c r="FE26" t="s">
        <v>1309</v>
      </c>
      <c r="FF26" t="s">
        <v>1309</v>
      </c>
      <c r="FG26" t="s">
        <v>1309</v>
      </c>
      <c r="FH26" t="s">
        <v>1309</v>
      </c>
      <c r="FI26" t="s">
        <v>1310</v>
      </c>
      <c r="FJ26" t="s">
        <v>1310</v>
      </c>
      <c r="FK26" t="s">
        <v>1309</v>
      </c>
      <c r="FL26" t="s">
        <v>1309</v>
      </c>
      <c r="FM26" t="s">
        <v>1309</v>
      </c>
      <c r="FN26" t="s">
        <v>1309</v>
      </c>
      <c r="FO26" t="s">
        <v>1309</v>
      </c>
      <c r="FP26" t="s">
        <v>1309</v>
      </c>
      <c r="FQ26" t="s">
        <v>1309</v>
      </c>
      <c r="FR26" t="s">
        <v>1309</v>
      </c>
      <c r="FT26" t="s">
        <v>1307</v>
      </c>
      <c r="GI26" t="s">
        <v>1324</v>
      </c>
      <c r="GJ26" t="s">
        <v>1324</v>
      </c>
      <c r="GT26" t="s">
        <v>1325</v>
      </c>
      <c r="GU26" t="s">
        <v>1310</v>
      </c>
      <c r="GV26" t="s">
        <v>1309</v>
      </c>
      <c r="GW26" t="s">
        <v>1309</v>
      </c>
      <c r="GX26" t="s">
        <v>1309</v>
      </c>
      <c r="GY26" t="s">
        <v>1309</v>
      </c>
      <c r="GZ26" t="s">
        <v>1309</v>
      </c>
      <c r="HA26" t="s">
        <v>1309</v>
      </c>
      <c r="HB26" t="s">
        <v>1309</v>
      </c>
      <c r="HC26" t="s">
        <v>1309</v>
      </c>
      <c r="HD26" t="s">
        <v>1309</v>
      </c>
      <c r="HE26" t="s">
        <v>1309</v>
      </c>
      <c r="HF26" t="s">
        <v>1309</v>
      </c>
      <c r="HH26" t="s">
        <v>1326</v>
      </c>
      <c r="HI26" t="s">
        <v>1327</v>
      </c>
      <c r="HJ26" t="s">
        <v>1326</v>
      </c>
      <c r="HK26" t="s">
        <v>1327</v>
      </c>
      <c r="HL26" t="s">
        <v>1364</v>
      </c>
      <c r="HM26" t="s">
        <v>1326</v>
      </c>
      <c r="IA26" t="s">
        <v>1319</v>
      </c>
      <c r="IB26" t="s">
        <v>1423</v>
      </c>
      <c r="IC26" t="s">
        <v>1309</v>
      </c>
      <c r="ID26" t="s">
        <v>1309</v>
      </c>
      <c r="IE26" t="s">
        <v>1309</v>
      </c>
      <c r="IF26" t="s">
        <v>1309</v>
      </c>
      <c r="IG26" t="s">
        <v>1310</v>
      </c>
      <c r="IH26" t="s">
        <v>1309</v>
      </c>
      <c r="II26" t="s">
        <v>1309</v>
      </c>
      <c r="IJ26" t="s">
        <v>1309</v>
      </c>
      <c r="IK26" t="s">
        <v>1309</v>
      </c>
      <c r="IL26" t="s">
        <v>1309</v>
      </c>
      <c r="IM26" t="s">
        <v>1309</v>
      </c>
      <c r="IN26" t="s">
        <v>1309</v>
      </c>
      <c r="IO26" t="s">
        <v>1309</v>
      </c>
      <c r="IQ26" t="s">
        <v>1330</v>
      </c>
      <c r="IS26" t="s">
        <v>1316</v>
      </c>
      <c r="JF26" t="s">
        <v>1316</v>
      </c>
      <c r="JG26" t="s">
        <v>1566</v>
      </c>
      <c r="JH26" t="s">
        <v>1310</v>
      </c>
      <c r="JI26" t="s">
        <v>1309</v>
      </c>
      <c r="JJ26" t="s">
        <v>1309</v>
      </c>
      <c r="JK26" t="s">
        <v>1309</v>
      </c>
      <c r="JL26" t="s">
        <v>1310</v>
      </c>
      <c r="JM26" t="s">
        <v>1309</v>
      </c>
      <c r="JN26" t="s">
        <v>1309</v>
      </c>
      <c r="JO26" t="s">
        <v>1309</v>
      </c>
      <c r="JQ26" s="92" t="s">
        <v>1567</v>
      </c>
      <c r="JR26" s="92" t="s">
        <v>1568</v>
      </c>
      <c r="JS26" s="92">
        <v>34</v>
      </c>
      <c r="JT26" s="92" t="s">
        <v>1319</v>
      </c>
      <c r="JU26" s="92" t="s">
        <v>1396</v>
      </c>
      <c r="JV26" s="92" t="s">
        <v>1336</v>
      </c>
      <c r="JW26" s="92" t="s">
        <v>1296</v>
      </c>
      <c r="JX26" s="92" t="s">
        <v>71</v>
      </c>
      <c r="JY26" s="92" t="s">
        <v>1397</v>
      </c>
      <c r="JZ26" s="92" t="s">
        <v>1398</v>
      </c>
      <c r="KA26" s="92" t="s">
        <v>4845</v>
      </c>
      <c r="KB26" s="92" t="s">
        <v>1399</v>
      </c>
      <c r="KC26" s="92" t="s">
        <v>109</v>
      </c>
      <c r="KD26" s="92" t="s">
        <v>4847</v>
      </c>
      <c r="KE26" s="92" t="s">
        <v>1424</v>
      </c>
      <c r="KF26" s="92">
        <v>3500</v>
      </c>
      <c r="KG26" s="92" t="s">
        <v>1400</v>
      </c>
      <c r="KH26" s="92" t="s">
        <v>192</v>
      </c>
      <c r="KI26" s="92" t="s">
        <v>192</v>
      </c>
      <c r="KJ26" s="92" t="s">
        <v>192</v>
      </c>
      <c r="KK26" s="92" t="s">
        <v>192</v>
      </c>
      <c r="KL26" s="92" t="s">
        <v>1341</v>
      </c>
      <c r="KM26" s="92">
        <v>4500</v>
      </c>
      <c r="KN26" s="92" t="s">
        <v>1426</v>
      </c>
      <c r="KO26" s="92" t="s">
        <v>1341</v>
      </c>
      <c r="KP26" s="92" t="s">
        <v>1342</v>
      </c>
      <c r="KQ26" s="92" t="s">
        <v>192</v>
      </c>
      <c r="KR26" s="92">
        <v>23</v>
      </c>
      <c r="KS26" s="92" t="s">
        <v>1466</v>
      </c>
      <c r="KT26" s="92" t="s">
        <v>1402</v>
      </c>
      <c r="KU26" s="92">
        <v>22</v>
      </c>
      <c r="KV26" s="92" t="s">
        <v>1461</v>
      </c>
      <c r="KW26" s="92" t="s">
        <v>1402</v>
      </c>
      <c r="KX26" s="92" t="s">
        <v>1346</v>
      </c>
      <c r="KY26" s="92" t="s">
        <v>1347</v>
      </c>
      <c r="KZ26" s="92" t="s">
        <v>1403</v>
      </c>
      <c r="LA26" s="92" t="s">
        <v>109</v>
      </c>
      <c r="LB26" s="92" t="s">
        <v>109</v>
      </c>
      <c r="LC26" s="92" t="s">
        <v>4439</v>
      </c>
      <c r="LD26" s="92" t="s">
        <v>4439</v>
      </c>
      <c r="LE26" s="92" t="s">
        <v>192</v>
      </c>
      <c r="LF26" s="92" t="s">
        <v>192</v>
      </c>
    </row>
    <row r="27" spans="1:318" x14ac:dyDescent="0.25">
      <c r="A27" t="s">
        <v>1569</v>
      </c>
      <c r="B27" t="s">
        <v>1570</v>
      </c>
      <c r="C27" t="s">
        <v>1304</v>
      </c>
      <c r="D27" t="s">
        <v>1305</v>
      </c>
      <c r="E27" t="s">
        <v>1306</v>
      </c>
      <c r="G27" t="s">
        <v>1307</v>
      </c>
      <c r="H27">
        <v>2</v>
      </c>
      <c r="I27" t="s">
        <v>1307</v>
      </c>
      <c r="J27" t="s">
        <v>1571</v>
      </c>
      <c r="K27" t="s">
        <v>1310</v>
      </c>
      <c r="L27" t="s">
        <v>1309</v>
      </c>
      <c r="M27" t="s">
        <v>1309</v>
      </c>
      <c r="N27" t="s">
        <v>1309</v>
      </c>
      <c r="O27" t="s">
        <v>1309</v>
      </c>
      <c r="P27" t="s">
        <v>1309</v>
      </c>
      <c r="Q27" t="s">
        <v>1309</v>
      </c>
      <c r="R27" t="s">
        <v>1309</v>
      </c>
      <c r="U27" t="s">
        <v>1311</v>
      </c>
      <c r="V27" t="s">
        <v>1312</v>
      </c>
      <c r="W27" t="s">
        <v>1312</v>
      </c>
      <c r="X27" t="s">
        <v>1312</v>
      </c>
      <c r="Y27" t="s">
        <v>1312</v>
      </c>
      <c r="Z27" t="s">
        <v>1312</v>
      </c>
      <c r="AC27">
        <v>1</v>
      </c>
      <c r="AD27">
        <v>20000</v>
      </c>
      <c r="AE27">
        <v>7000</v>
      </c>
      <c r="AF27" t="s">
        <v>1313</v>
      </c>
      <c r="AH27" t="s">
        <v>1383</v>
      </c>
      <c r="AJ27" t="s">
        <v>1315</v>
      </c>
      <c r="AL27" t="s">
        <v>1316</v>
      </c>
      <c r="BS27" t="s">
        <v>1307</v>
      </c>
      <c r="CE27" t="s">
        <v>1384</v>
      </c>
      <c r="CF27" t="s">
        <v>1310</v>
      </c>
      <c r="CG27" t="s">
        <v>1309</v>
      </c>
      <c r="CH27" t="s">
        <v>1309</v>
      </c>
      <c r="CI27" t="s">
        <v>1309</v>
      </c>
      <c r="CJ27" t="s">
        <v>1309</v>
      </c>
      <c r="CK27" t="s">
        <v>1309</v>
      </c>
      <c r="CL27" t="s">
        <v>1309</v>
      </c>
      <c r="CM27" t="s">
        <v>1309</v>
      </c>
      <c r="CN27" t="s">
        <v>1309</v>
      </c>
      <c r="CO27" t="s">
        <v>1309</v>
      </c>
      <c r="CP27" t="s">
        <v>1309</v>
      </c>
      <c r="CQ27" t="s">
        <v>1309</v>
      </c>
      <c r="CR27" t="s">
        <v>1309</v>
      </c>
      <c r="CT27" t="s">
        <v>4434</v>
      </c>
      <c r="CV27" t="s">
        <v>1357</v>
      </c>
      <c r="CW27" t="s">
        <v>1309</v>
      </c>
      <c r="CX27" t="s">
        <v>1309</v>
      </c>
      <c r="CY27" t="s">
        <v>1309</v>
      </c>
      <c r="CZ27" t="s">
        <v>1309</v>
      </c>
      <c r="DA27" t="s">
        <v>1310</v>
      </c>
      <c r="DB27" t="s">
        <v>1309</v>
      </c>
      <c r="DC27" t="s">
        <v>1309</v>
      </c>
      <c r="DE27" t="s">
        <v>1358</v>
      </c>
      <c r="DG27">
        <v>2000</v>
      </c>
      <c r="DI27">
        <v>300</v>
      </c>
      <c r="DJ27" t="s">
        <v>1358</v>
      </c>
      <c r="DK27">
        <v>3500</v>
      </c>
      <c r="DM27">
        <v>800</v>
      </c>
      <c r="DN27" t="s">
        <v>1320</v>
      </c>
      <c r="DO27" t="s">
        <v>1310</v>
      </c>
      <c r="DP27" t="s">
        <v>1309</v>
      </c>
      <c r="DQ27" t="s">
        <v>1309</v>
      </c>
      <c r="DR27" t="s">
        <v>1309</v>
      </c>
      <c r="DS27" t="s">
        <v>1309</v>
      </c>
      <c r="DT27" t="s">
        <v>1310</v>
      </c>
      <c r="DU27" t="s">
        <v>1309</v>
      </c>
      <c r="DV27" t="s">
        <v>1309</v>
      </c>
      <c r="DW27" t="s">
        <v>1309</v>
      </c>
      <c r="DY27" t="s">
        <v>1433</v>
      </c>
      <c r="DZ27">
        <v>500</v>
      </c>
      <c r="EA27" t="s">
        <v>1319</v>
      </c>
      <c r="EC27" t="s">
        <v>1322</v>
      </c>
      <c r="ED27">
        <v>800</v>
      </c>
      <c r="EE27" t="s">
        <v>1319</v>
      </c>
      <c r="EG27" t="s">
        <v>5357</v>
      </c>
      <c r="ET27" t="s">
        <v>1434</v>
      </c>
      <c r="EV27" t="s">
        <v>1307</v>
      </c>
      <c r="EX27" t="s">
        <v>1307</v>
      </c>
      <c r="EY27" t="s">
        <v>1307</v>
      </c>
      <c r="FT27" t="s">
        <v>1307</v>
      </c>
      <c r="GI27" t="s">
        <v>1324</v>
      </c>
      <c r="GJ27" t="s">
        <v>1324</v>
      </c>
      <c r="GT27" t="s">
        <v>1325</v>
      </c>
      <c r="GU27" t="s">
        <v>1310</v>
      </c>
      <c r="GV27" t="s">
        <v>1309</v>
      </c>
      <c r="GW27" t="s">
        <v>1309</v>
      </c>
      <c r="GX27" t="s">
        <v>1309</v>
      </c>
      <c r="GY27" t="s">
        <v>1309</v>
      </c>
      <c r="GZ27" t="s">
        <v>1309</v>
      </c>
      <c r="HA27" t="s">
        <v>1309</v>
      </c>
      <c r="HB27" t="s">
        <v>1309</v>
      </c>
      <c r="HC27" t="s">
        <v>1309</v>
      </c>
      <c r="HD27" t="s">
        <v>1309</v>
      </c>
      <c r="HE27" t="s">
        <v>1309</v>
      </c>
      <c r="HF27" t="s">
        <v>1309</v>
      </c>
      <c r="HH27" t="s">
        <v>1326</v>
      </c>
      <c r="HI27" t="s">
        <v>1326</v>
      </c>
      <c r="HJ27" t="s">
        <v>1326</v>
      </c>
      <c r="HK27" t="s">
        <v>1327</v>
      </c>
      <c r="HL27" t="s">
        <v>1364</v>
      </c>
      <c r="HM27" t="s">
        <v>1326</v>
      </c>
      <c r="IA27" t="s">
        <v>1414</v>
      </c>
      <c r="IQ27" t="s">
        <v>1330</v>
      </c>
      <c r="IS27" t="s">
        <v>1331</v>
      </c>
      <c r="JF27" t="s">
        <v>1331</v>
      </c>
      <c r="JG27" t="s">
        <v>1414</v>
      </c>
      <c r="JH27" t="s">
        <v>1309</v>
      </c>
      <c r="JI27" t="s">
        <v>1309</v>
      </c>
      <c r="JJ27" t="s">
        <v>1309</v>
      </c>
      <c r="JK27" t="s">
        <v>1309</v>
      </c>
      <c r="JL27" t="s">
        <v>1309</v>
      </c>
      <c r="JM27" t="s">
        <v>1309</v>
      </c>
      <c r="JN27" t="s">
        <v>1310</v>
      </c>
      <c r="JO27" t="s">
        <v>1309</v>
      </c>
      <c r="JQ27" s="92" t="s">
        <v>1333</v>
      </c>
      <c r="JR27" s="92" t="s">
        <v>1334</v>
      </c>
      <c r="JS27" s="92">
        <v>27</v>
      </c>
      <c r="JT27" s="92" t="s">
        <v>1319</v>
      </c>
      <c r="JU27" s="92" t="s">
        <v>1396</v>
      </c>
      <c r="JV27" s="92" t="s">
        <v>1336</v>
      </c>
      <c r="JW27" s="92" t="s">
        <v>1296</v>
      </c>
      <c r="JX27" s="92" t="s">
        <v>71</v>
      </c>
      <c r="JY27" s="92" t="s">
        <v>5549</v>
      </c>
      <c r="JZ27" s="92" t="s">
        <v>1398</v>
      </c>
      <c r="KA27" s="92" t="s">
        <v>4845</v>
      </c>
      <c r="KB27" s="92" t="s">
        <v>1338</v>
      </c>
      <c r="KC27" s="92" t="s">
        <v>109</v>
      </c>
      <c r="KD27" s="92" t="s">
        <v>4844</v>
      </c>
      <c r="KE27" s="92" t="s">
        <v>1452</v>
      </c>
      <c r="KF27" s="92">
        <v>2300</v>
      </c>
      <c r="KG27" s="92" t="s">
        <v>4438</v>
      </c>
      <c r="KH27" s="92" t="s">
        <v>192</v>
      </c>
      <c r="KI27" s="92" t="s">
        <v>109</v>
      </c>
      <c r="KJ27" s="92" t="s">
        <v>192</v>
      </c>
      <c r="KK27" s="92" t="s">
        <v>109</v>
      </c>
      <c r="KL27" s="92" t="s">
        <v>1425</v>
      </c>
      <c r="KM27" s="92">
        <v>4300</v>
      </c>
      <c r="KN27" s="92" t="s">
        <v>4438</v>
      </c>
      <c r="KO27" s="92" t="s">
        <v>1341</v>
      </c>
      <c r="KP27" s="92" t="s">
        <v>1375</v>
      </c>
      <c r="KQ27" s="92" t="s">
        <v>192</v>
      </c>
      <c r="KR27" s="92">
        <v>22</v>
      </c>
      <c r="KS27" s="92" t="s">
        <v>1345</v>
      </c>
      <c r="KT27" s="92" t="s">
        <v>1344</v>
      </c>
      <c r="KU27" s="92">
        <v>19</v>
      </c>
      <c r="KV27" s="92" t="s">
        <v>1441</v>
      </c>
      <c r="KW27" s="92" t="s">
        <v>1344</v>
      </c>
      <c r="KX27" s="92" t="s">
        <v>1346</v>
      </c>
      <c r="KY27" s="92" t="s">
        <v>1347</v>
      </c>
      <c r="KZ27" s="92" t="s">
        <v>5795</v>
      </c>
      <c r="LA27" s="92" t="s">
        <v>109</v>
      </c>
      <c r="LB27" s="92" t="s">
        <v>109</v>
      </c>
      <c r="LC27" s="92" t="s">
        <v>4438</v>
      </c>
      <c r="LD27" s="92" t="s">
        <v>4439</v>
      </c>
      <c r="LE27" s="92" t="s">
        <v>109</v>
      </c>
      <c r="LF27" s="92" t="s">
        <v>109</v>
      </c>
    </row>
    <row r="28" spans="1:318" x14ac:dyDescent="0.25">
      <c r="A28" t="s">
        <v>1572</v>
      </c>
      <c r="B28" t="s">
        <v>1573</v>
      </c>
      <c r="C28" t="s">
        <v>1304</v>
      </c>
      <c r="D28" t="s">
        <v>1305</v>
      </c>
      <c r="E28" t="s">
        <v>1381</v>
      </c>
      <c r="G28" t="s">
        <v>1319</v>
      </c>
      <c r="H28">
        <v>2</v>
      </c>
      <c r="I28" t="s">
        <v>1358</v>
      </c>
      <c r="J28" t="s">
        <v>1382</v>
      </c>
      <c r="K28" t="s">
        <v>1309</v>
      </c>
      <c r="L28" t="s">
        <v>1310</v>
      </c>
      <c r="M28" t="s">
        <v>1309</v>
      </c>
      <c r="N28" t="s">
        <v>1309</v>
      </c>
      <c r="O28" t="s">
        <v>1309</v>
      </c>
      <c r="P28" t="s">
        <v>1310</v>
      </c>
      <c r="Q28" t="s">
        <v>1309</v>
      </c>
      <c r="R28" t="s">
        <v>1309</v>
      </c>
      <c r="S28">
        <v>1</v>
      </c>
      <c r="U28" t="s">
        <v>1312</v>
      </c>
      <c r="V28" t="s">
        <v>1312</v>
      </c>
      <c r="W28" t="s">
        <v>1312</v>
      </c>
      <c r="X28" t="s">
        <v>1312</v>
      </c>
      <c r="Y28" t="s">
        <v>1312</v>
      </c>
      <c r="Z28" t="s">
        <v>1312</v>
      </c>
      <c r="AC28">
        <v>1</v>
      </c>
      <c r="AD28">
        <v>4500</v>
      </c>
      <c r="AE28">
        <v>4000</v>
      </c>
      <c r="AF28" t="s">
        <v>1313</v>
      </c>
      <c r="AH28" t="s">
        <v>1314</v>
      </c>
      <c r="AJ28" t="s">
        <v>1315</v>
      </c>
      <c r="AL28" t="s">
        <v>1354</v>
      </c>
      <c r="BS28" t="s">
        <v>1307</v>
      </c>
      <c r="CE28" t="s">
        <v>1414</v>
      </c>
      <c r="CF28" t="s">
        <v>1309</v>
      </c>
      <c r="CG28" t="s">
        <v>1309</v>
      </c>
      <c r="CH28" t="s">
        <v>1309</v>
      </c>
      <c r="CI28" t="s">
        <v>1309</v>
      </c>
      <c r="CJ28" t="s">
        <v>1309</v>
      </c>
      <c r="CK28" t="s">
        <v>1309</v>
      </c>
      <c r="CL28" t="s">
        <v>1309</v>
      </c>
      <c r="CM28" t="s">
        <v>1309</v>
      </c>
      <c r="CN28" t="s">
        <v>1309</v>
      </c>
      <c r="CO28" t="s">
        <v>1309</v>
      </c>
      <c r="CP28" t="s">
        <v>1309</v>
      </c>
      <c r="CQ28" t="s">
        <v>1310</v>
      </c>
      <c r="CR28" t="s">
        <v>1309</v>
      </c>
      <c r="CT28" t="s">
        <v>4434</v>
      </c>
      <c r="CV28" t="s">
        <v>1308</v>
      </c>
      <c r="CW28" t="s">
        <v>1310</v>
      </c>
      <c r="CX28" t="s">
        <v>1309</v>
      </c>
      <c r="CY28" t="s">
        <v>1309</v>
      </c>
      <c r="CZ28" t="s">
        <v>1309</v>
      </c>
      <c r="DA28" t="s">
        <v>1309</v>
      </c>
      <c r="DB28" t="s">
        <v>1309</v>
      </c>
      <c r="DC28" t="s">
        <v>1309</v>
      </c>
      <c r="DE28" t="s">
        <v>1358</v>
      </c>
      <c r="DG28">
        <v>2500</v>
      </c>
      <c r="DI28">
        <v>400</v>
      </c>
      <c r="DJ28" t="s">
        <v>1358</v>
      </c>
      <c r="DK28">
        <v>2000</v>
      </c>
      <c r="DM28">
        <v>400</v>
      </c>
      <c r="DN28" t="s">
        <v>1445</v>
      </c>
      <c r="DO28" t="s">
        <v>1310</v>
      </c>
      <c r="DP28" t="s">
        <v>1310</v>
      </c>
      <c r="DQ28" t="s">
        <v>1309</v>
      </c>
      <c r="DR28" t="s">
        <v>1309</v>
      </c>
      <c r="DS28" t="s">
        <v>1309</v>
      </c>
      <c r="DT28" t="s">
        <v>1310</v>
      </c>
      <c r="DU28" t="s">
        <v>1309</v>
      </c>
      <c r="DV28" t="s">
        <v>1309</v>
      </c>
      <c r="DW28" t="s">
        <v>1309</v>
      </c>
      <c r="DY28" t="s">
        <v>1419</v>
      </c>
      <c r="DZ28">
        <v>800</v>
      </c>
      <c r="EA28" t="s">
        <v>1319</v>
      </c>
      <c r="EC28" t="s">
        <v>1504</v>
      </c>
      <c r="EE28" t="s">
        <v>1414</v>
      </c>
      <c r="EG28" t="s">
        <v>5356</v>
      </c>
      <c r="EI28" t="s">
        <v>1307</v>
      </c>
      <c r="ET28" t="s">
        <v>1307</v>
      </c>
      <c r="EV28" t="s">
        <v>1319</v>
      </c>
      <c r="EW28" t="s">
        <v>1361</v>
      </c>
      <c r="EX28" t="s">
        <v>1319</v>
      </c>
      <c r="EY28" t="s">
        <v>1319</v>
      </c>
      <c r="FA28" t="s">
        <v>1574</v>
      </c>
      <c r="FB28" t="s">
        <v>1309</v>
      </c>
      <c r="FC28" t="s">
        <v>1309</v>
      </c>
      <c r="FD28" t="s">
        <v>1309</v>
      </c>
      <c r="FE28" t="s">
        <v>1309</v>
      </c>
      <c r="FF28" t="s">
        <v>1309</v>
      </c>
      <c r="FG28" t="s">
        <v>1310</v>
      </c>
      <c r="FH28" t="s">
        <v>1310</v>
      </c>
      <c r="FI28" t="s">
        <v>1310</v>
      </c>
      <c r="FJ28" t="s">
        <v>1310</v>
      </c>
      <c r="FK28" t="s">
        <v>1310</v>
      </c>
      <c r="FL28" t="s">
        <v>1309</v>
      </c>
      <c r="FM28" t="s">
        <v>1309</v>
      </c>
      <c r="FN28" t="s">
        <v>1310</v>
      </c>
      <c r="FO28" t="s">
        <v>1309</v>
      </c>
      <c r="FP28" t="s">
        <v>1309</v>
      </c>
      <c r="FQ28" t="s">
        <v>1309</v>
      </c>
      <c r="FR28" t="s">
        <v>1309</v>
      </c>
      <c r="FT28" t="s">
        <v>1319</v>
      </c>
      <c r="FU28" t="s">
        <v>1435</v>
      </c>
      <c r="FV28" t="s">
        <v>1310</v>
      </c>
      <c r="FW28" t="s">
        <v>1309</v>
      </c>
      <c r="FX28" t="s">
        <v>1309</v>
      </c>
      <c r="FY28" t="s">
        <v>1309</v>
      </c>
      <c r="FZ28" t="s">
        <v>1309</v>
      </c>
      <c r="GA28" t="s">
        <v>1309</v>
      </c>
      <c r="GB28" t="s">
        <v>1309</v>
      </c>
      <c r="GC28" t="s">
        <v>1309</v>
      </c>
      <c r="GD28" t="s">
        <v>1309</v>
      </c>
      <c r="GE28" t="s">
        <v>1309</v>
      </c>
      <c r="GF28" t="s">
        <v>1309</v>
      </c>
      <c r="GG28" t="s">
        <v>1309</v>
      </c>
      <c r="GI28" t="s">
        <v>1324</v>
      </c>
      <c r="GJ28" t="s">
        <v>1324</v>
      </c>
      <c r="GT28" t="s">
        <v>1325</v>
      </c>
      <c r="GU28" t="s">
        <v>1310</v>
      </c>
      <c r="GV28" t="s">
        <v>1309</v>
      </c>
      <c r="GW28" t="s">
        <v>1309</v>
      </c>
      <c r="GX28" t="s">
        <v>1309</v>
      </c>
      <c r="GY28" t="s">
        <v>1309</v>
      </c>
      <c r="GZ28" t="s">
        <v>1309</v>
      </c>
      <c r="HA28" t="s">
        <v>1309</v>
      </c>
      <c r="HB28" t="s">
        <v>1309</v>
      </c>
      <c r="HC28" t="s">
        <v>1309</v>
      </c>
      <c r="HD28" t="s">
        <v>1309</v>
      </c>
      <c r="HE28" t="s">
        <v>1309</v>
      </c>
      <c r="HF28" t="s">
        <v>1309</v>
      </c>
      <c r="HH28" t="s">
        <v>1363</v>
      </c>
      <c r="HI28" t="s">
        <v>1363</v>
      </c>
      <c r="HJ28" t="s">
        <v>1363</v>
      </c>
      <c r="HK28" t="s">
        <v>1327</v>
      </c>
      <c r="HL28" t="s">
        <v>1364</v>
      </c>
      <c r="HM28" t="s">
        <v>1363</v>
      </c>
      <c r="IA28" t="s">
        <v>1414</v>
      </c>
      <c r="IQ28" t="s">
        <v>1365</v>
      </c>
      <c r="IS28" t="s">
        <v>1354</v>
      </c>
      <c r="JF28" t="s">
        <v>1354</v>
      </c>
      <c r="JG28" t="s">
        <v>1451</v>
      </c>
      <c r="JH28" t="s">
        <v>1310</v>
      </c>
      <c r="JI28" t="s">
        <v>1309</v>
      </c>
      <c r="JJ28" t="s">
        <v>1309</v>
      </c>
      <c r="JK28" t="s">
        <v>1310</v>
      </c>
      <c r="JL28" t="s">
        <v>1309</v>
      </c>
      <c r="JM28" t="s">
        <v>1309</v>
      </c>
      <c r="JN28" t="s">
        <v>1309</v>
      </c>
      <c r="JO28" t="s">
        <v>1309</v>
      </c>
      <c r="JQ28" s="92" t="s">
        <v>1394</v>
      </c>
      <c r="JR28" s="92" t="s">
        <v>1496</v>
      </c>
      <c r="JS28" s="92">
        <v>36</v>
      </c>
      <c r="JT28" s="92" t="s">
        <v>1319</v>
      </c>
      <c r="JU28" s="92" t="s">
        <v>1575</v>
      </c>
      <c r="JV28" s="92" t="s">
        <v>1336</v>
      </c>
      <c r="JW28" s="92" t="s">
        <v>1296</v>
      </c>
      <c r="JX28" s="92" t="s">
        <v>71</v>
      </c>
      <c r="JY28" s="92" t="s">
        <v>1397</v>
      </c>
      <c r="JZ28" s="92" t="s">
        <v>1337</v>
      </c>
      <c r="KA28" s="92" t="s">
        <v>4845</v>
      </c>
      <c r="KB28" s="92" t="s">
        <v>1399</v>
      </c>
      <c r="KC28" s="92" t="s">
        <v>109</v>
      </c>
      <c r="KD28" s="92" t="s">
        <v>4844</v>
      </c>
      <c r="KE28" s="92" t="s">
        <v>5560</v>
      </c>
      <c r="KF28" s="92">
        <v>2900</v>
      </c>
      <c r="KG28" s="92" t="s">
        <v>1400</v>
      </c>
      <c r="KH28" s="92" t="s">
        <v>192</v>
      </c>
      <c r="KI28" s="92" t="s">
        <v>109</v>
      </c>
      <c r="KJ28" s="92" t="s">
        <v>192</v>
      </c>
      <c r="KK28" s="92" t="s">
        <v>109</v>
      </c>
      <c r="KL28" s="92" t="s">
        <v>1425</v>
      </c>
      <c r="KM28" s="92">
        <v>2400</v>
      </c>
      <c r="KN28" s="92" t="s">
        <v>1400</v>
      </c>
      <c r="KO28" s="92" t="s">
        <v>1425</v>
      </c>
      <c r="KP28" s="92" t="s">
        <v>1460</v>
      </c>
      <c r="KQ28" s="92" t="s">
        <v>192</v>
      </c>
      <c r="KR28" s="92">
        <v>28</v>
      </c>
      <c r="KS28" s="92" t="s">
        <v>1466</v>
      </c>
      <c r="KT28" s="92" t="s">
        <v>1344</v>
      </c>
      <c r="KU28" s="92"/>
      <c r="KV28" s="92" t="s">
        <v>5554</v>
      </c>
      <c r="KW28" s="92" t="s">
        <v>1402</v>
      </c>
      <c r="KX28" s="92" t="s">
        <v>1376</v>
      </c>
      <c r="KY28" s="92" t="s">
        <v>1508</v>
      </c>
      <c r="KZ28" s="92" t="s">
        <v>1403</v>
      </c>
      <c r="LA28" s="92" t="s">
        <v>109</v>
      </c>
      <c r="LB28" s="92" t="s">
        <v>109</v>
      </c>
      <c r="LC28" s="92" t="s">
        <v>4439</v>
      </c>
      <c r="LD28" s="92" t="s">
        <v>4439</v>
      </c>
      <c r="LE28" s="92" t="s">
        <v>192</v>
      </c>
      <c r="LF28" s="92" t="s">
        <v>192</v>
      </c>
    </row>
    <row r="29" spans="1:318" x14ac:dyDescent="0.25">
      <c r="A29" t="s">
        <v>1576</v>
      </c>
      <c r="B29" t="s">
        <v>1577</v>
      </c>
      <c r="C29" t="s">
        <v>1304</v>
      </c>
      <c r="D29" t="s">
        <v>1305</v>
      </c>
      <c r="E29" t="s">
        <v>1306</v>
      </c>
      <c r="G29" t="s">
        <v>1307</v>
      </c>
      <c r="H29">
        <v>3</v>
      </c>
      <c r="I29" t="s">
        <v>1307</v>
      </c>
      <c r="J29" t="s">
        <v>1502</v>
      </c>
      <c r="K29" t="s">
        <v>1310</v>
      </c>
      <c r="L29" t="s">
        <v>1310</v>
      </c>
      <c r="M29" t="s">
        <v>1309</v>
      </c>
      <c r="N29" t="s">
        <v>1309</v>
      </c>
      <c r="O29" t="s">
        <v>1309</v>
      </c>
      <c r="P29" t="s">
        <v>1309</v>
      </c>
      <c r="Q29" t="s">
        <v>1309</v>
      </c>
      <c r="R29" t="s">
        <v>1309</v>
      </c>
      <c r="S29">
        <v>1</v>
      </c>
      <c r="U29" t="s">
        <v>1312</v>
      </c>
      <c r="V29" t="s">
        <v>1312</v>
      </c>
      <c r="W29" t="s">
        <v>1312</v>
      </c>
      <c r="X29" t="s">
        <v>1312</v>
      </c>
      <c r="Y29" t="s">
        <v>1312</v>
      </c>
      <c r="Z29" t="s">
        <v>1312</v>
      </c>
      <c r="AC29">
        <v>1</v>
      </c>
      <c r="AD29">
        <v>21000</v>
      </c>
      <c r="AE29">
        <v>15000</v>
      </c>
      <c r="AF29" t="s">
        <v>1313</v>
      </c>
      <c r="AH29" t="s">
        <v>1383</v>
      </c>
      <c r="AJ29" t="s">
        <v>1315</v>
      </c>
      <c r="AL29" t="s">
        <v>1316</v>
      </c>
      <c r="BS29" t="s">
        <v>1307</v>
      </c>
      <c r="CE29" t="s">
        <v>1355</v>
      </c>
      <c r="CF29" t="s">
        <v>1309</v>
      </c>
      <c r="CG29" t="s">
        <v>1309</v>
      </c>
      <c r="CH29" t="s">
        <v>1309</v>
      </c>
      <c r="CI29" t="s">
        <v>1309</v>
      </c>
      <c r="CJ29" t="s">
        <v>1309</v>
      </c>
      <c r="CK29" t="s">
        <v>1309</v>
      </c>
      <c r="CL29" t="s">
        <v>1309</v>
      </c>
      <c r="CM29" t="s">
        <v>1309</v>
      </c>
      <c r="CN29" t="s">
        <v>1310</v>
      </c>
      <c r="CO29" t="s">
        <v>1309</v>
      </c>
      <c r="CP29" t="s">
        <v>1309</v>
      </c>
      <c r="CQ29" t="s">
        <v>1309</v>
      </c>
      <c r="CR29" t="s">
        <v>1309</v>
      </c>
      <c r="CT29" t="s">
        <v>4434</v>
      </c>
      <c r="CV29" t="s">
        <v>1308</v>
      </c>
      <c r="CW29" t="s">
        <v>1310</v>
      </c>
      <c r="CX29" t="s">
        <v>1309</v>
      </c>
      <c r="CY29" t="s">
        <v>1309</v>
      </c>
      <c r="CZ29" t="s">
        <v>1309</v>
      </c>
      <c r="DA29" t="s">
        <v>1309</v>
      </c>
      <c r="DB29" t="s">
        <v>1309</v>
      </c>
      <c r="DC29" t="s">
        <v>1309</v>
      </c>
      <c r="DE29" t="s">
        <v>1358</v>
      </c>
      <c r="DG29">
        <v>3600</v>
      </c>
      <c r="DI29">
        <v>400</v>
      </c>
      <c r="DJ29" t="s">
        <v>1358</v>
      </c>
      <c r="DK29">
        <v>3900</v>
      </c>
      <c r="DM29">
        <v>450</v>
      </c>
      <c r="DN29" t="s">
        <v>1320</v>
      </c>
      <c r="DO29" t="s">
        <v>1310</v>
      </c>
      <c r="DP29" t="s">
        <v>1309</v>
      </c>
      <c r="DQ29" t="s">
        <v>1309</v>
      </c>
      <c r="DR29" t="s">
        <v>1309</v>
      </c>
      <c r="DS29" t="s">
        <v>1309</v>
      </c>
      <c r="DT29" t="s">
        <v>1310</v>
      </c>
      <c r="DU29" t="s">
        <v>1309</v>
      </c>
      <c r="DV29" t="s">
        <v>1309</v>
      </c>
      <c r="DW29" t="s">
        <v>1309</v>
      </c>
      <c r="DY29" t="s">
        <v>1321</v>
      </c>
      <c r="DZ29">
        <v>500</v>
      </c>
      <c r="EA29" t="s">
        <v>1307</v>
      </c>
      <c r="EB29">
        <v>300</v>
      </c>
      <c r="EC29" t="s">
        <v>1322</v>
      </c>
      <c r="ED29">
        <v>800</v>
      </c>
      <c r="EE29" t="s">
        <v>1319</v>
      </c>
      <c r="EG29" t="s">
        <v>5356</v>
      </c>
      <c r="EI29" t="s">
        <v>1307</v>
      </c>
      <c r="ET29" t="s">
        <v>1434</v>
      </c>
      <c r="EV29" t="s">
        <v>1319</v>
      </c>
      <c r="EW29" t="s">
        <v>1409</v>
      </c>
      <c r="EX29" t="s">
        <v>1319</v>
      </c>
      <c r="EY29" t="s">
        <v>1307</v>
      </c>
      <c r="FA29" t="s">
        <v>1578</v>
      </c>
      <c r="FB29" t="s">
        <v>1309</v>
      </c>
      <c r="FC29" t="s">
        <v>1309</v>
      </c>
      <c r="FD29" t="s">
        <v>1309</v>
      </c>
      <c r="FE29" t="s">
        <v>1309</v>
      </c>
      <c r="FF29" t="s">
        <v>1309</v>
      </c>
      <c r="FG29" t="s">
        <v>1309</v>
      </c>
      <c r="FH29" t="s">
        <v>1310</v>
      </c>
      <c r="FI29" t="s">
        <v>1309</v>
      </c>
      <c r="FJ29" t="s">
        <v>1309</v>
      </c>
      <c r="FK29" t="s">
        <v>1309</v>
      </c>
      <c r="FL29" t="s">
        <v>1309</v>
      </c>
      <c r="FM29" t="s">
        <v>1310</v>
      </c>
      <c r="FN29" t="s">
        <v>1309</v>
      </c>
      <c r="FO29" t="s">
        <v>1309</v>
      </c>
      <c r="FP29" t="s">
        <v>1309</v>
      </c>
      <c r="FQ29" t="s">
        <v>1309</v>
      </c>
      <c r="FR29" t="s">
        <v>1309</v>
      </c>
      <c r="FT29" t="s">
        <v>1307</v>
      </c>
      <c r="GI29" t="s">
        <v>1448</v>
      </c>
      <c r="GJ29" t="s">
        <v>1448</v>
      </c>
      <c r="GT29" t="s">
        <v>1325</v>
      </c>
      <c r="GU29" t="s">
        <v>1310</v>
      </c>
      <c r="GV29" t="s">
        <v>1309</v>
      </c>
      <c r="GW29" t="s">
        <v>1309</v>
      </c>
      <c r="GX29" t="s">
        <v>1309</v>
      </c>
      <c r="GY29" t="s">
        <v>1309</v>
      </c>
      <c r="GZ29" t="s">
        <v>1309</v>
      </c>
      <c r="HA29" t="s">
        <v>1309</v>
      </c>
      <c r="HB29" t="s">
        <v>1309</v>
      </c>
      <c r="HC29" t="s">
        <v>1309</v>
      </c>
      <c r="HD29" t="s">
        <v>1309</v>
      </c>
      <c r="HE29" t="s">
        <v>1309</v>
      </c>
      <c r="HF29" t="s">
        <v>1309</v>
      </c>
      <c r="HH29" t="s">
        <v>1326</v>
      </c>
      <c r="HI29" t="s">
        <v>1327</v>
      </c>
      <c r="HJ29" t="s">
        <v>1327</v>
      </c>
      <c r="HK29" t="s">
        <v>1327</v>
      </c>
      <c r="HL29" t="s">
        <v>1364</v>
      </c>
      <c r="HM29" t="s">
        <v>1326</v>
      </c>
      <c r="IA29" t="s">
        <v>1319</v>
      </c>
      <c r="IB29" t="s">
        <v>1579</v>
      </c>
      <c r="IC29" t="s">
        <v>1309</v>
      </c>
      <c r="ID29" t="s">
        <v>1309</v>
      </c>
      <c r="IE29" t="s">
        <v>1309</v>
      </c>
      <c r="IF29" t="s">
        <v>1309</v>
      </c>
      <c r="IG29" t="s">
        <v>1310</v>
      </c>
      <c r="IH29" t="s">
        <v>1309</v>
      </c>
      <c r="II29" t="s">
        <v>1309</v>
      </c>
      <c r="IJ29" t="s">
        <v>1309</v>
      </c>
      <c r="IK29" t="s">
        <v>1310</v>
      </c>
      <c r="IL29" t="s">
        <v>1309</v>
      </c>
      <c r="IM29" t="s">
        <v>1309</v>
      </c>
      <c r="IN29" t="s">
        <v>1309</v>
      </c>
      <c r="IO29" t="s">
        <v>1309</v>
      </c>
      <c r="IQ29" t="s">
        <v>1308</v>
      </c>
      <c r="IS29" t="s">
        <v>1331</v>
      </c>
      <c r="JF29" t="s">
        <v>1413</v>
      </c>
      <c r="JG29" t="s">
        <v>1580</v>
      </c>
      <c r="JH29" t="s">
        <v>1309</v>
      </c>
      <c r="JI29" t="s">
        <v>1309</v>
      </c>
      <c r="JJ29" t="s">
        <v>1310</v>
      </c>
      <c r="JK29" t="s">
        <v>1310</v>
      </c>
      <c r="JL29" t="s">
        <v>1309</v>
      </c>
      <c r="JM29" t="s">
        <v>1309</v>
      </c>
      <c r="JN29" t="s">
        <v>1309</v>
      </c>
      <c r="JO29" t="s">
        <v>1309</v>
      </c>
      <c r="JQ29" s="92" t="s">
        <v>1333</v>
      </c>
      <c r="JR29" s="92" t="s">
        <v>1334</v>
      </c>
      <c r="JS29" s="92">
        <v>31</v>
      </c>
      <c r="JT29" s="92" t="s">
        <v>1319</v>
      </c>
      <c r="JU29" s="92" t="s">
        <v>1396</v>
      </c>
      <c r="JV29" s="92" t="s">
        <v>1336</v>
      </c>
      <c r="JW29" s="92" t="s">
        <v>1296</v>
      </c>
      <c r="JX29" s="92" t="s">
        <v>71</v>
      </c>
      <c r="JY29" s="92" t="s">
        <v>5549</v>
      </c>
      <c r="JZ29" s="92" t="s">
        <v>1398</v>
      </c>
      <c r="KA29" s="92" t="s">
        <v>4845</v>
      </c>
      <c r="KB29" s="92" t="s">
        <v>1415</v>
      </c>
      <c r="KC29" s="92" t="s">
        <v>109</v>
      </c>
      <c r="KD29" s="92" t="s">
        <v>4844</v>
      </c>
      <c r="KE29" s="92" t="s">
        <v>1416</v>
      </c>
      <c r="KF29" s="92">
        <v>4000</v>
      </c>
      <c r="KG29" s="92" t="s">
        <v>4438</v>
      </c>
      <c r="KH29" s="92" t="s">
        <v>192</v>
      </c>
      <c r="KI29" s="92" t="s">
        <v>109</v>
      </c>
      <c r="KJ29" s="92" t="s">
        <v>192</v>
      </c>
      <c r="KK29" s="92" t="s">
        <v>109</v>
      </c>
      <c r="KL29" s="92" t="s">
        <v>1341</v>
      </c>
      <c r="KM29" s="92">
        <v>4350</v>
      </c>
      <c r="KN29" s="92" t="s">
        <v>4438</v>
      </c>
      <c r="KO29" s="92" t="s">
        <v>1341</v>
      </c>
      <c r="KP29" s="92" t="s">
        <v>1460</v>
      </c>
      <c r="KQ29" s="92" t="s">
        <v>192</v>
      </c>
      <c r="KR29" s="92">
        <v>12</v>
      </c>
      <c r="KS29" s="92" t="s">
        <v>1345</v>
      </c>
      <c r="KT29" s="92" t="s">
        <v>1581</v>
      </c>
      <c r="KU29" s="92">
        <v>18</v>
      </c>
      <c r="KV29" s="92" t="s">
        <v>1441</v>
      </c>
      <c r="KW29" s="92" t="s">
        <v>1344</v>
      </c>
      <c r="KX29" s="92" t="s">
        <v>1346</v>
      </c>
      <c r="KY29" s="92" t="s">
        <v>1347</v>
      </c>
      <c r="KZ29" s="92" t="s">
        <v>5795</v>
      </c>
      <c r="LA29" s="92" t="s">
        <v>109</v>
      </c>
      <c r="LB29" s="92" t="s">
        <v>109</v>
      </c>
      <c r="LC29" s="92" t="s">
        <v>4438</v>
      </c>
      <c r="LD29" s="92" t="s">
        <v>4438</v>
      </c>
      <c r="LE29" s="92" t="s">
        <v>109</v>
      </c>
      <c r="LF29" s="92" t="s">
        <v>109</v>
      </c>
    </row>
    <row r="30" spans="1:318" x14ac:dyDescent="0.25">
      <c r="A30" t="s">
        <v>1582</v>
      </c>
      <c r="B30" t="s">
        <v>1583</v>
      </c>
      <c r="C30" t="s">
        <v>1304</v>
      </c>
      <c r="D30" t="s">
        <v>1429</v>
      </c>
      <c r="E30" t="s">
        <v>1381</v>
      </c>
      <c r="G30" t="s">
        <v>1319</v>
      </c>
      <c r="H30">
        <v>3</v>
      </c>
      <c r="I30" t="s">
        <v>1358</v>
      </c>
      <c r="J30" t="s">
        <v>1406</v>
      </c>
      <c r="K30" t="s">
        <v>1309</v>
      </c>
      <c r="L30" t="s">
        <v>1310</v>
      </c>
      <c r="M30" t="s">
        <v>1309</v>
      </c>
      <c r="N30" t="s">
        <v>1309</v>
      </c>
      <c r="O30" t="s">
        <v>1309</v>
      </c>
      <c r="P30" t="s">
        <v>1309</v>
      </c>
      <c r="Q30" t="s">
        <v>1309</v>
      </c>
      <c r="R30" t="s">
        <v>1309</v>
      </c>
      <c r="S30">
        <v>1</v>
      </c>
      <c r="U30" t="s">
        <v>1311</v>
      </c>
      <c r="V30" t="s">
        <v>1312</v>
      </c>
      <c r="W30" t="s">
        <v>1312</v>
      </c>
      <c r="X30" t="s">
        <v>1312</v>
      </c>
      <c r="Y30" t="s">
        <v>1312</v>
      </c>
      <c r="Z30" t="s">
        <v>1312</v>
      </c>
      <c r="AC30">
        <v>1</v>
      </c>
      <c r="AD30">
        <v>11000</v>
      </c>
      <c r="AE30">
        <v>7000</v>
      </c>
      <c r="AF30" t="s">
        <v>1313</v>
      </c>
      <c r="AH30" t="s">
        <v>1383</v>
      </c>
      <c r="AJ30" t="s">
        <v>1315</v>
      </c>
      <c r="AL30" t="s">
        <v>1316</v>
      </c>
      <c r="BS30" t="s">
        <v>1307</v>
      </c>
      <c r="CE30" t="s">
        <v>1431</v>
      </c>
      <c r="CF30" t="s">
        <v>1309</v>
      </c>
      <c r="CG30" t="s">
        <v>1309</v>
      </c>
      <c r="CH30" t="s">
        <v>1309</v>
      </c>
      <c r="CI30" t="s">
        <v>1310</v>
      </c>
      <c r="CJ30" t="s">
        <v>1309</v>
      </c>
      <c r="CK30" t="s">
        <v>1309</v>
      </c>
      <c r="CL30" t="s">
        <v>1309</v>
      </c>
      <c r="CM30" t="s">
        <v>1309</v>
      </c>
      <c r="CN30" t="s">
        <v>1310</v>
      </c>
      <c r="CO30" t="s">
        <v>1309</v>
      </c>
      <c r="CP30" t="s">
        <v>1309</v>
      </c>
      <c r="CQ30" t="s">
        <v>1309</v>
      </c>
      <c r="CR30" t="s">
        <v>1309</v>
      </c>
      <c r="CT30" t="s">
        <v>4435</v>
      </c>
      <c r="CV30" t="s">
        <v>1308</v>
      </c>
      <c r="CW30" t="s">
        <v>1310</v>
      </c>
      <c r="CX30" t="s">
        <v>1309</v>
      </c>
      <c r="CY30" t="s">
        <v>1309</v>
      </c>
      <c r="CZ30" t="s">
        <v>1309</v>
      </c>
      <c r="DA30" t="s">
        <v>1309</v>
      </c>
      <c r="DB30" t="s">
        <v>1309</v>
      </c>
      <c r="DC30" t="s">
        <v>1309</v>
      </c>
      <c r="DE30" t="s">
        <v>1358</v>
      </c>
      <c r="DF30" t="s">
        <v>1319</v>
      </c>
      <c r="DG30">
        <v>1000</v>
      </c>
      <c r="DH30">
        <v>2300</v>
      </c>
      <c r="DI30">
        <v>1000</v>
      </c>
      <c r="DJ30" t="s">
        <v>1358</v>
      </c>
      <c r="DK30">
        <v>700</v>
      </c>
      <c r="DL30">
        <v>2000</v>
      </c>
      <c r="DM30">
        <v>900</v>
      </c>
      <c r="DN30" t="s">
        <v>1584</v>
      </c>
      <c r="DO30" t="s">
        <v>1310</v>
      </c>
      <c r="DP30" t="s">
        <v>1309</v>
      </c>
      <c r="DQ30" t="s">
        <v>1309</v>
      </c>
      <c r="DR30" t="s">
        <v>1309</v>
      </c>
      <c r="DS30" t="s">
        <v>1310</v>
      </c>
      <c r="DT30" t="s">
        <v>1310</v>
      </c>
      <c r="DU30" t="s">
        <v>1309</v>
      </c>
      <c r="DV30" t="s">
        <v>1309</v>
      </c>
      <c r="DW30" t="s">
        <v>1309</v>
      </c>
      <c r="DY30" t="s">
        <v>1456</v>
      </c>
      <c r="DZ30">
        <v>800</v>
      </c>
      <c r="EA30" t="s">
        <v>1386</v>
      </c>
      <c r="EC30" t="s">
        <v>1585</v>
      </c>
      <c r="ED30">
        <v>800</v>
      </c>
      <c r="EE30" t="s">
        <v>1386</v>
      </c>
      <c r="EG30" t="s">
        <v>5356</v>
      </c>
      <c r="EI30" t="s">
        <v>1307</v>
      </c>
      <c r="ET30" t="s">
        <v>1307</v>
      </c>
      <c r="EV30" t="s">
        <v>1307</v>
      </c>
      <c r="EX30" t="s">
        <v>1319</v>
      </c>
      <c r="EY30" t="s">
        <v>1319</v>
      </c>
      <c r="FA30" t="s">
        <v>1586</v>
      </c>
      <c r="FB30" t="s">
        <v>1309</v>
      </c>
      <c r="FC30" t="s">
        <v>1309</v>
      </c>
      <c r="FD30" t="s">
        <v>1309</v>
      </c>
      <c r="FE30" t="s">
        <v>1309</v>
      </c>
      <c r="FF30" t="s">
        <v>1309</v>
      </c>
      <c r="FG30" t="s">
        <v>1309</v>
      </c>
      <c r="FH30" t="s">
        <v>1309</v>
      </c>
      <c r="FI30" t="s">
        <v>1309</v>
      </c>
      <c r="FJ30" t="s">
        <v>1310</v>
      </c>
      <c r="FK30" t="s">
        <v>1309</v>
      </c>
      <c r="FL30" t="s">
        <v>1310</v>
      </c>
      <c r="FM30" t="s">
        <v>1309</v>
      </c>
      <c r="FN30" t="s">
        <v>1309</v>
      </c>
      <c r="FO30" t="s">
        <v>1309</v>
      </c>
      <c r="FP30" t="s">
        <v>1309</v>
      </c>
      <c r="FQ30" t="s">
        <v>1309</v>
      </c>
      <c r="FR30" t="s">
        <v>1309</v>
      </c>
      <c r="FT30" t="s">
        <v>1307</v>
      </c>
      <c r="GI30" t="s">
        <v>1436</v>
      </c>
      <c r="GJ30" t="s">
        <v>1436</v>
      </c>
      <c r="GK30" t="s">
        <v>1307</v>
      </c>
      <c r="GT30" t="s">
        <v>1325</v>
      </c>
      <c r="GU30" t="s">
        <v>1310</v>
      </c>
      <c r="GV30" t="s">
        <v>1309</v>
      </c>
      <c r="GW30" t="s">
        <v>1309</v>
      </c>
      <c r="GX30" t="s">
        <v>1309</v>
      </c>
      <c r="GY30" t="s">
        <v>1309</v>
      </c>
      <c r="GZ30" t="s">
        <v>1309</v>
      </c>
      <c r="HA30" t="s">
        <v>1309</v>
      </c>
      <c r="HB30" t="s">
        <v>1309</v>
      </c>
      <c r="HC30" t="s">
        <v>1309</v>
      </c>
      <c r="HD30" t="s">
        <v>1309</v>
      </c>
      <c r="HE30" t="s">
        <v>1309</v>
      </c>
      <c r="HF30" t="s">
        <v>1309</v>
      </c>
      <c r="HH30" t="s">
        <v>1390</v>
      </c>
      <c r="HI30" t="s">
        <v>1390</v>
      </c>
      <c r="HJ30" t="s">
        <v>1390</v>
      </c>
      <c r="HK30" t="s">
        <v>1390</v>
      </c>
      <c r="HL30" t="s">
        <v>1364</v>
      </c>
      <c r="HM30" t="s">
        <v>1390</v>
      </c>
      <c r="IA30" t="s">
        <v>1319</v>
      </c>
      <c r="IB30" t="s">
        <v>1587</v>
      </c>
      <c r="IC30" t="s">
        <v>1309</v>
      </c>
      <c r="ID30" t="s">
        <v>1309</v>
      </c>
      <c r="IE30" t="s">
        <v>1309</v>
      </c>
      <c r="IF30" t="s">
        <v>1309</v>
      </c>
      <c r="IG30" t="s">
        <v>1310</v>
      </c>
      <c r="IH30" t="s">
        <v>1309</v>
      </c>
      <c r="II30" t="s">
        <v>1309</v>
      </c>
      <c r="IJ30" t="s">
        <v>1309</v>
      </c>
      <c r="IK30" t="s">
        <v>1309</v>
      </c>
      <c r="IL30" t="s">
        <v>1310</v>
      </c>
      <c r="IM30" t="s">
        <v>1309</v>
      </c>
      <c r="IN30" t="s">
        <v>1309</v>
      </c>
      <c r="IO30" t="s">
        <v>1309</v>
      </c>
      <c r="IQ30" t="s">
        <v>1356</v>
      </c>
      <c r="IS30" t="s">
        <v>1331</v>
      </c>
      <c r="JF30" t="s">
        <v>1331</v>
      </c>
      <c r="JG30" t="s">
        <v>1332</v>
      </c>
      <c r="JH30" t="s">
        <v>1309</v>
      </c>
      <c r="JI30" t="s">
        <v>1309</v>
      </c>
      <c r="JJ30" t="s">
        <v>1309</v>
      </c>
      <c r="JK30" t="s">
        <v>1309</v>
      </c>
      <c r="JL30" t="s">
        <v>1310</v>
      </c>
      <c r="JM30" t="s">
        <v>1309</v>
      </c>
      <c r="JN30" t="s">
        <v>1309</v>
      </c>
      <c r="JO30" t="s">
        <v>1309</v>
      </c>
      <c r="JQ30" s="92" t="s">
        <v>1524</v>
      </c>
      <c r="JR30" s="92" t="s">
        <v>1525</v>
      </c>
      <c r="JS30" s="92">
        <v>30</v>
      </c>
      <c r="JT30" s="92" t="s">
        <v>1319</v>
      </c>
      <c r="JU30" s="92" t="s">
        <v>1396</v>
      </c>
      <c r="JV30" s="92" t="s">
        <v>1526</v>
      </c>
      <c r="JW30" s="92" t="s">
        <v>1296</v>
      </c>
      <c r="JX30" s="92" t="s">
        <v>71</v>
      </c>
      <c r="JY30" s="92" t="s">
        <v>1397</v>
      </c>
      <c r="JZ30" s="92" t="s">
        <v>1398</v>
      </c>
      <c r="KA30" s="92" t="s">
        <v>4845</v>
      </c>
      <c r="KB30" s="92" t="s">
        <v>1415</v>
      </c>
      <c r="KC30" s="92" t="s">
        <v>109</v>
      </c>
      <c r="KD30" s="92" t="s">
        <v>4844</v>
      </c>
      <c r="KE30" s="92" t="s">
        <v>1371</v>
      </c>
      <c r="KF30" s="92">
        <v>4300</v>
      </c>
      <c r="KG30" s="92" t="s">
        <v>4439</v>
      </c>
      <c r="KH30" s="92" t="s">
        <v>192</v>
      </c>
      <c r="KI30" s="92" t="s">
        <v>192</v>
      </c>
      <c r="KJ30" s="92" t="s">
        <v>192</v>
      </c>
      <c r="KK30" s="92" t="s">
        <v>192</v>
      </c>
      <c r="KL30" s="92" t="s">
        <v>1341</v>
      </c>
      <c r="KM30" s="92">
        <v>3600</v>
      </c>
      <c r="KN30" s="92" t="s">
        <v>4439</v>
      </c>
      <c r="KO30" s="92" t="s">
        <v>1341</v>
      </c>
      <c r="KP30" s="92" t="s">
        <v>1342</v>
      </c>
      <c r="KQ30" s="92" t="s">
        <v>192</v>
      </c>
      <c r="KR30" s="92">
        <v>19</v>
      </c>
      <c r="KS30" s="92" t="s">
        <v>1466</v>
      </c>
      <c r="KT30" s="92" t="s">
        <v>1402</v>
      </c>
      <c r="KU30" s="92">
        <v>22</v>
      </c>
      <c r="KV30" s="92" t="s">
        <v>1441</v>
      </c>
      <c r="KW30" s="92" t="s">
        <v>1402</v>
      </c>
      <c r="KX30" s="92" t="s">
        <v>1376</v>
      </c>
      <c r="KY30" s="92" t="s">
        <v>1347</v>
      </c>
      <c r="KZ30" s="92" t="s">
        <v>1403</v>
      </c>
      <c r="LA30" s="92" t="s">
        <v>109</v>
      </c>
      <c r="LB30" s="92" t="s">
        <v>109</v>
      </c>
      <c r="LC30" s="92" t="s">
        <v>4439</v>
      </c>
      <c r="LD30" s="92" t="s">
        <v>4439</v>
      </c>
      <c r="LE30" s="92" t="s">
        <v>192</v>
      </c>
      <c r="LF30" s="92" t="s">
        <v>109</v>
      </c>
    </row>
    <row r="31" spans="1:318" x14ac:dyDescent="0.25">
      <c r="A31" t="s">
        <v>1588</v>
      </c>
      <c r="B31" t="s">
        <v>1589</v>
      </c>
      <c r="C31" t="s">
        <v>1304</v>
      </c>
      <c r="D31" t="s">
        <v>1305</v>
      </c>
      <c r="E31" t="s">
        <v>1381</v>
      </c>
      <c r="G31" t="s">
        <v>1319</v>
      </c>
      <c r="H31">
        <v>3</v>
      </c>
      <c r="I31" t="s">
        <v>1358</v>
      </c>
      <c r="J31" t="s">
        <v>1406</v>
      </c>
      <c r="K31" t="s">
        <v>1309</v>
      </c>
      <c r="L31" t="s">
        <v>1310</v>
      </c>
      <c r="M31" t="s">
        <v>1309</v>
      </c>
      <c r="N31" t="s">
        <v>1309</v>
      </c>
      <c r="O31" t="s">
        <v>1309</v>
      </c>
      <c r="P31" t="s">
        <v>1309</v>
      </c>
      <c r="Q31" t="s">
        <v>1309</v>
      </c>
      <c r="R31" t="s">
        <v>1309</v>
      </c>
      <c r="S31">
        <v>1</v>
      </c>
      <c r="U31" t="s">
        <v>1312</v>
      </c>
      <c r="V31" t="s">
        <v>1312</v>
      </c>
      <c r="W31" t="s">
        <v>1312</v>
      </c>
      <c r="X31" t="s">
        <v>1312</v>
      </c>
      <c r="Y31" t="s">
        <v>1312</v>
      </c>
      <c r="Z31" t="s">
        <v>1311</v>
      </c>
      <c r="AC31">
        <v>2</v>
      </c>
      <c r="AD31">
        <v>10000</v>
      </c>
      <c r="AE31">
        <v>12000</v>
      </c>
      <c r="AF31" t="s">
        <v>1351</v>
      </c>
      <c r="AH31" t="s">
        <v>1383</v>
      </c>
      <c r="AJ31" t="s">
        <v>1353</v>
      </c>
      <c r="AL31" t="s">
        <v>1316</v>
      </c>
      <c r="BA31" t="s">
        <v>1316</v>
      </c>
      <c r="BS31" t="s">
        <v>1307</v>
      </c>
      <c r="CE31" t="s">
        <v>1590</v>
      </c>
      <c r="CF31" t="s">
        <v>1310</v>
      </c>
      <c r="CG31" t="s">
        <v>1309</v>
      </c>
      <c r="CH31" t="s">
        <v>1309</v>
      </c>
      <c r="CI31" t="s">
        <v>1309</v>
      </c>
      <c r="CJ31" t="s">
        <v>1309</v>
      </c>
      <c r="CK31" t="s">
        <v>1309</v>
      </c>
      <c r="CL31" t="s">
        <v>1309</v>
      </c>
      <c r="CM31" t="s">
        <v>1309</v>
      </c>
      <c r="CN31" t="s">
        <v>1310</v>
      </c>
      <c r="CO31" t="s">
        <v>1309</v>
      </c>
      <c r="CP31" t="s">
        <v>1309</v>
      </c>
      <c r="CQ31" t="s">
        <v>1309</v>
      </c>
      <c r="CR31" t="s">
        <v>1309</v>
      </c>
      <c r="CT31" t="s">
        <v>4436</v>
      </c>
      <c r="CV31" t="s">
        <v>1308</v>
      </c>
      <c r="CW31" t="s">
        <v>1310</v>
      </c>
      <c r="CX31" t="s">
        <v>1309</v>
      </c>
      <c r="CY31" t="s">
        <v>1309</v>
      </c>
      <c r="CZ31" t="s">
        <v>1309</v>
      </c>
      <c r="DA31" t="s">
        <v>1309</v>
      </c>
      <c r="DB31" t="s">
        <v>1309</v>
      </c>
      <c r="DC31" t="s">
        <v>1309</v>
      </c>
      <c r="DE31" t="s">
        <v>1358</v>
      </c>
      <c r="DF31" t="s">
        <v>1319</v>
      </c>
      <c r="DG31">
        <v>150</v>
      </c>
      <c r="DH31">
        <v>10000</v>
      </c>
      <c r="DI31">
        <v>200</v>
      </c>
      <c r="DJ31" t="s">
        <v>1358</v>
      </c>
      <c r="DK31">
        <v>150</v>
      </c>
      <c r="DM31">
        <v>300</v>
      </c>
      <c r="DN31" t="s">
        <v>1584</v>
      </c>
      <c r="DO31" t="s">
        <v>1310</v>
      </c>
      <c r="DP31" t="s">
        <v>1309</v>
      </c>
      <c r="DQ31" t="s">
        <v>1309</v>
      </c>
      <c r="DR31" t="s">
        <v>1309</v>
      </c>
      <c r="DS31" t="s">
        <v>1310</v>
      </c>
      <c r="DT31" t="s">
        <v>1310</v>
      </c>
      <c r="DU31" t="s">
        <v>1309</v>
      </c>
      <c r="DV31" t="s">
        <v>1309</v>
      </c>
      <c r="DW31" t="s">
        <v>1309</v>
      </c>
      <c r="DY31" t="s">
        <v>1446</v>
      </c>
      <c r="DZ31">
        <v>450</v>
      </c>
      <c r="EA31" t="s">
        <v>1386</v>
      </c>
      <c r="EC31" t="s">
        <v>1420</v>
      </c>
      <c r="ED31">
        <v>500</v>
      </c>
      <c r="EE31" t="s">
        <v>1386</v>
      </c>
      <c r="EG31" t="s">
        <v>5356</v>
      </c>
      <c r="EI31" t="s">
        <v>1307</v>
      </c>
      <c r="ET31" t="s">
        <v>1307</v>
      </c>
      <c r="EV31" t="s">
        <v>1307</v>
      </c>
      <c r="EX31" t="s">
        <v>1319</v>
      </c>
      <c r="EY31" t="s">
        <v>1319</v>
      </c>
      <c r="EZ31" t="s">
        <v>1319</v>
      </c>
      <c r="FA31" t="s">
        <v>1591</v>
      </c>
      <c r="FB31" t="s">
        <v>1310</v>
      </c>
      <c r="FC31" t="s">
        <v>1310</v>
      </c>
      <c r="FD31" t="s">
        <v>1309</v>
      </c>
      <c r="FE31" t="s">
        <v>1309</v>
      </c>
      <c r="FF31" t="s">
        <v>1310</v>
      </c>
      <c r="FG31" t="s">
        <v>1309</v>
      </c>
      <c r="FH31" t="s">
        <v>1310</v>
      </c>
      <c r="FI31" t="s">
        <v>1309</v>
      </c>
      <c r="FJ31" t="s">
        <v>1309</v>
      </c>
      <c r="FK31" t="s">
        <v>1309</v>
      </c>
      <c r="FL31" t="s">
        <v>1309</v>
      </c>
      <c r="FM31" t="s">
        <v>1309</v>
      </c>
      <c r="FN31" t="s">
        <v>1310</v>
      </c>
      <c r="FO31" t="s">
        <v>1309</v>
      </c>
      <c r="FP31" t="s">
        <v>1309</v>
      </c>
      <c r="FQ31" t="s">
        <v>1309</v>
      </c>
      <c r="FR31" t="s">
        <v>1309</v>
      </c>
      <c r="FT31" t="s">
        <v>1307</v>
      </c>
      <c r="GI31" t="s">
        <v>1436</v>
      </c>
      <c r="GJ31" t="s">
        <v>1436</v>
      </c>
      <c r="GK31" t="s">
        <v>1307</v>
      </c>
      <c r="GT31" t="s">
        <v>1325</v>
      </c>
      <c r="GU31" t="s">
        <v>1310</v>
      </c>
      <c r="GV31" t="s">
        <v>1309</v>
      </c>
      <c r="GW31" t="s">
        <v>1309</v>
      </c>
      <c r="GX31" t="s">
        <v>1309</v>
      </c>
      <c r="GY31" t="s">
        <v>1309</v>
      </c>
      <c r="GZ31" t="s">
        <v>1309</v>
      </c>
      <c r="HA31" t="s">
        <v>1309</v>
      </c>
      <c r="HB31" t="s">
        <v>1309</v>
      </c>
      <c r="HC31" t="s">
        <v>1309</v>
      </c>
      <c r="HD31" t="s">
        <v>1309</v>
      </c>
      <c r="HE31" t="s">
        <v>1309</v>
      </c>
      <c r="HF31" t="s">
        <v>1309</v>
      </c>
      <c r="HH31" t="s">
        <v>1390</v>
      </c>
      <c r="HI31" t="s">
        <v>1326</v>
      </c>
      <c r="HJ31" t="s">
        <v>1390</v>
      </c>
      <c r="HK31" t="s">
        <v>1390</v>
      </c>
      <c r="HL31" t="s">
        <v>1328</v>
      </c>
      <c r="HM31" t="s">
        <v>1390</v>
      </c>
      <c r="HN31" t="s">
        <v>1592</v>
      </c>
      <c r="HO31" t="s">
        <v>1309</v>
      </c>
      <c r="HP31" t="s">
        <v>1309</v>
      </c>
      <c r="HQ31" t="s">
        <v>1310</v>
      </c>
      <c r="HR31" t="s">
        <v>1309</v>
      </c>
      <c r="HS31" t="s">
        <v>1309</v>
      </c>
      <c r="HT31" t="s">
        <v>1309</v>
      </c>
      <c r="HU31" t="s">
        <v>1309</v>
      </c>
      <c r="HV31" t="s">
        <v>1309</v>
      </c>
      <c r="HW31" t="s">
        <v>1309</v>
      </c>
      <c r="HX31" t="s">
        <v>1309</v>
      </c>
      <c r="HY31" t="s">
        <v>1309</v>
      </c>
      <c r="IA31" t="s">
        <v>1319</v>
      </c>
      <c r="IB31" t="s">
        <v>1532</v>
      </c>
      <c r="IC31" t="s">
        <v>1309</v>
      </c>
      <c r="ID31" t="s">
        <v>1309</v>
      </c>
      <c r="IE31" t="s">
        <v>1309</v>
      </c>
      <c r="IF31" t="s">
        <v>1309</v>
      </c>
      <c r="IG31" t="s">
        <v>1310</v>
      </c>
      <c r="IH31" t="s">
        <v>1309</v>
      </c>
      <c r="II31" t="s">
        <v>1310</v>
      </c>
      <c r="IJ31" t="s">
        <v>1309</v>
      </c>
      <c r="IK31" t="s">
        <v>1309</v>
      </c>
      <c r="IL31" t="s">
        <v>1309</v>
      </c>
      <c r="IM31" t="s">
        <v>1309</v>
      </c>
      <c r="IN31" t="s">
        <v>1309</v>
      </c>
      <c r="IO31" t="s">
        <v>1309</v>
      </c>
      <c r="IQ31" t="s">
        <v>1356</v>
      </c>
      <c r="IS31" t="s">
        <v>1354</v>
      </c>
      <c r="JF31" t="s">
        <v>1316</v>
      </c>
      <c r="JG31" t="s">
        <v>1332</v>
      </c>
      <c r="JH31" t="s">
        <v>1309</v>
      </c>
      <c r="JI31" t="s">
        <v>1309</v>
      </c>
      <c r="JJ31" t="s">
        <v>1309</v>
      </c>
      <c r="JK31" t="s">
        <v>1309</v>
      </c>
      <c r="JL31" t="s">
        <v>1310</v>
      </c>
      <c r="JM31" t="s">
        <v>1309</v>
      </c>
      <c r="JN31" t="s">
        <v>1309</v>
      </c>
      <c r="JO31" t="s">
        <v>1309</v>
      </c>
      <c r="JQ31" s="92" t="s">
        <v>1593</v>
      </c>
      <c r="JR31" s="92" t="s">
        <v>1594</v>
      </c>
      <c r="JS31" s="92">
        <v>39</v>
      </c>
      <c r="JT31" s="92" t="s">
        <v>1319</v>
      </c>
      <c r="JU31" s="92" t="s">
        <v>1575</v>
      </c>
      <c r="JV31" s="92" t="s">
        <v>1526</v>
      </c>
      <c r="JW31" s="92" t="s">
        <v>1296</v>
      </c>
      <c r="JX31" s="92" t="s">
        <v>70</v>
      </c>
      <c r="JY31" s="92" t="s">
        <v>1397</v>
      </c>
      <c r="JZ31" s="92" t="s">
        <v>1337</v>
      </c>
      <c r="KA31" s="92" t="s">
        <v>4845</v>
      </c>
      <c r="KB31" s="92" t="s">
        <v>1415</v>
      </c>
      <c r="KC31" s="92" t="s">
        <v>109</v>
      </c>
      <c r="KD31" s="92" t="s">
        <v>4847</v>
      </c>
      <c r="KE31" s="92" t="s">
        <v>1424</v>
      </c>
      <c r="KF31" s="92">
        <v>10350</v>
      </c>
      <c r="KG31" s="92" t="s">
        <v>1426</v>
      </c>
      <c r="KH31" s="92" t="s">
        <v>192</v>
      </c>
      <c r="KI31" s="92" t="s">
        <v>192</v>
      </c>
      <c r="KJ31" s="92" t="s">
        <v>192</v>
      </c>
      <c r="KK31" s="92" t="s">
        <v>109</v>
      </c>
      <c r="KL31" s="92" t="s">
        <v>1341</v>
      </c>
      <c r="KM31" s="92">
        <v>450</v>
      </c>
      <c r="KN31" s="92" t="s">
        <v>1372</v>
      </c>
      <c r="KO31" s="92" t="s">
        <v>1373</v>
      </c>
      <c r="KP31" s="92" t="s">
        <v>1401</v>
      </c>
      <c r="KQ31" s="92" t="s">
        <v>192</v>
      </c>
      <c r="KR31" s="92"/>
      <c r="KS31" s="92" t="s">
        <v>1343</v>
      </c>
      <c r="KT31" s="92" t="s">
        <v>1402</v>
      </c>
      <c r="KU31" s="92"/>
      <c r="KV31" s="92" t="s">
        <v>1345</v>
      </c>
      <c r="KW31" s="92" t="s">
        <v>1402</v>
      </c>
      <c r="KX31" s="92" t="s">
        <v>1376</v>
      </c>
      <c r="KY31" s="92" t="s">
        <v>1377</v>
      </c>
      <c r="KZ31" s="92" t="s">
        <v>1403</v>
      </c>
      <c r="LA31" s="92" t="s">
        <v>109</v>
      </c>
      <c r="LB31" s="92" t="s">
        <v>109</v>
      </c>
      <c r="LC31" s="92" t="s">
        <v>4439</v>
      </c>
      <c r="LD31" s="92" t="s">
        <v>1372</v>
      </c>
      <c r="LE31" s="92" t="s">
        <v>192</v>
      </c>
      <c r="LF31" s="92" t="s">
        <v>192</v>
      </c>
    </row>
    <row r="32" spans="1:318" x14ac:dyDescent="0.25">
      <c r="A32" t="s">
        <v>1595</v>
      </c>
      <c r="B32" t="s">
        <v>1596</v>
      </c>
      <c r="C32" t="s">
        <v>1304</v>
      </c>
      <c r="D32" t="s">
        <v>1429</v>
      </c>
      <c r="E32" t="s">
        <v>1381</v>
      </c>
      <c r="G32" t="s">
        <v>1319</v>
      </c>
      <c r="H32">
        <v>2</v>
      </c>
      <c r="I32" t="s">
        <v>1358</v>
      </c>
      <c r="J32" t="s">
        <v>1430</v>
      </c>
      <c r="K32" t="s">
        <v>1309</v>
      </c>
      <c r="L32" t="s">
        <v>1309</v>
      </c>
      <c r="M32" t="s">
        <v>1310</v>
      </c>
      <c r="N32" t="s">
        <v>1309</v>
      </c>
      <c r="O32" t="s">
        <v>1309</v>
      </c>
      <c r="P32" t="s">
        <v>1309</v>
      </c>
      <c r="Q32" t="s">
        <v>1309</v>
      </c>
      <c r="R32" t="s">
        <v>1309</v>
      </c>
      <c r="T32">
        <v>1</v>
      </c>
      <c r="U32" t="s">
        <v>1312</v>
      </c>
      <c r="V32" t="s">
        <v>1312</v>
      </c>
      <c r="W32" t="s">
        <v>1312</v>
      </c>
      <c r="X32" t="s">
        <v>1312</v>
      </c>
      <c r="Y32" t="s">
        <v>1312</v>
      </c>
      <c r="Z32" t="s">
        <v>1312</v>
      </c>
      <c r="AC32">
        <v>2</v>
      </c>
      <c r="AD32">
        <v>6500</v>
      </c>
      <c r="AE32">
        <v>5000</v>
      </c>
      <c r="AF32" t="s">
        <v>1313</v>
      </c>
      <c r="AH32" t="s">
        <v>1536</v>
      </c>
      <c r="AJ32" t="s">
        <v>1315</v>
      </c>
      <c r="AL32" t="s">
        <v>1354</v>
      </c>
      <c r="BS32" t="s">
        <v>1307</v>
      </c>
      <c r="CE32" t="s">
        <v>1597</v>
      </c>
      <c r="CF32" t="s">
        <v>1309</v>
      </c>
      <c r="CG32" t="s">
        <v>1309</v>
      </c>
      <c r="CH32" t="s">
        <v>1309</v>
      </c>
      <c r="CI32" t="s">
        <v>1309</v>
      </c>
      <c r="CJ32" t="s">
        <v>1309</v>
      </c>
      <c r="CK32" t="s">
        <v>1309</v>
      </c>
      <c r="CL32" t="s">
        <v>1310</v>
      </c>
      <c r="CM32" t="s">
        <v>1309</v>
      </c>
      <c r="CN32" t="s">
        <v>1309</v>
      </c>
      <c r="CO32" t="s">
        <v>1309</v>
      </c>
      <c r="CP32" t="s">
        <v>1309</v>
      </c>
      <c r="CQ32" t="s">
        <v>1309</v>
      </c>
      <c r="CR32" t="s">
        <v>1309</v>
      </c>
      <c r="CT32" t="s">
        <v>4434</v>
      </c>
      <c r="CV32" t="s">
        <v>1357</v>
      </c>
      <c r="CW32" t="s">
        <v>1309</v>
      </c>
      <c r="CX32" t="s">
        <v>1309</v>
      </c>
      <c r="CY32" t="s">
        <v>1309</v>
      </c>
      <c r="CZ32" t="s">
        <v>1309</v>
      </c>
      <c r="DA32" t="s">
        <v>1310</v>
      </c>
      <c r="DB32" t="s">
        <v>1309</v>
      </c>
      <c r="DC32" t="s">
        <v>1309</v>
      </c>
      <c r="DE32" t="s">
        <v>1358</v>
      </c>
      <c r="DG32">
        <v>500</v>
      </c>
      <c r="DI32">
        <v>150</v>
      </c>
      <c r="DJ32" t="s">
        <v>1358</v>
      </c>
      <c r="DK32">
        <v>800</v>
      </c>
      <c r="DM32">
        <v>150</v>
      </c>
      <c r="DN32" t="s">
        <v>1320</v>
      </c>
      <c r="DO32" t="s">
        <v>1310</v>
      </c>
      <c r="DP32" t="s">
        <v>1309</v>
      </c>
      <c r="DQ32" t="s">
        <v>1309</v>
      </c>
      <c r="DR32" t="s">
        <v>1309</v>
      </c>
      <c r="DS32" t="s">
        <v>1309</v>
      </c>
      <c r="DT32" t="s">
        <v>1310</v>
      </c>
      <c r="DU32" t="s">
        <v>1309</v>
      </c>
      <c r="DV32" t="s">
        <v>1309</v>
      </c>
      <c r="DW32" t="s">
        <v>1309</v>
      </c>
      <c r="DY32" t="s">
        <v>1419</v>
      </c>
      <c r="DZ32">
        <v>300</v>
      </c>
      <c r="EA32" t="s">
        <v>1319</v>
      </c>
      <c r="EC32" t="s">
        <v>1360</v>
      </c>
      <c r="ED32">
        <v>930</v>
      </c>
      <c r="EE32" t="s">
        <v>1319</v>
      </c>
      <c r="EG32" t="s">
        <v>5356</v>
      </c>
      <c r="EI32" t="s">
        <v>1307</v>
      </c>
      <c r="ET32" t="s">
        <v>1307</v>
      </c>
      <c r="EV32" t="s">
        <v>1307</v>
      </c>
      <c r="EX32" t="s">
        <v>1319</v>
      </c>
      <c r="EY32" t="s">
        <v>1319</v>
      </c>
      <c r="FA32" t="s">
        <v>1598</v>
      </c>
      <c r="FB32" t="s">
        <v>1310</v>
      </c>
      <c r="FC32" t="s">
        <v>1310</v>
      </c>
      <c r="FD32" t="s">
        <v>1310</v>
      </c>
      <c r="FE32" t="s">
        <v>1310</v>
      </c>
      <c r="FF32" t="s">
        <v>1309</v>
      </c>
      <c r="FG32" t="s">
        <v>1310</v>
      </c>
      <c r="FH32" t="s">
        <v>1310</v>
      </c>
      <c r="FI32" t="s">
        <v>1310</v>
      </c>
      <c r="FJ32" t="s">
        <v>1310</v>
      </c>
      <c r="FK32" t="s">
        <v>1310</v>
      </c>
      <c r="FL32" t="s">
        <v>1309</v>
      </c>
      <c r="FM32" t="s">
        <v>1310</v>
      </c>
      <c r="FN32" t="s">
        <v>1309</v>
      </c>
      <c r="FO32" t="s">
        <v>1310</v>
      </c>
      <c r="FP32" t="s">
        <v>1309</v>
      </c>
      <c r="FQ32" t="s">
        <v>1309</v>
      </c>
      <c r="FR32" t="s">
        <v>1309</v>
      </c>
      <c r="FT32" t="s">
        <v>1319</v>
      </c>
      <c r="FU32" t="s">
        <v>1599</v>
      </c>
      <c r="FV32" t="s">
        <v>1309</v>
      </c>
      <c r="FW32" t="s">
        <v>1309</v>
      </c>
      <c r="FX32" t="s">
        <v>1309</v>
      </c>
      <c r="FY32" t="s">
        <v>1309</v>
      </c>
      <c r="FZ32" t="s">
        <v>1309</v>
      </c>
      <c r="GA32" t="s">
        <v>1310</v>
      </c>
      <c r="GB32" t="s">
        <v>1309</v>
      </c>
      <c r="GC32" t="s">
        <v>1309</v>
      </c>
      <c r="GD32" t="s">
        <v>1309</v>
      </c>
      <c r="GE32" t="s">
        <v>1309</v>
      </c>
      <c r="GF32" t="s">
        <v>1309</v>
      </c>
      <c r="GG32" t="s">
        <v>1309</v>
      </c>
      <c r="GI32" t="s">
        <v>1436</v>
      </c>
      <c r="GJ32" t="s">
        <v>1436</v>
      </c>
      <c r="GK32" t="s">
        <v>1319</v>
      </c>
      <c r="GL32" t="s">
        <v>1600</v>
      </c>
      <c r="GM32" t="s">
        <v>1310</v>
      </c>
      <c r="GN32" t="s">
        <v>1309</v>
      </c>
      <c r="GO32" t="s">
        <v>1310</v>
      </c>
      <c r="GP32" t="s">
        <v>1309</v>
      </c>
      <c r="GQ32" t="s">
        <v>1309</v>
      </c>
      <c r="GR32" t="s">
        <v>1309</v>
      </c>
      <c r="GT32" t="s">
        <v>1325</v>
      </c>
      <c r="GU32" t="s">
        <v>1310</v>
      </c>
      <c r="GV32" t="s">
        <v>1309</v>
      </c>
      <c r="GW32" t="s">
        <v>1309</v>
      </c>
      <c r="GX32" t="s">
        <v>1309</v>
      </c>
      <c r="GY32" t="s">
        <v>1309</v>
      </c>
      <c r="GZ32" t="s">
        <v>1309</v>
      </c>
      <c r="HA32" t="s">
        <v>1309</v>
      </c>
      <c r="HB32" t="s">
        <v>1309</v>
      </c>
      <c r="HC32" t="s">
        <v>1309</v>
      </c>
      <c r="HD32" t="s">
        <v>1309</v>
      </c>
      <c r="HE32" t="s">
        <v>1309</v>
      </c>
      <c r="HF32" t="s">
        <v>1309</v>
      </c>
      <c r="HH32" t="s">
        <v>1363</v>
      </c>
      <c r="HI32" t="s">
        <v>1363</v>
      </c>
      <c r="HJ32" t="s">
        <v>1363</v>
      </c>
      <c r="HK32" t="s">
        <v>1327</v>
      </c>
      <c r="HL32" t="s">
        <v>1364</v>
      </c>
      <c r="HM32" t="s">
        <v>1363</v>
      </c>
      <c r="IA32" t="s">
        <v>1319</v>
      </c>
      <c r="IB32" t="s">
        <v>1601</v>
      </c>
      <c r="IC32" t="s">
        <v>1310</v>
      </c>
      <c r="ID32" t="s">
        <v>1309</v>
      </c>
      <c r="IE32" t="s">
        <v>1309</v>
      </c>
      <c r="IF32" t="s">
        <v>1309</v>
      </c>
      <c r="IG32" t="s">
        <v>1309</v>
      </c>
      <c r="IH32" t="s">
        <v>1309</v>
      </c>
      <c r="II32" t="s">
        <v>1309</v>
      </c>
      <c r="IJ32" t="s">
        <v>1309</v>
      </c>
      <c r="IK32" t="s">
        <v>1309</v>
      </c>
      <c r="IL32" t="s">
        <v>1309</v>
      </c>
      <c r="IM32" t="s">
        <v>1309</v>
      </c>
      <c r="IN32" t="s">
        <v>1309</v>
      </c>
      <c r="IO32" t="s">
        <v>1309</v>
      </c>
      <c r="IQ32" t="s">
        <v>1330</v>
      </c>
      <c r="IS32" t="s">
        <v>1354</v>
      </c>
      <c r="JF32" t="s">
        <v>1354</v>
      </c>
      <c r="JG32" t="s">
        <v>1566</v>
      </c>
      <c r="JH32" t="s">
        <v>1310</v>
      </c>
      <c r="JI32" t="s">
        <v>1309</v>
      </c>
      <c r="JJ32" t="s">
        <v>1309</v>
      </c>
      <c r="JK32" t="s">
        <v>1309</v>
      </c>
      <c r="JL32" t="s">
        <v>1310</v>
      </c>
      <c r="JM32" t="s">
        <v>1309</v>
      </c>
      <c r="JN32" t="s">
        <v>1309</v>
      </c>
      <c r="JO32" t="s">
        <v>1309</v>
      </c>
      <c r="JQ32" s="92" t="s">
        <v>1394</v>
      </c>
      <c r="JR32" s="92" t="s">
        <v>1496</v>
      </c>
      <c r="JS32" s="92">
        <v>66</v>
      </c>
      <c r="JT32" s="92" t="s">
        <v>1319</v>
      </c>
      <c r="JU32" s="92" t="s">
        <v>1396</v>
      </c>
      <c r="JV32" s="92" t="s">
        <v>1336</v>
      </c>
      <c r="JW32" s="92" t="s">
        <v>1296</v>
      </c>
      <c r="JX32" s="92" t="s">
        <v>71</v>
      </c>
      <c r="JY32" s="92" t="s">
        <v>1397</v>
      </c>
      <c r="JZ32" s="92" t="s">
        <v>1369</v>
      </c>
      <c r="KA32" s="92" t="s">
        <v>4845</v>
      </c>
      <c r="KB32" s="92" t="s">
        <v>1476</v>
      </c>
      <c r="KC32" s="92" t="s">
        <v>109</v>
      </c>
      <c r="KD32" s="92" t="s">
        <v>4847</v>
      </c>
      <c r="KE32" s="92" t="s">
        <v>1424</v>
      </c>
      <c r="KF32" s="92">
        <v>650</v>
      </c>
      <c r="KG32" s="92" t="s">
        <v>1372</v>
      </c>
      <c r="KH32" s="92" t="s">
        <v>192</v>
      </c>
      <c r="KI32" s="92" t="s">
        <v>109</v>
      </c>
      <c r="KJ32" s="92" t="s">
        <v>192</v>
      </c>
      <c r="KK32" s="92" t="s">
        <v>109</v>
      </c>
      <c r="KL32" s="92" t="s">
        <v>1374</v>
      </c>
      <c r="KM32" s="92">
        <v>950</v>
      </c>
      <c r="KN32" s="92" t="s">
        <v>4438</v>
      </c>
      <c r="KO32" s="92" t="s">
        <v>1374</v>
      </c>
      <c r="KP32" s="92" t="s">
        <v>1375</v>
      </c>
      <c r="KQ32" s="92" t="s">
        <v>192</v>
      </c>
      <c r="KR32" s="92">
        <v>46</v>
      </c>
      <c r="KS32" s="92" t="s">
        <v>1343</v>
      </c>
      <c r="KT32" s="92" t="s">
        <v>1344</v>
      </c>
      <c r="KU32" s="92">
        <v>98</v>
      </c>
      <c r="KV32" s="92" t="s">
        <v>1461</v>
      </c>
      <c r="KW32" s="92" t="s">
        <v>1344</v>
      </c>
      <c r="KX32" s="92" t="s">
        <v>1376</v>
      </c>
      <c r="KY32" s="92" t="s">
        <v>1377</v>
      </c>
      <c r="KZ32" s="92" t="s">
        <v>1403</v>
      </c>
      <c r="LA32" s="92" t="s">
        <v>109</v>
      </c>
      <c r="LB32" s="92" t="s">
        <v>109</v>
      </c>
      <c r="LC32" s="92" t="s">
        <v>4438</v>
      </c>
      <c r="LD32" s="92" t="s">
        <v>4438</v>
      </c>
      <c r="LE32" s="92" t="s">
        <v>109</v>
      </c>
      <c r="LF32" s="92" t="s">
        <v>109</v>
      </c>
    </row>
    <row r="33" spans="1:318" x14ac:dyDescent="0.25">
      <c r="A33" t="s">
        <v>1602</v>
      </c>
      <c r="B33" t="s">
        <v>1603</v>
      </c>
      <c r="C33" t="s">
        <v>1304</v>
      </c>
      <c r="D33" t="s">
        <v>1305</v>
      </c>
      <c r="E33" t="s">
        <v>1306</v>
      </c>
      <c r="G33" t="s">
        <v>1307</v>
      </c>
      <c r="H33">
        <v>4</v>
      </c>
      <c r="I33" t="s">
        <v>1307</v>
      </c>
      <c r="J33" t="s">
        <v>1308</v>
      </c>
      <c r="K33" t="s">
        <v>1309</v>
      </c>
      <c r="L33" t="s">
        <v>1309</v>
      </c>
      <c r="M33" t="s">
        <v>1309</v>
      </c>
      <c r="N33" t="s">
        <v>1309</v>
      </c>
      <c r="O33" t="s">
        <v>1309</v>
      </c>
      <c r="P33" t="s">
        <v>1309</v>
      </c>
      <c r="Q33" t="s">
        <v>1310</v>
      </c>
      <c r="R33" t="s">
        <v>1309</v>
      </c>
      <c r="U33" t="s">
        <v>1312</v>
      </c>
      <c r="V33" t="s">
        <v>1312</v>
      </c>
      <c r="W33" t="s">
        <v>1312</v>
      </c>
      <c r="X33" t="s">
        <v>1312</v>
      </c>
      <c r="Y33" t="s">
        <v>1312</v>
      </c>
      <c r="Z33" t="s">
        <v>1312</v>
      </c>
      <c r="AC33">
        <v>2</v>
      </c>
      <c r="AE33">
        <v>10000</v>
      </c>
      <c r="AF33" t="s">
        <v>1351</v>
      </c>
      <c r="AH33" t="s">
        <v>1352</v>
      </c>
      <c r="AJ33" t="s">
        <v>1315</v>
      </c>
      <c r="AL33" t="s">
        <v>1331</v>
      </c>
      <c r="BS33" t="s">
        <v>1319</v>
      </c>
      <c r="BT33" t="s">
        <v>1604</v>
      </c>
      <c r="BU33" t="s">
        <v>1309</v>
      </c>
      <c r="BV33" t="s">
        <v>1309</v>
      </c>
      <c r="BW33" t="s">
        <v>1309</v>
      </c>
      <c r="BX33" t="s">
        <v>1309</v>
      </c>
      <c r="BY33" t="s">
        <v>1310</v>
      </c>
      <c r="BZ33" t="s">
        <v>1309</v>
      </c>
      <c r="CA33" t="s">
        <v>1309</v>
      </c>
      <c r="CB33" t="s">
        <v>1309</v>
      </c>
      <c r="CC33" t="s">
        <v>1309</v>
      </c>
      <c r="CE33" t="s">
        <v>1605</v>
      </c>
      <c r="CF33" t="s">
        <v>1310</v>
      </c>
      <c r="CG33" t="s">
        <v>1309</v>
      </c>
      <c r="CH33" t="s">
        <v>1309</v>
      </c>
      <c r="CI33" t="s">
        <v>1309</v>
      </c>
      <c r="CJ33" t="s">
        <v>1309</v>
      </c>
      <c r="CK33" t="s">
        <v>1309</v>
      </c>
      <c r="CL33" t="s">
        <v>1309</v>
      </c>
      <c r="CM33" t="s">
        <v>1309</v>
      </c>
      <c r="CN33" t="s">
        <v>1310</v>
      </c>
      <c r="CO33" t="s">
        <v>1310</v>
      </c>
      <c r="CP33" t="s">
        <v>1309</v>
      </c>
      <c r="CQ33" t="s">
        <v>1309</v>
      </c>
      <c r="CR33" t="s">
        <v>1309</v>
      </c>
      <c r="CT33" t="s">
        <v>4434</v>
      </c>
      <c r="CV33" t="s">
        <v>1488</v>
      </c>
      <c r="CW33" t="s">
        <v>1309</v>
      </c>
      <c r="CX33" t="s">
        <v>1309</v>
      </c>
      <c r="CY33" t="s">
        <v>1309</v>
      </c>
      <c r="CZ33" t="s">
        <v>1310</v>
      </c>
      <c r="DA33" t="s">
        <v>1310</v>
      </c>
      <c r="DB33" t="s">
        <v>1309</v>
      </c>
      <c r="DC33" t="s">
        <v>1309</v>
      </c>
      <c r="DE33" t="s">
        <v>1358</v>
      </c>
      <c r="DG33">
        <v>4500</v>
      </c>
      <c r="DI33">
        <v>850</v>
      </c>
      <c r="DJ33" t="s">
        <v>1358</v>
      </c>
      <c r="DK33">
        <v>4800</v>
      </c>
      <c r="DM33">
        <v>900</v>
      </c>
      <c r="DN33" t="s">
        <v>1445</v>
      </c>
      <c r="DO33" t="s">
        <v>1310</v>
      </c>
      <c r="DP33" t="s">
        <v>1310</v>
      </c>
      <c r="DQ33" t="s">
        <v>1309</v>
      </c>
      <c r="DR33" t="s">
        <v>1309</v>
      </c>
      <c r="DS33" t="s">
        <v>1309</v>
      </c>
      <c r="DT33" t="s">
        <v>1310</v>
      </c>
      <c r="DU33" t="s">
        <v>1309</v>
      </c>
      <c r="DV33" t="s">
        <v>1309</v>
      </c>
      <c r="DW33" t="s">
        <v>1309</v>
      </c>
      <c r="DY33" t="s">
        <v>1490</v>
      </c>
      <c r="DZ33">
        <v>400</v>
      </c>
      <c r="EA33" t="s">
        <v>1319</v>
      </c>
      <c r="EC33" t="s">
        <v>1504</v>
      </c>
      <c r="EG33" t="s">
        <v>5356</v>
      </c>
      <c r="EI33" t="s">
        <v>1307</v>
      </c>
      <c r="ET33" t="s">
        <v>1307</v>
      </c>
      <c r="EV33" t="s">
        <v>1319</v>
      </c>
      <c r="EW33" t="s">
        <v>1361</v>
      </c>
      <c r="EX33" t="s">
        <v>1319</v>
      </c>
      <c r="EY33" t="s">
        <v>1319</v>
      </c>
      <c r="EZ33" t="s">
        <v>1319</v>
      </c>
      <c r="FA33" t="s">
        <v>1606</v>
      </c>
      <c r="FB33" t="s">
        <v>1309</v>
      </c>
      <c r="FC33" t="s">
        <v>1309</v>
      </c>
      <c r="FD33" t="s">
        <v>1309</v>
      </c>
      <c r="FE33" t="s">
        <v>1310</v>
      </c>
      <c r="FF33" t="s">
        <v>1310</v>
      </c>
      <c r="FG33" t="s">
        <v>1309</v>
      </c>
      <c r="FH33" t="s">
        <v>1309</v>
      </c>
      <c r="FI33" t="s">
        <v>1310</v>
      </c>
      <c r="FJ33" t="s">
        <v>1309</v>
      </c>
      <c r="FK33" t="s">
        <v>1309</v>
      </c>
      <c r="FL33" t="s">
        <v>1309</v>
      </c>
      <c r="FM33" t="s">
        <v>1310</v>
      </c>
      <c r="FN33" t="s">
        <v>1309</v>
      </c>
      <c r="FO33" t="s">
        <v>1309</v>
      </c>
      <c r="FP33" t="s">
        <v>1309</v>
      </c>
      <c r="FQ33" t="s">
        <v>1309</v>
      </c>
      <c r="FR33" t="s">
        <v>1309</v>
      </c>
      <c r="FT33" t="s">
        <v>1307</v>
      </c>
      <c r="GI33" t="s">
        <v>1324</v>
      </c>
      <c r="GJ33" t="s">
        <v>1324</v>
      </c>
      <c r="GT33" t="s">
        <v>1325</v>
      </c>
      <c r="GU33" t="s">
        <v>1310</v>
      </c>
      <c r="GV33" t="s">
        <v>1309</v>
      </c>
      <c r="GW33" t="s">
        <v>1309</v>
      </c>
      <c r="GX33" t="s">
        <v>1309</v>
      </c>
      <c r="GY33" t="s">
        <v>1309</v>
      </c>
      <c r="GZ33" t="s">
        <v>1309</v>
      </c>
      <c r="HA33" t="s">
        <v>1309</v>
      </c>
      <c r="HB33" t="s">
        <v>1309</v>
      </c>
      <c r="HC33" t="s">
        <v>1309</v>
      </c>
      <c r="HD33" t="s">
        <v>1309</v>
      </c>
      <c r="HE33" t="s">
        <v>1309</v>
      </c>
      <c r="HF33" t="s">
        <v>1309</v>
      </c>
      <c r="HH33" t="s">
        <v>1326</v>
      </c>
      <c r="HI33" t="s">
        <v>1327</v>
      </c>
      <c r="HJ33" t="s">
        <v>1326</v>
      </c>
      <c r="HK33" t="s">
        <v>1327</v>
      </c>
      <c r="HL33" t="s">
        <v>1364</v>
      </c>
      <c r="HM33" t="s">
        <v>1326</v>
      </c>
      <c r="IA33" t="s">
        <v>1319</v>
      </c>
      <c r="IB33" t="s">
        <v>1607</v>
      </c>
      <c r="IC33" t="s">
        <v>1310</v>
      </c>
      <c r="ID33" t="s">
        <v>1309</v>
      </c>
      <c r="IE33" t="s">
        <v>1309</v>
      </c>
      <c r="IF33" t="s">
        <v>1309</v>
      </c>
      <c r="IG33" t="s">
        <v>1310</v>
      </c>
      <c r="IH33" t="s">
        <v>1309</v>
      </c>
      <c r="II33" t="s">
        <v>1310</v>
      </c>
      <c r="IJ33" t="s">
        <v>1309</v>
      </c>
      <c r="IK33" t="s">
        <v>1310</v>
      </c>
      <c r="IL33" t="s">
        <v>1309</v>
      </c>
      <c r="IM33" t="s">
        <v>1309</v>
      </c>
      <c r="IN33" t="s">
        <v>1309</v>
      </c>
      <c r="IO33" t="s">
        <v>1309</v>
      </c>
      <c r="IQ33" t="s">
        <v>1308</v>
      </c>
      <c r="IS33" t="s">
        <v>1331</v>
      </c>
      <c r="JF33" t="s">
        <v>1331</v>
      </c>
      <c r="JG33" t="s">
        <v>1414</v>
      </c>
      <c r="JH33" t="s">
        <v>1309</v>
      </c>
      <c r="JI33" t="s">
        <v>1309</v>
      </c>
      <c r="JJ33" t="s">
        <v>1309</v>
      </c>
      <c r="JK33" t="s">
        <v>1309</v>
      </c>
      <c r="JL33" t="s">
        <v>1309</v>
      </c>
      <c r="JM33" t="s">
        <v>1309</v>
      </c>
      <c r="JN33" t="s">
        <v>1310</v>
      </c>
      <c r="JO33" t="s">
        <v>1309</v>
      </c>
      <c r="JQ33" s="92" t="s">
        <v>1333</v>
      </c>
      <c r="JR33" s="92" t="s">
        <v>1608</v>
      </c>
      <c r="JS33" s="92">
        <v>51</v>
      </c>
      <c r="JT33" s="92" t="s">
        <v>1319</v>
      </c>
      <c r="JU33" s="92" t="s">
        <v>1335</v>
      </c>
      <c r="JV33" s="92" t="s">
        <v>1336</v>
      </c>
      <c r="JW33" s="92" t="s">
        <v>1296</v>
      </c>
      <c r="JX33" s="92" t="s">
        <v>71</v>
      </c>
      <c r="JY33" s="92" t="s">
        <v>5549</v>
      </c>
      <c r="JZ33" s="92" t="s">
        <v>1337</v>
      </c>
      <c r="KA33" s="92" t="s">
        <v>4845</v>
      </c>
      <c r="KB33" s="92" t="s">
        <v>1338</v>
      </c>
      <c r="KC33" s="92" t="s">
        <v>109</v>
      </c>
      <c r="KD33" s="92" t="s">
        <v>4847</v>
      </c>
      <c r="KE33" s="92" t="s">
        <v>1340</v>
      </c>
      <c r="KF33" s="92">
        <v>5350</v>
      </c>
      <c r="KG33" s="92" t="s">
        <v>1340</v>
      </c>
      <c r="KH33" s="92" t="s">
        <v>192</v>
      </c>
      <c r="KI33" s="92" t="s">
        <v>109</v>
      </c>
      <c r="KJ33" s="92" t="s">
        <v>192</v>
      </c>
      <c r="KK33" s="92" t="s">
        <v>109</v>
      </c>
      <c r="KL33" s="92" t="s">
        <v>1341</v>
      </c>
      <c r="KM33" s="92">
        <v>5700</v>
      </c>
      <c r="KN33" s="92" t="s">
        <v>1340</v>
      </c>
      <c r="KO33" s="92" t="s">
        <v>1341</v>
      </c>
      <c r="KP33" s="92" t="s">
        <v>1375</v>
      </c>
      <c r="KQ33" s="92" t="s">
        <v>192</v>
      </c>
      <c r="KR33" s="92">
        <v>7</v>
      </c>
      <c r="KS33" s="92" t="s">
        <v>1343</v>
      </c>
      <c r="KT33" s="92" t="s">
        <v>1344</v>
      </c>
      <c r="KU33" s="92"/>
      <c r="KV33" s="92" t="s">
        <v>5554</v>
      </c>
      <c r="KW33" s="92"/>
      <c r="KX33" s="92" t="s">
        <v>1346</v>
      </c>
      <c r="KY33" s="92" t="s">
        <v>1508</v>
      </c>
      <c r="KZ33" s="92" t="s">
        <v>5795</v>
      </c>
      <c r="LA33" s="92" t="s">
        <v>109</v>
      </c>
      <c r="LB33" s="92" t="s">
        <v>109</v>
      </c>
      <c r="LC33" s="92" t="s">
        <v>5566</v>
      </c>
      <c r="LD33" s="92" t="s">
        <v>5566</v>
      </c>
      <c r="LE33" s="92"/>
      <c r="LF33" s="92"/>
    </row>
    <row r="34" spans="1:318" x14ac:dyDescent="0.25">
      <c r="A34" t="s">
        <v>1609</v>
      </c>
      <c r="B34" t="s">
        <v>1610</v>
      </c>
      <c r="C34" t="s">
        <v>1304</v>
      </c>
      <c r="D34" t="s">
        <v>1429</v>
      </c>
      <c r="E34" t="s">
        <v>1306</v>
      </c>
      <c r="G34" t="s">
        <v>1307</v>
      </c>
      <c r="H34">
        <v>3</v>
      </c>
      <c r="I34" t="s">
        <v>1307</v>
      </c>
      <c r="J34" t="s">
        <v>1308</v>
      </c>
      <c r="K34" t="s">
        <v>1309</v>
      </c>
      <c r="L34" t="s">
        <v>1309</v>
      </c>
      <c r="M34" t="s">
        <v>1309</v>
      </c>
      <c r="N34" t="s">
        <v>1309</v>
      </c>
      <c r="O34" t="s">
        <v>1309</v>
      </c>
      <c r="P34" t="s">
        <v>1309</v>
      </c>
      <c r="Q34" t="s">
        <v>1310</v>
      </c>
      <c r="R34" t="s">
        <v>1309</v>
      </c>
      <c r="U34" t="s">
        <v>1311</v>
      </c>
      <c r="V34" t="s">
        <v>1312</v>
      </c>
      <c r="W34" t="s">
        <v>1312</v>
      </c>
      <c r="X34" t="s">
        <v>1312</v>
      </c>
      <c r="Y34" t="s">
        <v>1312</v>
      </c>
      <c r="Z34" t="s">
        <v>1312</v>
      </c>
      <c r="AC34">
        <v>2</v>
      </c>
      <c r="AE34">
        <v>9000</v>
      </c>
      <c r="AF34" t="s">
        <v>1351</v>
      </c>
      <c r="AH34" t="s">
        <v>1383</v>
      </c>
      <c r="AJ34" t="s">
        <v>1315</v>
      </c>
      <c r="AL34" t="s">
        <v>1316</v>
      </c>
      <c r="BS34" t="s">
        <v>1307</v>
      </c>
      <c r="CE34" t="s">
        <v>1611</v>
      </c>
      <c r="CF34" t="s">
        <v>1310</v>
      </c>
      <c r="CG34" t="s">
        <v>1309</v>
      </c>
      <c r="CH34" t="s">
        <v>1309</v>
      </c>
      <c r="CI34" t="s">
        <v>1309</v>
      </c>
      <c r="CJ34" t="s">
        <v>1309</v>
      </c>
      <c r="CK34" t="s">
        <v>1309</v>
      </c>
      <c r="CL34" t="s">
        <v>1309</v>
      </c>
      <c r="CM34" t="s">
        <v>1309</v>
      </c>
      <c r="CN34" t="s">
        <v>1310</v>
      </c>
      <c r="CO34" t="s">
        <v>1310</v>
      </c>
      <c r="CP34" t="s">
        <v>1309</v>
      </c>
      <c r="CQ34" t="s">
        <v>1309</v>
      </c>
      <c r="CR34" t="s">
        <v>1309</v>
      </c>
      <c r="CT34" t="s">
        <v>4435</v>
      </c>
      <c r="CV34" t="s">
        <v>1357</v>
      </c>
      <c r="CW34" t="s">
        <v>1309</v>
      </c>
      <c r="CX34" t="s">
        <v>1309</v>
      </c>
      <c r="CY34" t="s">
        <v>1309</v>
      </c>
      <c r="CZ34" t="s">
        <v>1309</v>
      </c>
      <c r="DA34" t="s">
        <v>1310</v>
      </c>
      <c r="DB34" t="s">
        <v>1309</v>
      </c>
      <c r="DC34" t="s">
        <v>1309</v>
      </c>
      <c r="DE34" t="s">
        <v>1318</v>
      </c>
      <c r="DF34" t="s">
        <v>1319</v>
      </c>
      <c r="DG34">
        <v>800</v>
      </c>
      <c r="DH34">
        <v>3500</v>
      </c>
      <c r="DI34">
        <v>500</v>
      </c>
      <c r="DJ34" t="s">
        <v>1318</v>
      </c>
      <c r="DK34">
        <v>1000</v>
      </c>
      <c r="DL34">
        <v>4200</v>
      </c>
      <c r="DM34">
        <v>650</v>
      </c>
      <c r="DN34" t="s">
        <v>1445</v>
      </c>
      <c r="DO34" t="s">
        <v>1310</v>
      </c>
      <c r="DP34" t="s">
        <v>1310</v>
      </c>
      <c r="DQ34" t="s">
        <v>1309</v>
      </c>
      <c r="DR34" t="s">
        <v>1309</v>
      </c>
      <c r="DS34" t="s">
        <v>1309</v>
      </c>
      <c r="DT34" t="s">
        <v>1310</v>
      </c>
      <c r="DU34" t="s">
        <v>1309</v>
      </c>
      <c r="DV34" t="s">
        <v>1309</v>
      </c>
      <c r="DW34" t="s">
        <v>1309</v>
      </c>
      <c r="DY34" t="s">
        <v>1433</v>
      </c>
      <c r="DZ34">
        <v>500</v>
      </c>
      <c r="EA34" t="s">
        <v>1319</v>
      </c>
      <c r="EC34" t="s">
        <v>1457</v>
      </c>
      <c r="ED34">
        <v>800</v>
      </c>
      <c r="EE34" t="s">
        <v>1319</v>
      </c>
      <c r="EG34" t="s">
        <v>5357</v>
      </c>
      <c r="ET34" t="s">
        <v>1434</v>
      </c>
      <c r="EV34" t="s">
        <v>1307</v>
      </c>
      <c r="EX34" t="s">
        <v>1307</v>
      </c>
      <c r="EY34" t="s">
        <v>1307</v>
      </c>
      <c r="FT34" t="s">
        <v>1307</v>
      </c>
      <c r="GI34" t="s">
        <v>1436</v>
      </c>
      <c r="GJ34" t="s">
        <v>1436</v>
      </c>
      <c r="GK34" t="s">
        <v>1307</v>
      </c>
      <c r="GT34" t="s">
        <v>1325</v>
      </c>
      <c r="GU34" t="s">
        <v>1310</v>
      </c>
      <c r="GV34" t="s">
        <v>1309</v>
      </c>
      <c r="GW34" t="s">
        <v>1309</v>
      </c>
      <c r="GX34" t="s">
        <v>1309</v>
      </c>
      <c r="GY34" t="s">
        <v>1309</v>
      </c>
      <c r="GZ34" t="s">
        <v>1309</v>
      </c>
      <c r="HA34" t="s">
        <v>1309</v>
      </c>
      <c r="HB34" t="s">
        <v>1309</v>
      </c>
      <c r="HC34" t="s">
        <v>1309</v>
      </c>
      <c r="HD34" t="s">
        <v>1309</v>
      </c>
      <c r="HE34" t="s">
        <v>1309</v>
      </c>
      <c r="HF34" t="s">
        <v>1309</v>
      </c>
      <c r="HH34" t="s">
        <v>1326</v>
      </c>
      <c r="HI34" t="s">
        <v>1327</v>
      </c>
      <c r="HJ34" t="s">
        <v>1390</v>
      </c>
      <c r="HK34" t="s">
        <v>1308</v>
      </c>
      <c r="HL34" t="s">
        <v>1364</v>
      </c>
      <c r="HM34" t="s">
        <v>1390</v>
      </c>
      <c r="IA34" t="s">
        <v>1307</v>
      </c>
      <c r="IQ34" t="s">
        <v>1365</v>
      </c>
      <c r="IS34" t="s">
        <v>1331</v>
      </c>
      <c r="JF34" t="s">
        <v>1331</v>
      </c>
      <c r="JG34" t="s">
        <v>1332</v>
      </c>
      <c r="JH34" t="s">
        <v>1309</v>
      </c>
      <c r="JI34" t="s">
        <v>1309</v>
      </c>
      <c r="JJ34" t="s">
        <v>1309</v>
      </c>
      <c r="JK34" t="s">
        <v>1309</v>
      </c>
      <c r="JL34" t="s">
        <v>1310</v>
      </c>
      <c r="JM34" t="s">
        <v>1309</v>
      </c>
      <c r="JN34" t="s">
        <v>1309</v>
      </c>
      <c r="JO34" t="s">
        <v>1309</v>
      </c>
      <c r="JQ34" s="92" t="s">
        <v>1333</v>
      </c>
      <c r="JR34" s="92" t="s">
        <v>1334</v>
      </c>
      <c r="JS34" s="92">
        <v>48</v>
      </c>
      <c r="JT34" s="92" t="s">
        <v>1319</v>
      </c>
      <c r="JU34" s="92" t="s">
        <v>1335</v>
      </c>
      <c r="JV34" s="92" t="s">
        <v>1336</v>
      </c>
      <c r="JW34" s="92" t="s">
        <v>1296</v>
      </c>
      <c r="JX34" s="92" t="s">
        <v>71</v>
      </c>
      <c r="JY34" s="92" t="s">
        <v>5549</v>
      </c>
      <c r="JZ34" s="92" t="s">
        <v>1337</v>
      </c>
      <c r="KA34" s="92" t="s">
        <v>4845</v>
      </c>
      <c r="KB34" s="92" t="s">
        <v>1338</v>
      </c>
      <c r="KC34" s="92" t="s">
        <v>109</v>
      </c>
      <c r="KD34" s="92" t="s">
        <v>4847</v>
      </c>
      <c r="KE34" s="92" t="s">
        <v>1340</v>
      </c>
      <c r="KF34" s="92">
        <v>4800</v>
      </c>
      <c r="KG34" s="92" t="s">
        <v>1340</v>
      </c>
      <c r="KH34" s="92" t="s">
        <v>192</v>
      </c>
      <c r="KI34" s="92" t="s">
        <v>192</v>
      </c>
      <c r="KJ34" s="92" t="s">
        <v>192</v>
      </c>
      <c r="KK34" s="92" t="s">
        <v>192</v>
      </c>
      <c r="KL34" s="92" t="s">
        <v>1341</v>
      </c>
      <c r="KM34" s="92">
        <v>5850</v>
      </c>
      <c r="KN34" s="92" t="s">
        <v>1340</v>
      </c>
      <c r="KO34" s="92" t="s">
        <v>1341</v>
      </c>
      <c r="KP34" s="92" t="s">
        <v>1375</v>
      </c>
      <c r="KQ34" s="92" t="s">
        <v>192</v>
      </c>
      <c r="KR34" s="92">
        <v>10</v>
      </c>
      <c r="KS34" s="92" t="s">
        <v>1345</v>
      </c>
      <c r="KT34" s="92" t="s">
        <v>1344</v>
      </c>
      <c r="KU34" s="92">
        <v>14</v>
      </c>
      <c r="KV34" s="92" t="s">
        <v>1441</v>
      </c>
      <c r="KW34" s="92" t="s">
        <v>1344</v>
      </c>
      <c r="KX34" s="92" t="s">
        <v>1346</v>
      </c>
      <c r="KY34" s="92" t="s">
        <v>1377</v>
      </c>
      <c r="KZ34" s="92" t="s">
        <v>5795</v>
      </c>
      <c r="LA34" s="92" t="s">
        <v>109</v>
      </c>
      <c r="LB34" s="92" t="s">
        <v>109</v>
      </c>
      <c r="LC34" s="92" t="s">
        <v>5566</v>
      </c>
      <c r="LD34" s="92" t="s">
        <v>5566</v>
      </c>
      <c r="LE34" s="92"/>
      <c r="LF34" s="92"/>
    </row>
    <row r="35" spans="1:318" x14ac:dyDescent="0.25">
      <c r="A35" t="s">
        <v>1612</v>
      </c>
      <c r="B35" t="s">
        <v>1613</v>
      </c>
      <c r="C35" t="s">
        <v>1304</v>
      </c>
      <c r="D35" t="s">
        <v>1305</v>
      </c>
      <c r="E35" t="s">
        <v>1381</v>
      </c>
      <c r="G35" t="s">
        <v>1319</v>
      </c>
      <c r="H35">
        <v>5</v>
      </c>
      <c r="I35" t="s">
        <v>1318</v>
      </c>
      <c r="J35" t="s">
        <v>1614</v>
      </c>
      <c r="K35" t="s">
        <v>1309</v>
      </c>
      <c r="L35" t="s">
        <v>1310</v>
      </c>
      <c r="M35" t="s">
        <v>1310</v>
      </c>
      <c r="N35" t="s">
        <v>1309</v>
      </c>
      <c r="O35" t="s">
        <v>1310</v>
      </c>
      <c r="P35" t="s">
        <v>1309</v>
      </c>
      <c r="Q35" t="s">
        <v>1309</v>
      </c>
      <c r="R35" t="s">
        <v>1309</v>
      </c>
      <c r="S35">
        <v>1</v>
      </c>
      <c r="T35">
        <v>2</v>
      </c>
      <c r="U35" t="s">
        <v>1486</v>
      </c>
      <c r="V35" t="s">
        <v>1312</v>
      </c>
      <c r="W35" t="s">
        <v>1312</v>
      </c>
      <c r="X35" t="s">
        <v>1312</v>
      </c>
      <c r="Y35" t="s">
        <v>1312</v>
      </c>
      <c r="Z35" t="s">
        <v>1312</v>
      </c>
      <c r="AC35">
        <v>3</v>
      </c>
      <c r="AD35">
        <v>4500</v>
      </c>
      <c r="AE35">
        <v>3500</v>
      </c>
      <c r="AF35" t="s">
        <v>1313</v>
      </c>
      <c r="AH35" t="s">
        <v>1352</v>
      </c>
      <c r="AJ35" t="s">
        <v>1315</v>
      </c>
      <c r="AL35" t="s">
        <v>1354</v>
      </c>
      <c r="BS35" t="s">
        <v>1307</v>
      </c>
      <c r="CE35" t="s">
        <v>1597</v>
      </c>
      <c r="CF35" t="s">
        <v>1309</v>
      </c>
      <c r="CG35" t="s">
        <v>1309</v>
      </c>
      <c r="CH35" t="s">
        <v>1309</v>
      </c>
      <c r="CI35" t="s">
        <v>1309</v>
      </c>
      <c r="CJ35" t="s">
        <v>1309</v>
      </c>
      <c r="CK35" t="s">
        <v>1309</v>
      </c>
      <c r="CL35" t="s">
        <v>1310</v>
      </c>
      <c r="CM35" t="s">
        <v>1309</v>
      </c>
      <c r="CN35" t="s">
        <v>1309</v>
      </c>
      <c r="CO35" t="s">
        <v>1309</v>
      </c>
      <c r="CP35" t="s">
        <v>1309</v>
      </c>
      <c r="CQ35" t="s">
        <v>1309</v>
      </c>
      <c r="CR35" t="s">
        <v>1309</v>
      </c>
      <c r="CT35" t="s">
        <v>4434</v>
      </c>
      <c r="CV35" t="s">
        <v>1357</v>
      </c>
      <c r="CW35" t="s">
        <v>1309</v>
      </c>
      <c r="CX35" t="s">
        <v>1309</v>
      </c>
      <c r="CY35" t="s">
        <v>1309</v>
      </c>
      <c r="CZ35" t="s">
        <v>1309</v>
      </c>
      <c r="DA35" t="s">
        <v>1310</v>
      </c>
      <c r="DB35" t="s">
        <v>1309</v>
      </c>
      <c r="DC35" t="s">
        <v>1309</v>
      </c>
      <c r="DE35" t="s">
        <v>1358</v>
      </c>
      <c r="DG35">
        <v>1700</v>
      </c>
      <c r="DI35">
        <v>900</v>
      </c>
      <c r="DJ35" t="s">
        <v>1307</v>
      </c>
      <c r="DK35">
        <v>2500</v>
      </c>
      <c r="DM35">
        <v>1000</v>
      </c>
      <c r="DN35" t="s">
        <v>1615</v>
      </c>
      <c r="DO35" t="s">
        <v>1309</v>
      </c>
      <c r="DP35" t="s">
        <v>1310</v>
      </c>
      <c r="DQ35" t="s">
        <v>1309</v>
      </c>
      <c r="DR35" t="s">
        <v>1310</v>
      </c>
      <c r="DS35" t="s">
        <v>1310</v>
      </c>
      <c r="DT35" t="s">
        <v>1310</v>
      </c>
      <c r="DU35" t="s">
        <v>1309</v>
      </c>
      <c r="DV35" t="s">
        <v>1309</v>
      </c>
      <c r="DW35" t="s">
        <v>1309</v>
      </c>
      <c r="DY35" t="s">
        <v>1616</v>
      </c>
      <c r="DZ35">
        <v>300</v>
      </c>
      <c r="EA35" t="s">
        <v>1319</v>
      </c>
      <c r="EC35" t="s">
        <v>1504</v>
      </c>
      <c r="ED35">
        <v>1000</v>
      </c>
      <c r="EE35" t="s">
        <v>1319</v>
      </c>
      <c r="EG35" t="s">
        <v>5357</v>
      </c>
      <c r="ET35" t="s">
        <v>1307</v>
      </c>
      <c r="EV35" t="s">
        <v>1319</v>
      </c>
      <c r="EW35" t="s">
        <v>1409</v>
      </c>
      <c r="EX35" t="s">
        <v>1319</v>
      </c>
      <c r="EY35" t="s">
        <v>1319</v>
      </c>
      <c r="FA35" t="s">
        <v>1617</v>
      </c>
      <c r="FB35" t="s">
        <v>1309</v>
      </c>
      <c r="FC35" t="s">
        <v>1309</v>
      </c>
      <c r="FD35" t="s">
        <v>1309</v>
      </c>
      <c r="FE35" t="s">
        <v>1310</v>
      </c>
      <c r="FF35" t="s">
        <v>1309</v>
      </c>
      <c r="FG35" t="s">
        <v>1310</v>
      </c>
      <c r="FH35" t="s">
        <v>1310</v>
      </c>
      <c r="FI35" t="s">
        <v>1310</v>
      </c>
      <c r="FJ35" t="s">
        <v>1310</v>
      </c>
      <c r="FK35" t="s">
        <v>1310</v>
      </c>
      <c r="FL35" t="s">
        <v>1309</v>
      </c>
      <c r="FM35" t="s">
        <v>1309</v>
      </c>
      <c r="FN35" t="s">
        <v>1309</v>
      </c>
      <c r="FO35" t="s">
        <v>1309</v>
      </c>
      <c r="FP35" t="s">
        <v>1309</v>
      </c>
      <c r="FQ35" t="s">
        <v>1309</v>
      </c>
      <c r="FR35" t="s">
        <v>1309</v>
      </c>
      <c r="FT35" t="s">
        <v>1319</v>
      </c>
      <c r="FU35" t="s">
        <v>1599</v>
      </c>
      <c r="FV35" t="s">
        <v>1309</v>
      </c>
      <c r="FW35" t="s">
        <v>1309</v>
      </c>
      <c r="FX35" t="s">
        <v>1309</v>
      </c>
      <c r="FY35" t="s">
        <v>1309</v>
      </c>
      <c r="FZ35" t="s">
        <v>1309</v>
      </c>
      <c r="GA35" t="s">
        <v>1310</v>
      </c>
      <c r="GB35" t="s">
        <v>1309</v>
      </c>
      <c r="GC35" t="s">
        <v>1309</v>
      </c>
      <c r="GD35" t="s">
        <v>1309</v>
      </c>
      <c r="GE35" t="s">
        <v>1309</v>
      </c>
      <c r="GF35" t="s">
        <v>1309</v>
      </c>
      <c r="GG35" t="s">
        <v>1309</v>
      </c>
      <c r="GI35" t="s">
        <v>1618</v>
      </c>
      <c r="GJ35" t="s">
        <v>1618</v>
      </c>
      <c r="GK35" t="s">
        <v>1319</v>
      </c>
      <c r="GL35" t="s">
        <v>1619</v>
      </c>
      <c r="GM35" t="s">
        <v>1310</v>
      </c>
      <c r="GN35" t="s">
        <v>1309</v>
      </c>
      <c r="GO35" t="s">
        <v>1309</v>
      </c>
      <c r="GP35" t="s">
        <v>1309</v>
      </c>
      <c r="GQ35" t="s">
        <v>1309</v>
      </c>
      <c r="GR35" t="s">
        <v>1309</v>
      </c>
      <c r="GT35" t="s">
        <v>1325</v>
      </c>
      <c r="GU35" t="s">
        <v>1310</v>
      </c>
      <c r="GV35" t="s">
        <v>1309</v>
      </c>
      <c r="GW35" t="s">
        <v>1309</v>
      </c>
      <c r="GX35" t="s">
        <v>1309</v>
      </c>
      <c r="GY35" t="s">
        <v>1309</v>
      </c>
      <c r="GZ35" t="s">
        <v>1309</v>
      </c>
      <c r="HA35" t="s">
        <v>1309</v>
      </c>
      <c r="HB35" t="s">
        <v>1309</v>
      </c>
      <c r="HC35" t="s">
        <v>1309</v>
      </c>
      <c r="HD35" t="s">
        <v>1309</v>
      </c>
      <c r="HE35" t="s">
        <v>1309</v>
      </c>
      <c r="HF35" t="s">
        <v>1309</v>
      </c>
      <c r="HH35" t="s">
        <v>1363</v>
      </c>
      <c r="HI35" t="s">
        <v>1363</v>
      </c>
      <c r="HJ35" t="s">
        <v>1363</v>
      </c>
      <c r="HK35" t="s">
        <v>1327</v>
      </c>
      <c r="HL35" t="s">
        <v>1364</v>
      </c>
      <c r="HM35" t="s">
        <v>1363</v>
      </c>
      <c r="IA35" t="s">
        <v>1307</v>
      </c>
      <c r="IQ35" t="s">
        <v>1330</v>
      </c>
      <c r="IS35" t="s">
        <v>1354</v>
      </c>
      <c r="JF35" t="s">
        <v>1316</v>
      </c>
      <c r="JG35" t="s">
        <v>1620</v>
      </c>
      <c r="JH35" t="s">
        <v>1310</v>
      </c>
      <c r="JI35" t="s">
        <v>1310</v>
      </c>
      <c r="JJ35" t="s">
        <v>1309</v>
      </c>
      <c r="JK35" t="s">
        <v>1309</v>
      </c>
      <c r="JL35" t="s">
        <v>1310</v>
      </c>
      <c r="JM35" t="s">
        <v>1309</v>
      </c>
      <c r="JN35" t="s">
        <v>1309</v>
      </c>
      <c r="JO35" t="s">
        <v>1309</v>
      </c>
      <c r="JQ35" s="92" t="s">
        <v>1567</v>
      </c>
      <c r="JR35" s="92" t="s">
        <v>1568</v>
      </c>
      <c r="JS35" s="92">
        <v>33</v>
      </c>
      <c r="JT35" s="92" t="s">
        <v>1319</v>
      </c>
      <c r="JU35" s="92" t="s">
        <v>1575</v>
      </c>
      <c r="JV35" s="92" t="s">
        <v>1336</v>
      </c>
      <c r="JW35" s="92" t="s">
        <v>1296</v>
      </c>
      <c r="JX35" s="92" t="s">
        <v>71</v>
      </c>
      <c r="JY35" s="92" t="s">
        <v>5549</v>
      </c>
      <c r="JZ35" s="92" t="s">
        <v>1398</v>
      </c>
      <c r="KA35" s="92" t="s">
        <v>4846</v>
      </c>
      <c r="KB35" s="92" t="s">
        <v>1370</v>
      </c>
      <c r="KC35" s="92" t="s">
        <v>192</v>
      </c>
      <c r="KD35" s="92" t="s">
        <v>4848</v>
      </c>
      <c r="KE35" s="92" t="s">
        <v>5560</v>
      </c>
      <c r="KF35" s="92">
        <v>2600</v>
      </c>
      <c r="KG35" s="92" t="s">
        <v>1400</v>
      </c>
      <c r="KH35" s="92" t="s">
        <v>192</v>
      </c>
      <c r="KI35" s="92" t="s">
        <v>109</v>
      </c>
      <c r="KJ35" s="92" t="s">
        <v>192</v>
      </c>
      <c r="KK35" s="92" t="s">
        <v>109</v>
      </c>
      <c r="KL35" s="92" t="s">
        <v>1425</v>
      </c>
      <c r="KM35" s="92">
        <v>3500</v>
      </c>
      <c r="KN35" s="92" t="s">
        <v>1426</v>
      </c>
      <c r="KO35" s="92" t="s">
        <v>1341</v>
      </c>
      <c r="KP35" s="92" t="s">
        <v>1375</v>
      </c>
      <c r="KQ35" s="92" t="s">
        <v>192</v>
      </c>
      <c r="KR35" s="92">
        <v>12</v>
      </c>
      <c r="KS35" s="92" t="s">
        <v>1343</v>
      </c>
      <c r="KT35" s="92" t="s">
        <v>1344</v>
      </c>
      <c r="KU35" s="92">
        <v>29</v>
      </c>
      <c r="KV35" s="92" t="s">
        <v>1461</v>
      </c>
      <c r="KW35" s="92" t="s">
        <v>1344</v>
      </c>
      <c r="KX35" s="92" t="s">
        <v>1621</v>
      </c>
      <c r="KY35" s="92" t="s">
        <v>1508</v>
      </c>
      <c r="KZ35" s="92" t="s">
        <v>1378</v>
      </c>
      <c r="LA35" s="92" t="s">
        <v>109</v>
      </c>
      <c r="LB35" s="92" t="s">
        <v>109</v>
      </c>
      <c r="LC35" s="92" t="s">
        <v>4439</v>
      </c>
      <c r="LD35" s="92" t="s">
        <v>4439</v>
      </c>
      <c r="LE35" s="92" t="s">
        <v>192</v>
      </c>
      <c r="LF35" s="92" t="s">
        <v>192</v>
      </c>
    </row>
    <row r="36" spans="1:318" x14ac:dyDescent="0.25">
      <c r="A36" t="s">
        <v>1622</v>
      </c>
      <c r="B36" t="s">
        <v>1623</v>
      </c>
      <c r="C36" t="s">
        <v>1304</v>
      </c>
      <c r="D36" t="s">
        <v>1305</v>
      </c>
      <c r="E36" t="s">
        <v>1381</v>
      </c>
      <c r="G36" t="s">
        <v>1319</v>
      </c>
      <c r="H36">
        <v>1</v>
      </c>
      <c r="J36" t="s">
        <v>1308</v>
      </c>
      <c r="K36" t="s">
        <v>1309</v>
      </c>
      <c r="L36" t="s">
        <v>1309</v>
      </c>
      <c r="M36" t="s">
        <v>1309</v>
      </c>
      <c r="N36" t="s">
        <v>1309</v>
      </c>
      <c r="O36" t="s">
        <v>1309</v>
      </c>
      <c r="P36" t="s">
        <v>1309</v>
      </c>
      <c r="Q36" t="s">
        <v>1310</v>
      </c>
      <c r="R36" t="s">
        <v>1309</v>
      </c>
      <c r="U36" t="s">
        <v>1311</v>
      </c>
      <c r="V36" t="s">
        <v>1312</v>
      </c>
      <c r="W36" t="s">
        <v>1312</v>
      </c>
      <c r="X36" t="s">
        <v>1312</v>
      </c>
      <c r="Y36" t="s">
        <v>1312</v>
      </c>
      <c r="Z36" t="s">
        <v>1312</v>
      </c>
      <c r="AC36">
        <v>1</v>
      </c>
      <c r="AD36">
        <v>5000</v>
      </c>
      <c r="AE36">
        <v>3000</v>
      </c>
      <c r="AF36" t="s">
        <v>1313</v>
      </c>
      <c r="AH36" t="s">
        <v>1314</v>
      </c>
      <c r="AJ36" t="s">
        <v>1315</v>
      </c>
      <c r="AL36" t="s">
        <v>1354</v>
      </c>
      <c r="BS36" t="s">
        <v>1307</v>
      </c>
      <c r="CE36" t="s">
        <v>1590</v>
      </c>
      <c r="CF36" t="s">
        <v>1310</v>
      </c>
      <c r="CG36" t="s">
        <v>1309</v>
      </c>
      <c r="CH36" t="s">
        <v>1309</v>
      </c>
      <c r="CI36" t="s">
        <v>1309</v>
      </c>
      <c r="CJ36" t="s">
        <v>1309</v>
      </c>
      <c r="CK36" t="s">
        <v>1309</v>
      </c>
      <c r="CL36" t="s">
        <v>1309</v>
      </c>
      <c r="CM36" t="s">
        <v>1309</v>
      </c>
      <c r="CN36" t="s">
        <v>1310</v>
      </c>
      <c r="CO36" t="s">
        <v>1309</v>
      </c>
      <c r="CP36" t="s">
        <v>1309</v>
      </c>
      <c r="CQ36" t="s">
        <v>1309</v>
      </c>
      <c r="CR36" t="s">
        <v>1309</v>
      </c>
      <c r="CT36" t="s">
        <v>4434</v>
      </c>
      <c r="CV36" t="s">
        <v>1308</v>
      </c>
      <c r="CW36" t="s">
        <v>1310</v>
      </c>
      <c r="CX36" t="s">
        <v>1309</v>
      </c>
      <c r="CY36" t="s">
        <v>1309</v>
      </c>
      <c r="CZ36" t="s">
        <v>1309</v>
      </c>
      <c r="DA36" t="s">
        <v>1309</v>
      </c>
      <c r="DB36" t="s">
        <v>1309</v>
      </c>
      <c r="DC36" t="s">
        <v>1309</v>
      </c>
      <c r="DE36" t="s">
        <v>1358</v>
      </c>
      <c r="DG36">
        <v>2500</v>
      </c>
      <c r="DI36">
        <v>250</v>
      </c>
      <c r="DJ36" t="s">
        <v>1358</v>
      </c>
      <c r="DK36">
        <v>2500</v>
      </c>
      <c r="DM36">
        <v>250</v>
      </c>
      <c r="DN36" t="s">
        <v>1584</v>
      </c>
      <c r="DO36" t="s">
        <v>1310</v>
      </c>
      <c r="DP36" t="s">
        <v>1309</v>
      </c>
      <c r="DQ36" t="s">
        <v>1309</v>
      </c>
      <c r="DR36" t="s">
        <v>1309</v>
      </c>
      <c r="DS36" t="s">
        <v>1310</v>
      </c>
      <c r="DT36" t="s">
        <v>1310</v>
      </c>
      <c r="DU36" t="s">
        <v>1309</v>
      </c>
      <c r="DV36" t="s">
        <v>1309</v>
      </c>
      <c r="DW36" t="s">
        <v>1309</v>
      </c>
      <c r="DY36" t="s">
        <v>1481</v>
      </c>
      <c r="DZ36">
        <v>300</v>
      </c>
      <c r="EA36" t="s">
        <v>1386</v>
      </c>
      <c r="EC36" t="s">
        <v>1624</v>
      </c>
      <c r="ED36">
        <v>900</v>
      </c>
      <c r="EE36" t="s">
        <v>1386</v>
      </c>
      <c r="EG36" t="s">
        <v>5356</v>
      </c>
      <c r="EI36" t="s">
        <v>1307</v>
      </c>
      <c r="ET36" t="s">
        <v>1307</v>
      </c>
      <c r="EV36" t="s">
        <v>1319</v>
      </c>
      <c r="EW36" t="s">
        <v>1414</v>
      </c>
      <c r="EX36" t="s">
        <v>1319</v>
      </c>
      <c r="EY36" t="s">
        <v>1319</v>
      </c>
      <c r="FA36" t="s">
        <v>1625</v>
      </c>
      <c r="FB36" t="s">
        <v>1310</v>
      </c>
      <c r="FC36" t="s">
        <v>1310</v>
      </c>
      <c r="FD36" t="s">
        <v>1309</v>
      </c>
      <c r="FE36" t="s">
        <v>1309</v>
      </c>
      <c r="FF36" t="s">
        <v>1309</v>
      </c>
      <c r="FG36" t="s">
        <v>1309</v>
      </c>
      <c r="FH36" t="s">
        <v>1309</v>
      </c>
      <c r="FI36" t="s">
        <v>1309</v>
      </c>
      <c r="FJ36" t="s">
        <v>1310</v>
      </c>
      <c r="FK36" t="s">
        <v>1309</v>
      </c>
      <c r="FL36" t="s">
        <v>1309</v>
      </c>
      <c r="FM36" t="s">
        <v>1309</v>
      </c>
      <c r="FN36" t="s">
        <v>1310</v>
      </c>
      <c r="FO36" t="s">
        <v>1309</v>
      </c>
      <c r="FP36" t="s">
        <v>1309</v>
      </c>
      <c r="FQ36" t="s">
        <v>1309</v>
      </c>
      <c r="FR36" t="s">
        <v>1309</v>
      </c>
      <c r="FT36" t="s">
        <v>1307</v>
      </c>
      <c r="GI36" t="s">
        <v>1324</v>
      </c>
      <c r="GJ36" t="s">
        <v>1324</v>
      </c>
      <c r="GT36" t="s">
        <v>1325</v>
      </c>
      <c r="GU36" t="s">
        <v>1310</v>
      </c>
      <c r="GV36" t="s">
        <v>1309</v>
      </c>
      <c r="GW36" t="s">
        <v>1309</v>
      </c>
      <c r="GX36" t="s">
        <v>1309</v>
      </c>
      <c r="GY36" t="s">
        <v>1309</v>
      </c>
      <c r="GZ36" t="s">
        <v>1309</v>
      </c>
      <c r="HA36" t="s">
        <v>1309</v>
      </c>
      <c r="HB36" t="s">
        <v>1309</v>
      </c>
      <c r="HC36" t="s">
        <v>1309</v>
      </c>
      <c r="HD36" t="s">
        <v>1309</v>
      </c>
      <c r="HE36" t="s">
        <v>1309</v>
      </c>
      <c r="HF36" t="s">
        <v>1309</v>
      </c>
      <c r="HH36" t="s">
        <v>1363</v>
      </c>
      <c r="HI36" t="s">
        <v>1390</v>
      </c>
      <c r="HJ36" t="s">
        <v>1363</v>
      </c>
      <c r="HK36" t="s">
        <v>1414</v>
      </c>
      <c r="HL36" t="s">
        <v>1437</v>
      </c>
      <c r="HM36" t="s">
        <v>1390</v>
      </c>
      <c r="HN36" t="s">
        <v>1626</v>
      </c>
      <c r="HO36" t="s">
        <v>1310</v>
      </c>
      <c r="HP36" t="s">
        <v>1309</v>
      </c>
      <c r="HQ36" t="s">
        <v>1309</v>
      </c>
      <c r="HR36" t="s">
        <v>1309</v>
      </c>
      <c r="HS36" t="s">
        <v>1309</v>
      </c>
      <c r="HT36" t="s">
        <v>1309</v>
      </c>
      <c r="HU36" t="s">
        <v>1309</v>
      </c>
      <c r="HV36" t="s">
        <v>1309</v>
      </c>
      <c r="HW36" t="s">
        <v>1309</v>
      </c>
      <c r="HX36" t="s">
        <v>1309</v>
      </c>
      <c r="HY36" t="s">
        <v>1309</v>
      </c>
      <c r="IA36" t="s">
        <v>1319</v>
      </c>
      <c r="IB36" t="s">
        <v>1423</v>
      </c>
      <c r="IC36" t="s">
        <v>1309</v>
      </c>
      <c r="ID36" t="s">
        <v>1309</v>
      </c>
      <c r="IE36" t="s">
        <v>1309</v>
      </c>
      <c r="IF36" t="s">
        <v>1309</v>
      </c>
      <c r="IG36" t="s">
        <v>1310</v>
      </c>
      <c r="IH36" t="s">
        <v>1309</v>
      </c>
      <c r="II36" t="s">
        <v>1309</v>
      </c>
      <c r="IJ36" t="s">
        <v>1309</v>
      </c>
      <c r="IK36" t="s">
        <v>1309</v>
      </c>
      <c r="IL36" t="s">
        <v>1309</v>
      </c>
      <c r="IM36" t="s">
        <v>1309</v>
      </c>
      <c r="IN36" t="s">
        <v>1309</v>
      </c>
      <c r="IO36" t="s">
        <v>1309</v>
      </c>
      <c r="IQ36" t="s">
        <v>1330</v>
      </c>
      <c r="IS36" t="s">
        <v>1354</v>
      </c>
      <c r="JF36" t="s">
        <v>1316</v>
      </c>
      <c r="JG36" t="s">
        <v>1523</v>
      </c>
      <c r="JH36" t="s">
        <v>1309</v>
      </c>
      <c r="JI36" t="s">
        <v>1309</v>
      </c>
      <c r="JJ36" t="s">
        <v>1309</v>
      </c>
      <c r="JK36" t="s">
        <v>1310</v>
      </c>
      <c r="JL36" t="s">
        <v>1309</v>
      </c>
      <c r="JM36" t="s">
        <v>1309</v>
      </c>
      <c r="JN36" t="s">
        <v>1309</v>
      </c>
      <c r="JO36" t="s">
        <v>1309</v>
      </c>
      <c r="JQ36" s="92" t="s">
        <v>1394</v>
      </c>
      <c r="JR36" s="92" t="s">
        <v>1496</v>
      </c>
      <c r="JS36" s="92">
        <v>40</v>
      </c>
      <c r="JT36" s="92" t="s">
        <v>1319</v>
      </c>
      <c r="JU36" s="92" t="s">
        <v>1396</v>
      </c>
      <c r="JV36" s="92" t="s">
        <v>1336</v>
      </c>
      <c r="JW36" s="92" t="s">
        <v>1296</v>
      </c>
      <c r="JX36" s="92" t="s">
        <v>71</v>
      </c>
      <c r="JY36" s="92" t="s">
        <v>1397</v>
      </c>
      <c r="JZ36" s="92" t="s">
        <v>1337</v>
      </c>
      <c r="KA36" s="92" t="s">
        <v>4844</v>
      </c>
      <c r="KB36" s="92" t="s">
        <v>1338</v>
      </c>
      <c r="KC36" s="92" t="s">
        <v>109</v>
      </c>
      <c r="KD36" s="92" t="s">
        <v>4844</v>
      </c>
      <c r="KE36" s="92" t="s">
        <v>5560</v>
      </c>
      <c r="KF36" s="92">
        <v>2750</v>
      </c>
      <c r="KG36" s="92" t="s">
        <v>1400</v>
      </c>
      <c r="KH36" s="92" t="s">
        <v>192</v>
      </c>
      <c r="KI36" s="92" t="s">
        <v>109</v>
      </c>
      <c r="KJ36" s="92" t="s">
        <v>192</v>
      </c>
      <c r="KK36" s="92" t="s">
        <v>109</v>
      </c>
      <c r="KL36" s="92" t="s">
        <v>1425</v>
      </c>
      <c r="KM36" s="92">
        <v>2750</v>
      </c>
      <c r="KN36" s="92" t="s">
        <v>1400</v>
      </c>
      <c r="KO36" s="92" t="s">
        <v>1425</v>
      </c>
      <c r="KP36" s="92" t="s">
        <v>1460</v>
      </c>
      <c r="KQ36" s="92" t="s">
        <v>192</v>
      </c>
      <c r="KR36" s="92">
        <v>11</v>
      </c>
      <c r="KS36" s="92" t="s">
        <v>1343</v>
      </c>
      <c r="KT36" s="92" t="s">
        <v>1402</v>
      </c>
      <c r="KU36" s="92">
        <v>33</v>
      </c>
      <c r="KV36" s="92" t="s">
        <v>1461</v>
      </c>
      <c r="KW36" s="92" t="s">
        <v>1402</v>
      </c>
      <c r="KX36" s="92" t="s">
        <v>1376</v>
      </c>
      <c r="KY36" s="92" t="s">
        <v>1377</v>
      </c>
      <c r="KZ36" s="92" t="s">
        <v>1403</v>
      </c>
      <c r="LA36" s="92" t="s">
        <v>109</v>
      </c>
      <c r="LB36" s="92" t="s">
        <v>109</v>
      </c>
      <c r="LC36" s="92" t="s">
        <v>4439</v>
      </c>
      <c r="LD36" s="92" t="s">
        <v>4439</v>
      </c>
      <c r="LE36" s="92" t="s">
        <v>192</v>
      </c>
      <c r="LF36" s="92" t="s">
        <v>192</v>
      </c>
    </row>
    <row r="37" spans="1:318" x14ac:dyDescent="0.25">
      <c r="A37" t="s">
        <v>1627</v>
      </c>
      <c r="B37" t="s">
        <v>1628</v>
      </c>
      <c r="C37" t="s">
        <v>1304</v>
      </c>
      <c r="D37" t="s">
        <v>1305</v>
      </c>
      <c r="E37" t="s">
        <v>1306</v>
      </c>
      <c r="G37" t="s">
        <v>1307</v>
      </c>
      <c r="H37">
        <v>3</v>
      </c>
      <c r="I37" t="s">
        <v>1307</v>
      </c>
      <c r="J37" t="s">
        <v>1406</v>
      </c>
      <c r="K37" t="s">
        <v>1309</v>
      </c>
      <c r="L37" t="s">
        <v>1310</v>
      </c>
      <c r="M37" t="s">
        <v>1309</v>
      </c>
      <c r="N37" t="s">
        <v>1309</v>
      </c>
      <c r="O37" t="s">
        <v>1309</v>
      </c>
      <c r="P37" t="s">
        <v>1309</v>
      </c>
      <c r="Q37" t="s">
        <v>1309</v>
      </c>
      <c r="R37" t="s">
        <v>1309</v>
      </c>
      <c r="S37">
        <v>1</v>
      </c>
      <c r="U37" t="s">
        <v>1312</v>
      </c>
      <c r="V37" t="s">
        <v>1312</v>
      </c>
      <c r="W37" t="s">
        <v>1312</v>
      </c>
      <c r="X37" t="s">
        <v>1312</v>
      </c>
      <c r="Y37" t="s">
        <v>1312</v>
      </c>
      <c r="Z37" t="s">
        <v>1312</v>
      </c>
      <c r="AC37">
        <v>2</v>
      </c>
      <c r="AD37">
        <v>9000</v>
      </c>
      <c r="AE37">
        <v>8000</v>
      </c>
      <c r="AF37" t="s">
        <v>1351</v>
      </c>
      <c r="AH37" t="s">
        <v>1314</v>
      </c>
      <c r="AJ37" t="s">
        <v>1315</v>
      </c>
      <c r="AL37" t="s">
        <v>1354</v>
      </c>
      <c r="BS37" t="s">
        <v>1307</v>
      </c>
      <c r="CE37" t="s">
        <v>1414</v>
      </c>
      <c r="CF37" t="s">
        <v>1309</v>
      </c>
      <c r="CG37" t="s">
        <v>1309</v>
      </c>
      <c r="CH37" t="s">
        <v>1309</v>
      </c>
      <c r="CI37" t="s">
        <v>1309</v>
      </c>
      <c r="CJ37" t="s">
        <v>1309</v>
      </c>
      <c r="CK37" t="s">
        <v>1309</v>
      </c>
      <c r="CL37" t="s">
        <v>1309</v>
      </c>
      <c r="CM37" t="s">
        <v>1309</v>
      </c>
      <c r="CN37" t="s">
        <v>1309</v>
      </c>
      <c r="CO37" t="s">
        <v>1309</v>
      </c>
      <c r="CP37" t="s">
        <v>1309</v>
      </c>
      <c r="CQ37" t="s">
        <v>1310</v>
      </c>
      <c r="CR37" t="s">
        <v>1309</v>
      </c>
      <c r="CT37" t="s">
        <v>4436</v>
      </c>
      <c r="CV37" t="s">
        <v>1308</v>
      </c>
      <c r="CW37" t="s">
        <v>1310</v>
      </c>
      <c r="CX37" t="s">
        <v>1309</v>
      </c>
      <c r="CY37" t="s">
        <v>1309</v>
      </c>
      <c r="CZ37" t="s">
        <v>1309</v>
      </c>
      <c r="DA37" t="s">
        <v>1309</v>
      </c>
      <c r="DB37" t="s">
        <v>1309</v>
      </c>
      <c r="DC37" t="s">
        <v>1309</v>
      </c>
      <c r="DE37" t="s">
        <v>1358</v>
      </c>
      <c r="DF37" t="s">
        <v>1319</v>
      </c>
      <c r="DG37">
        <v>300</v>
      </c>
      <c r="DI37">
        <v>600</v>
      </c>
      <c r="DJ37" t="s">
        <v>1358</v>
      </c>
      <c r="DK37">
        <v>200</v>
      </c>
      <c r="DM37">
        <v>550</v>
      </c>
      <c r="DN37" t="s">
        <v>1320</v>
      </c>
      <c r="DO37" t="s">
        <v>1310</v>
      </c>
      <c r="DP37" t="s">
        <v>1309</v>
      </c>
      <c r="DQ37" t="s">
        <v>1309</v>
      </c>
      <c r="DR37" t="s">
        <v>1309</v>
      </c>
      <c r="DS37" t="s">
        <v>1309</v>
      </c>
      <c r="DT37" t="s">
        <v>1310</v>
      </c>
      <c r="DU37" t="s">
        <v>1309</v>
      </c>
      <c r="DV37" t="s">
        <v>1309</v>
      </c>
      <c r="DW37" t="s">
        <v>1309</v>
      </c>
      <c r="DY37" t="s">
        <v>1481</v>
      </c>
      <c r="DZ37">
        <v>300</v>
      </c>
      <c r="EA37" t="s">
        <v>1319</v>
      </c>
      <c r="EC37" t="s">
        <v>1457</v>
      </c>
      <c r="ED37">
        <v>800</v>
      </c>
      <c r="EE37" t="s">
        <v>1319</v>
      </c>
      <c r="EG37" t="s">
        <v>5356</v>
      </c>
      <c r="EI37" t="s">
        <v>1307</v>
      </c>
      <c r="ET37" t="s">
        <v>1307</v>
      </c>
      <c r="EV37" t="s">
        <v>1319</v>
      </c>
      <c r="EW37" t="s">
        <v>1629</v>
      </c>
      <c r="EX37" t="s">
        <v>1307</v>
      </c>
      <c r="EY37" t="s">
        <v>1307</v>
      </c>
      <c r="EZ37" t="s">
        <v>1307</v>
      </c>
      <c r="FT37" t="s">
        <v>1307</v>
      </c>
      <c r="GI37" t="s">
        <v>1324</v>
      </c>
      <c r="GJ37" t="s">
        <v>1324</v>
      </c>
      <c r="GT37" t="s">
        <v>1325</v>
      </c>
      <c r="GU37" t="s">
        <v>1310</v>
      </c>
      <c r="GV37" t="s">
        <v>1309</v>
      </c>
      <c r="GW37" t="s">
        <v>1309</v>
      </c>
      <c r="GX37" t="s">
        <v>1309</v>
      </c>
      <c r="GY37" t="s">
        <v>1309</v>
      </c>
      <c r="GZ37" t="s">
        <v>1309</v>
      </c>
      <c r="HA37" t="s">
        <v>1309</v>
      </c>
      <c r="HB37" t="s">
        <v>1309</v>
      </c>
      <c r="HC37" t="s">
        <v>1309</v>
      </c>
      <c r="HD37" t="s">
        <v>1309</v>
      </c>
      <c r="HE37" t="s">
        <v>1309</v>
      </c>
      <c r="HF37" t="s">
        <v>1309</v>
      </c>
      <c r="HH37" t="s">
        <v>1326</v>
      </c>
      <c r="HI37" t="s">
        <v>1327</v>
      </c>
      <c r="HJ37" t="s">
        <v>1326</v>
      </c>
      <c r="HK37" t="s">
        <v>1327</v>
      </c>
      <c r="HL37" t="s">
        <v>1328</v>
      </c>
      <c r="HM37" t="s">
        <v>1326</v>
      </c>
      <c r="HN37" t="s">
        <v>1414</v>
      </c>
      <c r="HO37" t="s">
        <v>1309</v>
      </c>
      <c r="HP37" t="s">
        <v>1309</v>
      </c>
      <c r="HQ37" t="s">
        <v>1309</v>
      </c>
      <c r="HR37" t="s">
        <v>1309</v>
      </c>
      <c r="HS37" t="s">
        <v>1309</v>
      </c>
      <c r="HT37" t="s">
        <v>1309</v>
      </c>
      <c r="HU37" t="s">
        <v>1309</v>
      </c>
      <c r="HV37" t="s">
        <v>1309</v>
      </c>
      <c r="HW37" t="s">
        <v>1309</v>
      </c>
      <c r="HX37" t="s">
        <v>1310</v>
      </c>
      <c r="HY37" t="s">
        <v>1309</v>
      </c>
      <c r="IA37" t="s">
        <v>1319</v>
      </c>
      <c r="IB37" t="s">
        <v>1630</v>
      </c>
      <c r="IC37" t="s">
        <v>1310</v>
      </c>
      <c r="ID37" t="s">
        <v>1309</v>
      </c>
      <c r="IE37" t="s">
        <v>1309</v>
      </c>
      <c r="IF37" t="s">
        <v>1309</v>
      </c>
      <c r="IG37" t="s">
        <v>1309</v>
      </c>
      <c r="IH37" t="s">
        <v>1309</v>
      </c>
      <c r="II37" t="s">
        <v>1310</v>
      </c>
      <c r="IJ37" t="s">
        <v>1310</v>
      </c>
      <c r="IK37" t="s">
        <v>1309</v>
      </c>
      <c r="IL37" t="s">
        <v>1309</v>
      </c>
      <c r="IM37" t="s">
        <v>1309</v>
      </c>
      <c r="IN37" t="s">
        <v>1309</v>
      </c>
      <c r="IO37" t="s">
        <v>1309</v>
      </c>
      <c r="IQ37" t="s">
        <v>1365</v>
      </c>
      <c r="IS37" t="s">
        <v>1316</v>
      </c>
      <c r="JF37" t="s">
        <v>1413</v>
      </c>
      <c r="JG37" t="s">
        <v>1414</v>
      </c>
      <c r="JH37" t="s">
        <v>1309</v>
      </c>
      <c r="JI37" t="s">
        <v>1309</v>
      </c>
      <c r="JJ37" t="s">
        <v>1309</v>
      </c>
      <c r="JK37" t="s">
        <v>1309</v>
      </c>
      <c r="JL37" t="s">
        <v>1309</v>
      </c>
      <c r="JM37" t="s">
        <v>1309</v>
      </c>
      <c r="JN37" t="s">
        <v>1310</v>
      </c>
      <c r="JO37" t="s">
        <v>1309</v>
      </c>
      <c r="JQ37" s="92" t="s">
        <v>1593</v>
      </c>
      <c r="JR37" s="92" t="s">
        <v>1631</v>
      </c>
      <c r="JS37" s="92">
        <v>39</v>
      </c>
      <c r="JT37" s="92" t="s">
        <v>1319</v>
      </c>
      <c r="JU37" s="92" t="s">
        <v>1335</v>
      </c>
      <c r="JV37" s="92" t="s">
        <v>1526</v>
      </c>
      <c r="JW37" s="92" t="s">
        <v>1296</v>
      </c>
      <c r="JX37" s="92" t="s">
        <v>70</v>
      </c>
      <c r="JY37" s="92" t="s">
        <v>5549</v>
      </c>
      <c r="JZ37" s="92" t="s">
        <v>1337</v>
      </c>
      <c r="KA37" s="92" t="s">
        <v>4845</v>
      </c>
      <c r="KB37" s="92" t="s">
        <v>1415</v>
      </c>
      <c r="KC37" s="92" t="s">
        <v>109</v>
      </c>
      <c r="KD37" s="92" t="s">
        <v>4847</v>
      </c>
      <c r="KE37" s="92" t="s">
        <v>1424</v>
      </c>
      <c r="KF37" s="92">
        <v>900</v>
      </c>
      <c r="KG37" s="92" t="s">
        <v>1372</v>
      </c>
      <c r="KH37" s="92" t="s">
        <v>192</v>
      </c>
      <c r="KI37" s="92" t="s">
        <v>109</v>
      </c>
      <c r="KJ37" s="92" t="s">
        <v>192</v>
      </c>
      <c r="KK37" s="92" t="s">
        <v>109</v>
      </c>
      <c r="KL37" s="92" t="s">
        <v>1374</v>
      </c>
      <c r="KM37" s="92">
        <v>750</v>
      </c>
      <c r="KN37" s="92" t="s">
        <v>1372</v>
      </c>
      <c r="KO37" s="92" t="s">
        <v>1374</v>
      </c>
      <c r="KP37" s="92" t="s">
        <v>1401</v>
      </c>
      <c r="KQ37" s="92" t="s">
        <v>192</v>
      </c>
      <c r="KR37" s="92"/>
      <c r="KS37" s="92" t="s">
        <v>1343</v>
      </c>
      <c r="KT37" s="92" t="s">
        <v>1344</v>
      </c>
      <c r="KU37" s="92"/>
      <c r="KV37" s="92" t="s">
        <v>1441</v>
      </c>
      <c r="KW37" s="92" t="s">
        <v>1344</v>
      </c>
      <c r="KX37" s="92" t="s">
        <v>1376</v>
      </c>
      <c r="KY37" s="92" t="s">
        <v>1377</v>
      </c>
      <c r="KZ37" s="92" t="s">
        <v>5795</v>
      </c>
      <c r="LA37" s="92" t="s">
        <v>109</v>
      </c>
      <c r="LB37" s="92" t="s">
        <v>109</v>
      </c>
      <c r="LC37" s="92" t="s">
        <v>1372</v>
      </c>
      <c r="LD37" s="92" t="s">
        <v>1372</v>
      </c>
      <c r="LE37" s="92" t="s">
        <v>109</v>
      </c>
      <c r="LF37" s="92" t="s">
        <v>109</v>
      </c>
    </row>
    <row r="38" spans="1:318" x14ac:dyDescent="0.25">
      <c r="A38" t="s">
        <v>1632</v>
      </c>
      <c r="B38" t="s">
        <v>1633</v>
      </c>
      <c r="C38" t="s">
        <v>1304</v>
      </c>
      <c r="D38" t="s">
        <v>1305</v>
      </c>
      <c r="E38" t="s">
        <v>1306</v>
      </c>
      <c r="G38" t="s">
        <v>1307</v>
      </c>
      <c r="H38">
        <v>1</v>
      </c>
      <c r="J38" t="s">
        <v>1430</v>
      </c>
      <c r="K38" t="s">
        <v>1309</v>
      </c>
      <c r="L38" t="s">
        <v>1309</v>
      </c>
      <c r="M38" t="s">
        <v>1310</v>
      </c>
      <c r="N38" t="s">
        <v>1309</v>
      </c>
      <c r="O38" t="s">
        <v>1309</v>
      </c>
      <c r="P38" t="s">
        <v>1309</v>
      </c>
      <c r="Q38" t="s">
        <v>1309</v>
      </c>
      <c r="R38" t="s">
        <v>1309</v>
      </c>
      <c r="T38">
        <v>1</v>
      </c>
      <c r="U38" t="s">
        <v>1486</v>
      </c>
      <c r="V38" t="s">
        <v>1311</v>
      </c>
      <c r="W38" t="s">
        <v>1311</v>
      </c>
      <c r="X38" t="s">
        <v>1311</v>
      </c>
      <c r="Y38" t="s">
        <v>1312</v>
      </c>
      <c r="Z38" t="s">
        <v>1312</v>
      </c>
      <c r="AC38">
        <v>1</v>
      </c>
      <c r="AD38">
        <v>3000</v>
      </c>
      <c r="AE38">
        <v>2500</v>
      </c>
      <c r="AF38" t="s">
        <v>1351</v>
      </c>
      <c r="AH38" t="s">
        <v>1314</v>
      </c>
      <c r="AJ38" t="s">
        <v>1353</v>
      </c>
      <c r="AL38" t="s">
        <v>1316</v>
      </c>
      <c r="BA38" t="s">
        <v>1354</v>
      </c>
      <c r="BS38" t="s">
        <v>1307</v>
      </c>
      <c r="CE38" t="s">
        <v>1414</v>
      </c>
      <c r="CF38" t="s">
        <v>1309</v>
      </c>
      <c r="CG38" t="s">
        <v>1309</v>
      </c>
      <c r="CH38" t="s">
        <v>1309</v>
      </c>
      <c r="CI38" t="s">
        <v>1309</v>
      </c>
      <c r="CJ38" t="s">
        <v>1309</v>
      </c>
      <c r="CK38" t="s">
        <v>1309</v>
      </c>
      <c r="CL38" t="s">
        <v>1309</v>
      </c>
      <c r="CM38" t="s">
        <v>1309</v>
      </c>
      <c r="CN38" t="s">
        <v>1309</v>
      </c>
      <c r="CO38" t="s">
        <v>1309</v>
      </c>
      <c r="CP38" t="s">
        <v>1309</v>
      </c>
      <c r="CQ38" t="s">
        <v>1310</v>
      </c>
      <c r="CR38" t="s">
        <v>1309</v>
      </c>
      <c r="CT38" t="s">
        <v>4436</v>
      </c>
      <c r="CV38" t="s">
        <v>1308</v>
      </c>
      <c r="CW38" t="s">
        <v>1310</v>
      </c>
      <c r="CX38" t="s">
        <v>1309</v>
      </c>
      <c r="CY38" t="s">
        <v>1309</v>
      </c>
      <c r="CZ38" t="s">
        <v>1309</v>
      </c>
      <c r="DA38" t="s">
        <v>1309</v>
      </c>
      <c r="DB38" t="s">
        <v>1309</v>
      </c>
      <c r="DC38" t="s">
        <v>1309</v>
      </c>
      <c r="DE38" t="s">
        <v>1358</v>
      </c>
      <c r="DF38" t="s">
        <v>1319</v>
      </c>
      <c r="DG38">
        <v>50</v>
      </c>
      <c r="DI38">
        <v>200</v>
      </c>
      <c r="DJ38" t="s">
        <v>1358</v>
      </c>
      <c r="DK38">
        <v>50</v>
      </c>
      <c r="DM38">
        <v>250</v>
      </c>
      <c r="DN38" t="s">
        <v>1320</v>
      </c>
      <c r="DO38" t="s">
        <v>1310</v>
      </c>
      <c r="DP38" t="s">
        <v>1309</v>
      </c>
      <c r="DQ38" t="s">
        <v>1309</v>
      </c>
      <c r="DR38" t="s">
        <v>1309</v>
      </c>
      <c r="DS38" t="s">
        <v>1309</v>
      </c>
      <c r="DT38" t="s">
        <v>1310</v>
      </c>
      <c r="DU38" t="s">
        <v>1309</v>
      </c>
      <c r="DV38" t="s">
        <v>1309</v>
      </c>
      <c r="DW38" t="s">
        <v>1309</v>
      </c>
      <c r="DY38" t="s">
        <v>1359</v>
      </c>
      <c r="DZ38">
        <v>600</v>
      </c>
      <c r="EA38" t="s">
        <v>1319</v>
      </c>
      <c r="EC38" t="s">
        <v>1457</v>
      </c>
      <c r="ED38">
        <v>800</v>
      </c>
      <c r="EE38" t="s">
        <v>1319</v>
      </c>
      <c r="EG38" t="s">
        <v>5356</v>
      </c>
      <c r="EI38" t="s">
        <v>1307</v>
      </c>
      <c r="ET38" t="s">
        <v>1307</v>
      </c>
      <c r="EV38" t="s">
        <v>1319</v>
      </c>
      <c r="EW38" t="s">
        <v>1409</v>
      </c>
      <c r="EX38" t="s">
        <v>1319</v>
      </c>
      <c r="EY38" t="s">
        <v>1307</v>
      </c>
      <c r="EZ38" t="s">
        <v>1319</v>
      </c>
      <c r="FA38" t="s">
        <v>1634</v>
      </c>
      <c r="FB38" t="s">
        <v>1309</v>
      </c>
      <c r="FC38" t="s">
        <v>1309</v>
      </c>
      <c r="FD38" t="s">
        <v>1309</v>
      </c>
      <c r="FE38" t="s">
        <v>1309</v>
      </c>
      <c r="FF38" t="s">
        <v>1310</v>
      </c>
      <c r="FG38" t="s">
        <v>1309</v>
      </c>
      <c r="FH38" t="s">
        <v>1310</v>
      </c>
      <c r="FI38" t="s">
        <v>1310</v>
      </c>
      <c r="FJ38" t="s">
        <v>1310</v>
      </c>
      <c r="FK38" t="s">
        <v>1309</v>
      </c>
      <c r="FL38" t="s">
        <v>1309</v>
      </c>
      <c r="FM38" t="s">
        <v>1309</v>
      </c>
      <c r="FN38" t="s">
        <v>1309</v>
      </c>
      <c r="FO38" t="s">
        <v>1309</v>
      </c>
      <c r="FP38" t="s">
        <v>1309</v>
      </c>
      <c r="FQ38" t="s">
        <v>1309</v>
      </c>
      <c r="FR38" t="s">
        <v>1309</v>
      </c>
      <c r="FT38" t="s">
        <v>1319</v>
      </c>
      <c r="FU38" t="s">
        <v>1635</v>
      </c>
      <c r="FV38" t="s">
        <v>1310</v>
      </c>
      <c r="FW38" t="s">
        <v>1309</v>
      </c>
      <c r="FX38" t="s">
        <v>1309</v>
      </c>
      <c r="FY38" t="s">
        <v>1309</v>
      </c>
      <c r="FZ38" t="s">
        <v>1309</v>
      </c>
      <c r="GA38" t="s">
        <v>1310</v>
      </c>
      <c r="GB38" t="s">
        <v>1309</v>
      </c>
      <c r="GC38" t="s">
        <v>1309</v>
      </c>
      <c r="GD38" t="s">
        <v>1309</v>
      </c>
      <c r="GE38" t="s">
        <v>1309</v>
      </c>
      <c r="GF38" t="s">
        <v>1309</v>
      </c>
      <c r="GG38" t="s">
        <v>1309</v>
      </c>
      <c r="GI38" t="s">
        <v>1324</v>
      </c>
      <c r="GJ38" t="s">
        <v>1324</v>
      </c>
      <c r="GT38" t="s">
        <v>1325</v>
      </c>
      <c r="GU38" t="s">
        <v>1310</v>
      </c>
      <c r="GV38" t="s">
        <v>1309</v>
      </c>
      <c r="GW38" t="s">
        <v>1309</v>
      </c>
      <c r="GX38" t="s">
        <v>1309</v>
      </c>
      <c r="GY38" t="s">
        <v>1309</v>
      </c>
      <c r="GZ38" t="s">
        <v>1309</v>
      </c>
      <c r="HA38" t="s">
        <v>1309</v>
      </c>
      <c r="HB38" t="s">
        <v>1309</v>
      </c>
      <c r="HC38" t="s">
        <v>1309</v>
      </c>
      <c r="HD38" t="s">
        <v>1309</v>
      </c>
      <c r="HE38" t="s">
        <v>1309</v>
      </c>
      <c r="HF38" t="s">
        <v>1309</v>
      </c>
      <c r="HH38" t="s">
        <v>1326</v>
      </c>
      <c r="HI38" t="s">
        <v>1327</v>
      </c>
      <c r="HJ38" t="s">
        <v>1326</v>
      </c>
      <c r="HK38" t="s">
        <v>1326</v>
      </c>
      <c r="HL38" t="s">
        <v>1437</v>
      </c>
      <c r="HM38" t="s">
        <v>1326</v>
      </c>
      <c r="HN38" t="s">
        <v>1549</v>
      </c>
      <c r="HO38" t="s">
        <v>1310</v>
      </c>
      <c r="HP38" t="s">
        <v>1310</v>
      </c>
      <c r="HQ38" t="s">
        <v>1309</v>
      </c>
      <c r="HR38" t="s">
        <v>1309</v>
      </c>
      <c r="HS38" t="s">
        <v>1309</v>
      </c>
      <c r="HT38" t="s">
        <v>1309</v>
      </c>
      <c r="HU38" t="s">
        <v>1309</v>
      </c>
      <c r="HV38" t="s">
        <v>1309</v>
      </c>
      <c r="HW38" t="s">
        <v>1309</v>
      </c>
      <c r="HX38" t="s">
        <v>1309</v>
      </c>
      <c r="HY38" t="s">
        <v>1309</v>
      </c>
      <c r="IA38" t="s">
        <v>1307</v>
      </c>
      <c r="IQ38" t="s">
        <v>1365</v>
      </c>
      <c r="IS38" t="s">
        <v>1316</v>
      </c>
      <c r="JF38" t="s">
        <v>1413</v>
      </c>
      <c r="JG38" t="s">
        <v>1414</v>
      </c>
      <c r="JH38" t="s">
        <v>1309</v>
      </c>
      <c r="JI38" t="s">
        <v>1309</v>
      </c>
      <c r="JJ38" t="s">
        <v>1309</v>
      </c>
      <c r="JK38" t="s">
        <v>1309</v>
      </c>
      <c r="JL38" t="s">
        <v>1309</v>
      </c>
      <c r="JM38" t="s">
        <v>1309</v>
      </c>
      <c r="JN38" t="s">
        <v>1310</v>
      </c>
      <c r="JO38" t="s">
        <v>1309</v>
      </c>
      <c r="JQ38" s="92" t="s">
        <v>1593</v>
      </c>
      <c r="JR38" s="92" t="s">
        <v>1631</v>
      </c>
      <c r="JS38" s="92">
        <v>68</v>
      </c>
      <c r="JT38" s="92" t="s">
        <v>1319</v>
      </c>
      <c r="JU38" s="92" t="s">
        <v>1335</v>
      </c>
      <c r="JV38" s="92" t="s">
        <v>1526</v>
      </c>
      <c r="JW38" s="92" t="s">
        <v>1296</v>
      </c>
      <c r="JX38" s="92" t="s">
        <v>70</v>
      </c>
      <c r="JY38" s="92" t="s">
        <v>5549</v>
      </c>
      <c r="JZ38" s="92" t="s">
        <v>1369</v>
      </c>
      <c r="KA38" s="92" t="s">
        <v>4844</v>
      </c>
      <c r="KB38" s="92" t="s">
        <v>1476</v>
      </c>
      <c r="KC38" s="92" t="s">
        <v>192</v>
      </c>
      <c r="KD38" s="92" t="s">
        <v>4844</v>
      </c>
      <c r="KE38" s="92" t="s">
        <v>5560</v>
      </c>
      <c r="KF38" s="92">
        <v>250</v>
      </c>
      <c r="KG38" s="92" t="s">
        <v>1372</v>
      </c>
      <c r="KH38" s="92" t="s">
        <v>192</v>
      </c>
      <c r="KI38" s="92" t="s">
        <v>109</v>
      </c>
      <c r="KJ38" s="92" t="s">
        <v>192</v>
      </c>
      <c r="KK38" s="92" t="s">
        <v>109</v>
      </c>
      <c r="KL38" s="92" t="s">
        <v>1373</v>
      </c>
      <c r="KM38" s="92">
        <v>300</v>
      </c>
      <c r="KN38" s="92" t="s">
        <v>1372</v>
      </c>
      <c r="KO38" s="92" t="s">
        <v>1373</v>
      </c>
      <c r="KP38" s="92" t="s">
        <v>1401</v>
      </c>
      <c r="KQ38" s="92" t="s">
        <v>192</v>
      </c>
      <c r="KR38" s="92"/>
      <c r="KS38" s="92" t="s">
        <v>1345</v>
      </c>
      <c r="KT38" s="92" t="s">
        <v>1344</v>
      </c>
      <c r="KU38" s="92"/>
      <c r="KV38" s="92" t="s">
        <v>1441</v>
      </c>
      <c r="KW38" s="92" t="s">
        <v>1344</v>
      </c>
      <c r="KX38" s="92" t="s">
        <v>1376</v>
      </c>
      <c r="KY38" s="92" t="s">
        <v>1377</v>
      </c>
      <c r="KZ38" s="92" t="s">
        <v>5795</v>
      </c>
      <c r="LA38" s="92" t="s">
        <v>109</v>
      </c>
      <c r="LB38" s="92" t="s">
        <v>109</v>
      </c>
      <c r="LC38" s="92" t="s">
        <v>1372</v>
      </c>
      <c r="LD38" s="92" t="s">
        <v>4438</v>
      </c>
      <c r="LE38" s="92" t="s">
        <v>109</v>
      </c>
      <c r="LF38" s="92" t="s">
        <v>109</v>
      </c>
    </row>
    <row r="39" spans="1:318" x14ac:dyDescent="0.25">
      <c r="A39" t="s">
        <v>1636</v>
      </c>
      <c r="B39" t="s">
        <v>1637</v>
      </c>
      <c r="C39" t="s">
        <v>1304</v>
      </c>
      <c r="D39" t="s">
        <v>1305</v>
      </c>
      <c r="E39" t="s">
        <v>1306</v>
      </c>
      <c r="G39" t="s">
        <v>1307</v>
      </c>
      <c r="H39">
        <v>3</v>
      </c>
      <c r="I39" t="s">
        <v>1307</v>
      </c>
      <c r="J39" t="s">
        <v>1548</v>
      </c>
      <c r="K39" t="s">
        <v>1309</v>
      </c>
      <c r="L39" t="s">
        <v>1309</v>
      </c>
      <c r="M39" t="s">
        <v>1310</v>
      </c>
      <c r="N39" t="s">
        <v>1310</v>
      </c>
      <c r="O39" t="s">
        <v>1309</v>
      </c>
      <c r="P39" t="s">
        <v>1309</v>
      </c>
      <c r="Q39" t="s">
        <v>1309</v>
      </c>
      <c r="R39" t="s">
        <v>1309</v>
      </c>
      <c r="T39">
        <v>1</v>
      </c>
      <c r="U39" t="s">
        <v>1311</v>
      </c>
      <c r="V39" t="s">
        <v>1311</v>
      </c>
      <c r="W39" t="s">
        <v>1311</v>
      </c>
      <c r="X39" t="s">
        <v>1486</v>
      </c>
      <c r="Y39" t="s">
        <v>1312</v>
      </c>
      <c r="Z39" t="s">
        <v>1311</v>
      </c>
      <c r="AA39">
        <v>1</v>
      </c>
      <c r="AB39">
        <v>1</v>
      </c>
      <c r="AC39">
        <v>2</v>
      </c>
      <c r="AD39">
        <v>9000</v>
      </c>
      <c r="AE39">
        <v>7000</v>
      </c>
      <c r="AF39" t="s">
        <v>1351</v>
      </c>
      <c r="AH39" t="s">
        <v>1383</v>
      </c>
      <c r="AJ39" t="s">
        <v>1353</v>
      </c>
      <c r="AL39" t="s">
        <v>1331</v>
      </c>
      <c r="BA39" t="s">
        <v>1354</v>
      </c>
      <c r="BS39" t="s">
        <v>1307</v>
      </c>
      <c r="CE39" t="s">
        <v>1355</v>
      </c>
      <c r="CF39" t="s">
        <v>1309</v>
      </c>
      <c r="CG39" t="s">
        <v>1309</v>
      </c>
      <c r="CH39" t="s">
        <v>1309</v>
      </c>
      <c r="CI39" t="s">
        <v>1309</v>
      </c>
      <c r="CJ39" t="s">
        <v>1309</v>
      </c>
      <c r="CK39" t="s">
        <v>1309</v>
      </c>
      <c r="CL39" t="s">
        <v>1309</v>
      </c>
      <c r="CM39" t="s">
        <v>1309</v>
      </c>
      <c r="CN39" t="s">
        <v>1310</v>
      </c>
      <c r="CO39" t="s">
        <v>1309</v>
      </c>
      <c r="CP39" t="s">
        <v>1309</v>
      </c>
      <c r="CQ39" t="s">
        <v>1309</v>
      </c>
      <c r="CR39" t="s">
        <v>1309</v>
      </c>
      <c r="CT39" t="s">
        <v>4436</v>
      </c>
      <c r="CV39" t="s">
        <v>1308</v>
      </c>
      <c r="CW39" t="s">
        <v>1310</v>
      </c>
      <c r="CX39" t="s">
        <v>1309</v>
      </c>
      <c r="CY39" t="s">
        <v>1309</v>
      </c>
      <c r="CZ39" t="s">
        <v>1309</v>
      </c>
      <c r="DA39" t="s">
        <v>1309</v>
      </c>
      <c r="DB39" t="s">
        <v>1309</v>
      </c>
      <c r="DC39" t="s">
        <v>1309</v>
      </c>
      <c r="DE39" t="s">
        <v>1358</v>
      </c>
      <c r="DF39" t="s">
        <v>1307</v>
      </c>
      <c r="DI39">
        <v>600</v>
      </c>
      <c r="DJ39" t="s">
        <v>1358</v>
      </c>
      <c r="DM39">
        <v>800</v>
      </c>
      <c r="DN39" t="s">
        <v>1320</v>
      </c>
      <c r="DO39" t="s">
        <v>1310</v>
      </c>
      <c r="DP39" t="s">
        <v>1309</v>
      </c>
      <c r="DQ39" t="s">
        <v>1309</v>
      </c>
      <c r="DR39" t="s">
        <v>1309</v>
      </c>
      <c r="DS39" t="s">
        <v>1309</v>
      </c>
      <c r="DT39" t="s">
        <v>1310</v>
      </c>
      <c r="DU39" t="s">
        <v>1309</v>
      </c>
      <c r="DV39" t="s">
        <v>1309</v>
      </c>
      <c r="DW39" t="s">
        <v>1309</v>
      </c>
      <c r="DY39" t="s">
        <v>1481</v>
      </c>
      <c r="DZ39">
        <v>300</v>
      </c>
      <c r="EA39" t="s">
        <v>1319</v>
      </c>
      <c r="EC39" t="s">
        <v>1360</v>
      </c>
      <c r="ED39">
        <v>500</v>
      </c>
      <c r="EE39" t="s">
        <v>1319</v>
      </c>
      <c r="EG39" t="s">
        <v>5356</v>
      </c>
      <c r="EI39" t="s">
        <v>1307</v>
      </c>
      <c r="ET39" t="s">
        <v>1307</v>
      </c>
      <c r="EV39" t="s">
        <v>1319</v>
      </c>
      <c r="EW39" t="s">
        <v>1409</v>
      </c>
      <c r="EX39" t="s">
        <v>1319</v>
      </c>
      <c r="EZ39" t="s">
        <v>1307</v>
      </c>
      <c r="FA39" t="s">
        <v>1638</v>
      </c>
      <c r="FB39" t="s">
        <v>1309</v>
      </c>
      <c r="FC39" t="s">
        <v>1309</v>
      </c>
      <c r="FD39" t="s">
        <v>1309</v>
      </c>
      <c r="FE39" t="s">
        <v>1309</v>
      </c>
      <c r="FF39" t="s">
        <v>1309</v>
      </c>
      <c r="FG39" t="s">
        <v>1309</v>
      </c>
      <c r="FH39" t="s">
        <v>1309</v>
      </c>
      <c r="FI39" t="s">
        <v>1309</v>
      </c>
      <c r="FJ39" t="s">
        <v>1309</v>
      </c>
      <c r="FK39" t="s">
        <v>1309</v>
      </c>
      <c r="FL39" t="s">
        <v>1310</v>
      </c>
      <c r="FM39" t="s">
        <v>1310</v>
      </c>
      <c r="FN39" t="s">
        <v>1309</v>
      </c>
      <c r="FO39" t="s">
        <v>1309</v>
      </c>
      <c r="FP39" t="s">
        <v>1309</v>
      </c>
      <c r="FQ39" t="s">
        <v>1309</v>
      </c>
      <c r="FR39" t="s">
        <v>1309</v>
      </c>
      <c r="FT39" t="s">
        <v>1307</v>
      </c>
      <c r="GI39" t="s">
        <v>1324</v>
      </c>
      <c r="GJ39" t="s">
        <v>1324</v>
      </c>
      <c r="GT39" t="s">
        <v>1325</v>
      </c>
      <c r="GU39" t="s">
        <v>1310</v>
      </c>
      <c r="GV39" t="s">
        <v>1309</v>
      </c>
      <c r="GW39" t="s">
        <v>1309</v>
      </c>
      <c r="GX39" t="s">
        <v>1309</v>
      </c>
      <c r="GY39" t="s">
        <v>1309</v>
      </c>
      <c r="GZ39" t="s">
        <v>1309</v>
      </c>
      <c r="HA39" t="s">
        <v>1309</v>
      </c>
      <c r="HB39" t="s">
        <v>1309</v>
      </c>
      <c r="HC39" t="s">
        <v>1309</v>
      </c>
      <c r="HD39" t="s">
        <v>1309</v>
      </c>
      <c r="HE39" t="s">
        <v>1309</v>
      </c>
      <c r="HF39" t="s">
        <v>1309</v>
      </c>
      <c r="HH39" t="s">
        <v>1390</v>
      </c>
      <c r="HI39" t="s">
        <v>1390</v>
      </c>
      <c r="HJ39" t="s">
        <v>1390</v>
      </c>
      <c r="HK39" t="s">
        <v>1327</v>
      </c>
      <c r="HL39" t="s">
        <v>1328</v>
      </c>
      <c r="HM39" t="s">
        <v>1390</v>
      </c>
      <c r="HN39" t="s">
        <v>1414</v>
      </c>
      <c r="HO39" t="s">
        <v>1309</v>
      </c>
      <c r="HP39" t="s">
        <v>1309</v>
      </c>
      <c r="HQ39" t="s">
        <v>1309</v>
      </c>
      <c r="HR39" t="s">
        <v>1309</v>
      </c>
      <c r="HS39" t="s">
        <v>1309</v>
      </c>
      <c r="HT39" t="s">
        <v>1309</v>
      </c>
      <c r="HU39" t="s">
        <v>1309</v>
      </c>
      <c r="HV39" t="s">
        <v>1309</v>
      </c>
      <c r="HW39" t="s">
        <v>1309</v>
      </c>
      <c r="HX39" t="s">
        <v>1310</v>
      </c>
      <c r="HY39" t="s">
        <v>1309</v>
      </c>
      <c r="IA39" t="s">
        <v>1307</v>
      </c>
      <c r="IQ39" t="s">
        <v>1365</v>
      </c>
      <c r="IS39" t="s">
        <v>1316</v>
      </c>
      <c r="JF39" t="s">
        <v>1331</v>
      </c>
      <c r="JG39" t="s">
        <v>1639</v>
      </c>
      <c r="JH39" t="s">
        <v>1309</v>
      </c>
      <c r="JI39" t="s">
        <v>1310</v>
      </c>
      <c r="JJ39" t="s">
        <v>1309</v>
      </c>
      <c r="JK39" t="s">
        <v>1309</v>
      </c>
      <c r="JL39" t="s">
        <v>1309</v>
      </c>
      <c r="JM39" t="s">
        <v>1309</v>
      </c>
      <c r="JN39" t="s">
        <v>1309</v>
      </c>
      <c r="JO39" t="s">
        <v>1309</v>
      </c>
      <c r="JQ39" s="92" t="s">
        <v>1593</v>
      </c>
      <c r="JR39" s="92" t="s">
        <v>1640</v>
      </c>
      <c r="JS39" s="92">
        <v>58</v>
      </c>
      <c r="JT39" s="92" t="s">
        <v>1319</v>
      </c>
      <c r="JU39" s="92" t="s">
        <v>1335</v>
      </c>
      <c r="JV39" s="92" t="s">
        <v>1526</v>
      </c>
      <c r="JW39" s="92" t="s">
        <v>1296</v>
      </c>
      <c r="JX39" s="92" t="s">
        <v>70</v>
      </c>
      <c r="JY39" s="92" t="s">
        <v>5549</v>
      </c>
      <c r="JZ39" s="92" t="s">
        <v>1337</v>
      </c>
      <c r="KA39" s="92" t="s">
        <v>4845</v>
      </c>
      <c r="KB39" s="92" t="s">
        <v>1439</v>
      </c>
      <c r="KC39" s="92" t="s">
        <v>192</v>
      </c>
      <c r="KD39" s="92" t="s">
        <v>4847</v>
      </c>
      <c r="KE39" s="92" t="s">
        <v>1424</v>
      </c>
      <c r="KF39" s="92">
        <v>600</v>
      </c>
      <c r="KG39" s="92" t="s">
        <v>1372</v>
      </c>
      <c r="KH39" s="92" t="s">
        <v>109</v>
      </c>
      <c r="KI39" s="92" t="s">
        <v>109</v>
      </c>
      <c r="KJ39" s="92" t="s">
        <v>109</v>
      </c>
      <c r="KK39" s="92" t="s">
        <v>109</v>
      </c>
      <c r="KL39" s="92" t="s">
        <v>1374</v>
      </c>
      <c r="KM39" s="92">
        <v>800</v>
      </c>
      <c r="KN39" s="92" t="s">
        <v>1372</v>
      </c>
      <c r="KO39" s="92" t="s">
        <v>1374</v>
      </c>
      <c r="KP39" s="92" t="s">
        <v>1401</v>
      </c>
      <c r="KQ39" s="92" t="s">
        <v>109</v>
      </c>
      <c r="KR39" s="92"/>
      <c r="KS39" s="92" t="s">
        <v>1343</v>
      </c>
      <c r="KT39" s="92" t="s">
        <v>1344</v>
      </c>
      <c r="KU39" s="92"/>
      <c r="KV39" s="92" t="s">
        <v>1345</v>
      </c>
      <c r="KW39" s="92" t="s">
        <v>1344</v>
      </c>
      <c r="KX39" s="92" t="s">
        <v>1376</v>
      </c>
      <c r="KY39" s="92" t="s">
        <v>1377</v>
      </c>
      <c r="KZ39" s="92" t="s">
        <v>5795</v>
      </c>
      <c r="LA39" s="92" t="s">
        <v>192</v>
      </c>
      <c r="LB39" s="92" t="s">
        <v>192</v>
      </c>
      <c r="LC39" s="92" t="s">
        <v>1372</v>
      </c>
      <c r="LD39" s="92" t="s">
        <v>1372</v>
      </c>
      <c r="LE39" s="92" t="s">
        <v>109</v>
      </c>
      <c r="LF39" s="92" t="s">
        <v>109</v>
      </c>
    </row>
    <row r="40" spans="1:318" x14ac:dyDescent="0.25">
      <c r="A40" t="s">
        <v>1641</v>
      </c>
      <c r="B40" t="s">
        <v>1642</v>
      </c>
      <c r="C40" t="s">
        <v>1304</v>
      </c>
      <c r="D40" t="s">
        <v>1305</v>
      </c>
      <c r="E40" t="s">
        <v>1306</v>
      </c>
      <c r="G40" t="s">
        <v>1307</v>
      </c>
      <c r="H40">
        <v>3</v>
      </c>
      <c r="I40" t="s">
        <v>1307</v>
      </c>
      <c r="J40" t="s">
        <v>1308</v>
      </c>
      <c r="K40" t="s">
        <v>1309</v>
      </c>
      <c r="L40" t="s">
        <v>1309</v>
      </c>
      <c r="M40" t="s">
        <v>1309</v>
      </c>
      <c r="N40" t="s">
        <v>1309</v>
      </c>
      <c r="O40" t="s">
        <v>1309</v>
      </c>
      <c r="P40" t="s">
        <v>1309</v>
      </c>
      <c r="Q40" t="s">
        <v>1310</v>
      </c>
      <c r="R40" t="s">
        <v>1309</v>
      </c>
      <c r="U40" t="s">
        <v>1312</v>
      </c>
      <c r="V40" t="s">
        <v>1312</v>
      </c>
      <c r="W40" t="s">
        <v>1312</v>
      </c>
      <c r="X40" t="s">
        <v>1312</v>
      </c>
      <c r="Y40" t="s">
        <v>1312</v>
      </c>
      <c r="Z40" t="s">
        <v>1312</v>
      </c>
      <c r="AC40">
        <v>1</v>
      </c>
      <c r="AD40">
        <v>4500</v>
      </c>
      <c r="AE40">
        <v>15000</v>
      </c>
      <c r="AF40" t="s">
        <v>1351</v>
      </c>
      <c r="AH40" t="s">
        <v>1383</v>
      </c>
      <c r="AJ40" t="s">
        <v>1315</v>
      </c>
      <c r="AL40" t="s">
        <v>1354</v>
      </c>
      <c r="BS40" t="s">
        <v>1307</v>
      </c>
      <c r="CE40" t="s">
        <v>1384</v>
      </c>
      <c r="CF40" t="s">
        <v>1310</v>
      </c>
      <c r="CG40" t="s">
        <v>1309</v>
      </c>
      <c r="CH40" t="s">
        <v>1309</v>
      </c>
      <c r="CI40" t="s">
        <v>1309</v>
      </c>
      <c r="CJ40" t="s">
        <v>1309</v>
      </c>
      <c r="CK40" t="s">
        <v>1309</v>
      </c>
      <c r="CL40" t="s">
        <v>1309</v>
      </c>
      <c r="CM40" t="s">
        <v>1309</v>
      </c>
      <c r="CN40" t="s">
        <v>1309</v>
      </c>
      <c r="CO40" t="s">
        <v>1309</v>
      </c>
      <c r="CP40" t="s">
        <v>1309</v>
      </c>
      <c r="CQ40" t="s">
        <v>1309</v>
      </c>
      <c r="CR40" t="s">
        <v>1309</v>
      </c>
      <c r="CT40" t="s">
        <v>4434</v>
      </c>
      <c r="CV40" t="s">
        <v>1308</v>
      </c>
      <c r="CW40" t="s">
        <v>1310</v>
      </c>
      <c r="CX40" t="s">
        <v>1309</v>
      </c>
      <c r="CY40" t="s">
        <v>1309</v>
      </c>
      <c r="CZ40" t="s">
        <v>1309</v>
      </c>
      <c r="DA40" t="s">
        <v>1309</v>
      </c>
      <c r="DB40" t="s">
        <v>1309</v>
      </c>
      <c r="DC40" t="s">
        <v>1309</v>
      </c>
      <c r="DE40" t="s">
        <v>1358</v>
      </c>
      <c r="DG40">
        <v>3500</v>
      </c>
      <c r="DI40">
        <v>650</v>
      </c>
      <c r="DJ40" t="s">
        <v>1358</v>
      </c>
      <c r="DK40">
        <v>2500</v>
      </c>
      <c r="DM40">
        <v>550</v>
      </c>
      <c r="DN40" t="s">
        <v>1445</v>
      </c>
      <c r="DO40" t="s">
        <v>1310</v>
      </c>
      <c r="DP40" t="s">
        <v>1310</v>
      </c>
      <c r="DQ40" t="s">
        <v>1309</v>
      </c>
      <c r="DR40" t="s">
        <v>1309</v>
      </c>
      <c r="DS40" t="s">
        <v>1309</v>
      </c>
      <c r="DT40" t="s">
        <v>1310</v>
      </c>
      <c r="DU40" t="s">
        <v>1309</v>
      </c>
      <c r="DV40" t="s">
        <v>1309</v>
      </c>
      <c r="DW40" t="s">
        <v>1309</v>
      </c>
      <c r="DY40" t="s">
        <v>1643</v>
      </c>
      <c r="DZ40">
        <v>300</v>
      </c>
      <c r="EA40" t="s">
        <v>1319</v>
      </c>
      <c r="EC40" t="s">
        <v>1457</v>
      </c>
      <c r="ED40">
        <v>970</v>
      </c>
      <c r="EE40" t="s">
        <v>1319</v>
      </c>
      <c r="EG40" t="s">
        <v>5356</v>
      </c>
      <c r="EI40" t="s">
        <v>1307</v>
      </c>
      <c r="ET40" t="s">
        <v>1307</v>
      </c>
      <c r="EV40" t="s">
        <v>1319</v>
      </c>
      <c r="EW40" t="s">
        <v>1409</v>
      </c>
      <c r="EX40" t="s">
        <v>1319</v>
      </c>
      <c r="EY40" t="s">
        <v>1319</v>
      </c>
      <c r="FA40" t="s">
        <v>1323</v>
      </c>
      <c r="FB40" t="s">
        <v>1310</v>
      </c>
      <c r="FC40" t="s">
        <v>1309</v>
      </c>
      <c r="FD40" t="s">
        <v>1309</v>
      </c>
      <c r="FE40" t="s">
        <v>1309</v>
      </c>
      <c r="FF40" t="s">
        <v>1309</v>
      </c>
      <c r="FG40" t="s">
        <v>1309</v>
      </c>
      <c r="FH40" t="s">
        <v>1309</v>
      </c>
      <c r="FI40" t="s">
        <v>1309</v>
      </c>
      <c r="FJ40" t="s">
        <v>1309</v>
      </c>
      <c r="FK40" t="s">
        <v>1309</v>
      </c>
      <c r="FL40" t="s">
        <v>1309</v>
      </c>
      <c r="FM40" t="s">
        <v>1309</v>
      </c>
      <c r="FN40" t="s">
        <v>1309</v>
      </c>
      <c r="FO40" t="s">
        <v>1309</v>
      </c>
      <c r="FP40" t="s">
        <v>1309</v>
      </c>
      <c r="FQ40" t="s">
        <v>1309</v>
      </c>
      <c r="FR40" t="s">
        <v>1309</v>
      </c>
      <c r="FT40" t="s">
        <v>1307</v>
      </c>
      <c r="GI40" t="s">
        <v>1324</v>
      </c>
      <c r="GJ40" t="s">
        <v>1324</v>
      </c>
      <c r="GT40" t="s">
        <v>1325</v>
      </c>
      <c r="GU40" t="s">
        <v>1310</v>
      </c>
      <c r="GV40" t="s">
        <v>1309</v>
      </c>
      <c r="GW40" t="s">
        <v>1309</v>
      </c>
      <c r="GX40" t="s">
        <v>1309</v>
      </c>
      <c r="GY40" t="s">
        <v>1309</v>
      </c>
      <c r="GZ40" t="s">
        <v>1309</v>
      </c>
      <c r="HA40" t="s">
        <v>1309</v>
      </c>
      <c r="HB40" t="s">
        <v>1309</v>
      </c>
      <c r="HC40" t="s">
        <v>1309</v>
      </c>
      <c r="HD40" t="s">
        <v>1309</v>
      </c>
      <c r="HE40" t="s">
        <v>1309</v>
      </c>
      <c r="HF40" t="s">
        <v>1309</v>
      </c>
      <c r="HH40" t="s">
        <v>1390</v>
      </c>
      <c r="HI40" t="s">
        <v>1390</v>
      </c>
      <c r="HJ40" t="s">
        <v>1390</v>
      </c>
      <c r="HK40" t="s">
        <v>1327</v>
      </c>
      <c r="HL40" t="s">
        <v>1364</v>
      </c>
      <c r="HM40" t="s">
        <v>1390</v>
      </c>
      <c r="IA40" t="s">
        <v>1307</v>
      </c>
      <c r="IQ40" t="s">
        <v>1365</v>
      </c>
      <c r="IS40" t="s">
        <v>1316</v>
      </c>
      <c r="JF40" t="s">
        <v>1316</v>
      </c>
      <c r="JG40" t="s">
        <v>1414</v>
      </c>
      <c r="JH40" t="s">
        <v>1309</v>
      </c>
      <c r="JI40" t="s">
        <v>1309</v>
      </c>
      <c r="JJ40" t="s">
        <v>1309</v>
      </c>
      <c r="JK40" t="s">
        <v>1309</v>
      </c>
      <c r="JL40" t="s">
        <v>1309</v>
      </c>
      <c r="JM40" t="s">
        <v>1309</v>
      </c>
      <c r="JN40" t="s">
        <v>1310</v>
      </c>
      <c r="JO40" t="s">
        <v>1309</v>
      </c>
      <c r="JQ40" s="92" t="s">
        <v>1333</v>
      </c>
      <c r="JR40" s="92" t="s">
        <v>1644</v>
      </c>
      <c r="JS40" s="92">
        <v>48</v>
      </c>
      <c r="JT40" s="92" t="s">
        <v>1319</v>
      </c>
      <c r="JU40" s="92" t="s">
        <v>1335</v>
      </c>
      <c r="JV40" s="92" t="s">
        <v>1336</v>
      </c>
      <c r="JW40" s="92" t="s">
        <v>1296</v>
      </c>
      <c r="JX40" s="92" t="s">
        <v>70</v>
      </c>
      <c r="JY40" s="92" t="s">
        <v>5549</v>
      </c>
      <c r="JZ40" s="92" t="s">
        <v>1337</v>
      </c>
      <c r="KA40" s="92" t="s">
        <v>4845</v>
      </c>
      <c r="KB40" s="92" t="s">
        <v>1338</v>
      </c>
      <c r="KC40" s="92" t="s">
        <v>109</v>
      </c>
      <c r="KD40" s="92" t="s">
        <v>4844</v>
      </c>
      <c r="KE40" s="92" t="s">
        <v>5560</v>
      </c>
      <c r="KF40" s="92">
        <v>4150</v>
      </c>
      <c r="KG40" s="92" t="s">
        <v>1426</v>
      </c>
      <c r="KH40" s="92" t="s">
        <v>192</v>
      </c>
      <c r="KI40" s="92" t="s">
        <v>109</v>
      </c>
      <c r="KJ40" s="92" t="s">
        <v>192</v>
      </c>
      <c r="KK40" s="92" t="s">
        <v>109</v>
      </c>
      <c r="KL40" s="92" t="s">
        <v>1341</v>
      </c>
      <c r="KM40" s="92">
        <v>3050</v>
      </c>
      <c r="KN40" s="92" t="s">
        <v>1400</v>
      </c>
      <c r="KO40" s="92" t="s">
        <v>1341</v>
      </c>
      <c r="KP40" s="92" t="s">
        <v>1460</v>
      </c>
      <c r="KQ40" s="92" t="s">
        <v>192</v>
      </c>
      <c r="KR40" s="92">
        <v>7</v>
      </c>
      <c r="KS40" s="92" t="s">
        <v>1343</v>
      </c>
      <c r="KT40" s="92" t="s">
        <v>1344</v>
      </c>
      <c r="KU40" s="92">
        <v>32</v>
      </c>
      <c r="KV40" s="92" t="s">
        <v>1461</v>
      </c>
      <c r="KW40" s="92" t="s">
        <v>1344</v>
      </c>
      <c r="KX40" s="92" t="s">
        <v>1621</v>
      </c>
      <c r="KY40" s="92" t="s">
        <v>1377</v>
      </c>
      <c r="KZ40" s="92" t="s">
        <v>5795</v>
      </c>
      <c r="LA40" s="92" t="s">
        <v>109</v>
      </c>
      <c r="LB40" s="92" t="s">
        <v>109</v>
      </c>
      <c r="LC40" s="92" t="s">
        <v>4438</v>
      </c>
      <c r="LD40" s="92" t="s">
        <v>4438</v>
      </c>
      <c r="LE40" s="92" t="s">
        <v>192</v>
      </c>
      <c r="LF40" s="92" t="s">
        <v>192</v>
      </c>
    </row>
    <row r="41" spans="1:318" x14ac:dyDescent="0.25">
      <c r="A41" t="s">
        <v>1645</v>
      </c>
      <c r="B41" t="s">
        <v>1646</v>
      </c>
      <c r="C41" t="s">
        <v>1304</v>
      </c>
      <c r="D41" t="s">
        <v>1305</v>
      </c>
      <c r="E41" t="s">
        <v>1306</v>
      </c>
      <c r="G41" t="s">
        <v>1307</v>
      </c>
      <c r="H41">
        <v>2</v>
      </c>
      <c r="I41" t="s">
        <v>1307</v>
      </c>
      <c r="J41" t="s">
        <v>1430</v>
      </c>
      <c r="K41" t="s">
        <v>1309</v>
      </c>
      <c r="L41" t="s">
        <v>1309</v>
      </c>
      <c r="M41" t="s">
        <v>1310</v>
      </c>
      <c r="N41" t="s">
        <v>1309</v>
      </c>
      <c r="O41" t="s">
        <v>1309</v>
      </c>
      <c r="P41" t="s">
        <v>1309</v>
      </c>
      <c r="Q41" t="s">
        <v>1309</v>
      </c>
      <c r="R41" t="s">
        <v>1309</v>
      </c>
      <c r="T41">
        <v>2</v>
      </c>
      <c r="U41" t="s">
        <v>1311</v>
      </c>
      <c r="V41" t="s">
        <v>1312</v>
      </c>
      <c r="W41" t="s">
        <v>1311</v>
      </c>
      <c r="X41" t="s">
        <v>1312</v>
      </c>
      <c r="Y41" t="s">
        <v>1312</v>
      </c>
      <c r="Z41" t="s">
        <v>1312</v>
      </c>
      <c r="AC41">
        <v>2</v>
      </c>
      <c r="AD41">
        <v>6000</v>
      </c>
      <c r="AE41">
        <v>4000</v>
      </c>
      <c r="AF41" t="s">
        <v>1351</v>
      </c>
      <c r="AH41" t="s">
        <v>1352</v>
      </c>
      <c r="AJ41" t="s">
        <v>1353</v>
      </c>
      <c r="AL41" t="s">
        <v>1316</v>
      </c>
      <c r="BA41" t="s">
        <v>1354</v>
      </c>
      <c r="BS41" t="s">
        <v>1307</v>
      </c>
      <c r="CE41" t="s">
        <v>1355</v>
      </c>
      <c r="CF41" t="s">
        <v>1309</v>
      </c>
      <c r="CG41" t="s">
        <v>1309</v>
      </c>
      <c r="CH41" t="s">
        <v>1309</v>
      </c>
      <c r="CI41" t="s">
        <v>1309</v>
      </c>
      <c r="CJ41" t="s">
        <v>1309</v>
      </c>
      <c r="CK41" t="s">
        <v>1309</v>
      </c>
      <c r="CL41" t="s">
        <v>1309</v>
      </c>
      <c r="CM41" t="s">
        <v>1309</v>
      </c>
      <c r="CN41" t="s">
        <v>1310</v>
      </c>
      <c r="CO41" t="s">
        <v>1309</v>
      </c>
      <c r="CP41" t="s">
        <v>1309</v>
      </c>
      <c r="CQ41" t="s">
        <v>1309</v>
      </c>
      <c r="CR41" t="s">
        <v>1309</v>
      </c>
      <c r="CT41" t="s">
        <v>4436</v>
      </c>
      <c r="CV41" t="s">
        <v>1308</v>
      </c>
      <c r="CW41" t="s">
        <v>1310</v>
      </c>
      <c r="CX41" t="s">
        <v>1309</v>
      </c>
      <c r="CY41" t="s">
        <v>1309</v>
      </c>
      <c r="CZ41" t="s">
        <v>1309</v>
      </c>
      <c r="DA41" t="s">
        <v>1309</v>
      </c>
      <c r="DB41" t="s">
        <v>1309</v>
      </c>
      <c r="DC41" t="s">
        <v>1309</v>
      </c>
      <c r="DE41" t="s">
        <v>1358</v>
      </c>
      <c r="DF41" t="s">
        <v>1319</v>
      </c>
      <c r="DG41">
        <v>500</v>
      </c>
      <c r="DH41">
        <v>300</v>
      </c>
      <c r="DI41">
        <v>300</v>
      </c>
      <c r="DJ41" t="s">
        <v>1358</v>
      </c>
      <c r="DK41">
        <v>200</v>
      </c>
      <c r="DM41">
        <v>300</v>
      </c>
      <c r="DN41" t="s">
        <v>1647</v>
      </c>
      <c r="DO41" t="s">
        <v>1310</v>
      </c>
      <c r="DP41" t="s">
        <v>1309</v>
      </c>
      <c r="DQ41" t="s">
        <v>1309</v>
      </c>
      <c r="DR41" t="s">
        <v>1310</v>
      </c>
      <c r="DS41" t="s">
        <v>1309</v>
      </c>
      <c r="DT41" t="s">
        <v>1310</v>
      </c>
      <c r="DU41" t="s">
        <v>1309</v>
      </c>
      <c r="DV41" t="s">
        <v>1309</v>
      </c>
      <c r="DW41" t="s">
        <v>1309</v>
      </c>
      <c r="DY41" t="s">
        <v>1456</v>
      </c>
      <c r="DZ41">
        <v>500</v>
      </c>
      <c r="EA41" t="s">
        <v>1386</v>
      </c>
      <c r="EC41" t="s">
        <v>1457</v>
      </c>
      <c r="ED41">
        <v>800</v>
      </c>
      <c r="EE41" t="s">
        <v>1386</v>
      </c>
      <c r="EG41" t="s">
        <v>5356</v>
      </c>
      <c r="EI41" t="s">
        <v>1307</v>
      </c>
      <c r="ET41" t="s">
        <v>1307</v>
      </c>
      <c r="EV41" t="s">
        <v>1319</v>
      </c>
      <c r="EW41" t="s">
        <v>1409</v>
      </c>
      <c r="EX41" t="s">
        <v>1319</v>
      </c>
      <c r="EY41" t="s">
        <v>1319</v>
      </c>
      <c r="EZ41" t="s">
        <v>1319</v>
      </c>
      <c r="FA41" t="s">
        <v>1648</v>
      </c>
      <c r="FB41" t="s">
        <v>1309</v>
      </c>
      <c r="FC41" t="s">
        <v>1309</v>
      </c>
      <c r="FD41" t="s">
        <v>1309</v>
      </c>
      <c r="FE41" t="s">
        <v>1310</v>
      </c>
      <c r="FF41" t="s">
        <v>1309</v>
      </c>
      <c r="FG41" t="s">
        <v>1309</v>
      </c>
      <c r="FH41" t="s">
        <v>1310</v>
      </c>
      <c r="FI41" t="s">
        <v>1310</v>
      </c>
      <c r="FJ41" t="s">
        <v>1309</v>
      </c>
      <c r="FK41" t="s">
        <v>1310</v>
      </c>
      <c r="FL41" t="s">
        <v>1309</v>
      </c>
      <c r="FM41" t="s">
        <v>1309</v>
      </c>
      <c r="FN41" t="s">
        <v>1310</v>
      </c>
      <c r="FO41" t="s">
        <v>1309</v>
      </c>
      <c r="FP41" t="s">
        <v>1309</v>
      </c>
      <c r="FQ41" t="s">
        <v>1309</v>
      </c>
      <c r="FR41" t="s">
        <v>1309</v>
      </c>
      <c r="FT41" t="s">
        <v>1319</v>
      </c>
      <c r="FU41" t="s">
        <v>1649</v>
      </c>
      <c r="FV41" t="s">
        <v>1310</v>
      </c>
      <c r="FW41" t="s">
        <v>1310</v>
      </c>
      <c r="FX41" t="s">
        <v>1309</v>
      </c>
      <c r="FY41" t="s">
        <v>1309</v>
      </c>
      <c r="FZ41" t="s">
        <v>1309</v>
      </c>
      <c r="GA41" t="s">
        <v>1309</v>
      </c>
      <c r="GB41" t="s">
        <v>1309</v>
      </c>
      <c r="GC41" t="s">
        <v>1309</v>
      </c>
      <c r="GD41" t="s">
        <v>1309</v>
      </c>
      <c r="GE41" t="s">
        <v>1309</v>
      </c>
      <c r="GF41" t="s">
        <v>1309</v>
      </c>
      <c r="GG41" t="s">
        <v>1309</v>
      </c>
      <c r="GI41" t="s">
        <v>1324</v>
      </c>
      <c r="GJ41" t="s">
        <v>1324</v>
      </c>
      <c r="GT41" t="s">
        <v>1325</v>
      </c>
      <c r="GU41" t="s">
        <v>1310</v>
      </c>
      <c r="GV41" t="s">
        <v>1309</v>
      </c>
      <c r="GW41" t="s">
        <v>1309</v>
      </c>
      <c r="GX41" t="s">
        <v>1309</v>
      </c>
      <c r="GY41" t="s">
        <v>1309</v>
      </c>
      <c r="GZ41" t="s">
        <v>1309</v>
      </c>
      <c r="HA41" t="s">
        <v>1309</v>
      </c>
      <c r="HB41" t="s">
        <v>1309</v>
      </c>
      <c r="HC41" t="s">
        <v>1309</v>
      </c>
      <c r="HD41" t="s">
        <v>1309</v>
      </c>
      <c r="HE41" t="s">
        <v>1309</v>
      </c>
      <c r="HF41" t="s">
        <v>1309</v>
      </c>
      <c r="HH41" t="s">
        <v>1390</v>
      </c>
      <c r="HI41" t="s">
        <v>1390</v>
      </c>
      <c r="HJ41" t="s">
        <v>1390</v>
      </c>
      <c r="HK41" t="s">
        <v>1363</v>
      </c>
      <c r="HL41" t="s">
        <v>1328</v>
      </c>
      <c r="HM41" t="s">
        <v>1326</v>
      </c>
      <c r="HN41" t="s">
        <v>1650</v>
      </c>
      <c r="HO41" t="s">
        <v>1310</v>
      </c>
      <c r="HP41" t="s">
        <v>1310</v>
      </c>
      <c r="HQ41" t="s">
        <v>1310</v>
      </c>
      <c r="HR41" t="s">
        <v>1309</v>
      </c>
      <c r="HS41" t="s">
        <v>1309</v>
      </c>
      <c r="HT41" t="s">
        <v>1309</v>
      </c>
      <c r="HU41" t="s">
        <v>1309</v>
      </c>
      <c r="HV41" t="s">
        <v>1309</v>
      </c>
      <c r="HW41" t="s">
        <v>1309</v>
      </c>
      <c r="HX41" t="s">
        <v>1309</v>
      </c>
      <c r="HY41" t="s">
        <v>1309</v>
      </c>
      <c r="IA41" t="s">
        <v>1307</v>
      </c>
      <c r="IQ41" t="s">
        <v>1365</v>
      </c>
      <c r="IS41" t="s">
        <v>1316</v>
      </c>
      <c r="JF41" t="s">
        <v>1331</v>
      </c>
      <c r="JG41" t="s">
        <v>1451</v>
      </c>
      <c r="JH41" t="s">
        <v>1310</v>
      </c>
      <c r="JI41" t="s">
        <v>1309</v>
      </c>
      <c r="JJ41" t="s">
        <v>1309</v>
      </c>
      <c r="JK41" t="s">
        <v>1310</v>
      </c>
      <c r="JL41" t="s">
        <v>1309</v>
      </c>
      <c r="JM41" t="s">
        <v>1309</v>
      </c>
      <c r="JN41" t="s">
        <v>1309</v>
      </c>
      <c r="JO41" t="s">
        <v>1309</v>
      </c>
      <c r="JQ41" s="92" t="s">
        <v>1593</v>
      </c>
      <c r="JR41" s="92" t="s">
        <v>1651</v>
      </c>
      <c r="JS41" s="92">
        <v>68</v>
      </c>
      <c r="JT41" s="92" t="s">
        <v>1319</v>
      </c>
      <c r="JU41" s="92" t="s">
        <v>1335</v>
      </c>
      <c r="JV41" s="92" t="s">
        <v>1526</v>
      </c>
      <c r="JW41" s="92" t="s">
        <v>1296</v>
      </c>
      <c r="JX41" s="92" t="s">
        <v>70</v>
      </c>
      <c r="JY41" s="92" t="s">
        <v>5549</v>
      </c>
      <c r="JZ41" s="92" t="s">
        <v>1369</v>
      </c>
      <c r="KA41" s="92" t="s">
        <v>4845</v>
      </c>
      <c r="KB41" s="92" t="s">
        <v>1476</v>
      </c>
      <c r="KC41" s="92" t="s">
        <v>109</v>
      </c>
      <c r="KD41" s="92" t="s">
        <v>4847</v>
      </c>
      <c r="KE41" s="92" t="s">
        <v>1424</v>
      </c>
      <c r="KF41" s="92">
        <v>1100</v>
      </c>
      <c r="KG41" s="92" t="s">
        <v>4438</v>
      </c>
      <c r="KH41" s="92" t="s">
        <v>192</v>
      </c>
      <c r="KI41" s="92" t="s">
        <v>192</v>
      </c>
      <c r="KJ41" s="92" t="s">
        <v>192</v>
      </c>
      <c r="KK41" s="92" t="s">
        <v>109</v>
      </c>
      <c r="KL41" s="92" t="s">
        <v>1440</v>
      </c>
      <c r="KM41" s="92">
        <v>500</v>
      </c>
      <c r="KN41" s="92" t="s">
        <v>1372</v>
      </c>
      <c r="KO41" s="92" t="s">
        <v>1373</v>
      </c>
      <c r="KP41" s="92" t="s">
        <v>1401</v>
      </c>
      <c r="KQ41" s="92" t="s">
        <v>192</v>
      </c>
      <c r="KR41" s="92"/>
      <c r="KS41" s="92" t="s">
        <v>1345</v>
      </c>
      <c r="KT41" s="92" t="s">
        <v>1402</v>
      </c>
      <c r="KU41" s="92"/>
      <c r="KV41" s="92" t="s">
        <v>1441</v>
      </c>
      <c r="KW41" s="92" t="s">
        <v>1402</v>
      </c>
      <c r="KX41" s="92" t="s">
        <v>1376</v>
      </c>
      <c r="KY41" s="92" t="s">
        <v>1377</v>
      </c>
      <c r="KZ41" s="92" t="s">
        <v>5795</v>
      </c>
      <c r="LA41" s="92" t="s">
        <v>109</v>
      </c>
      <c r="LB41" s="92" t="s">
        <v>109</v>
      </c>
      <c r="LC41" s="92" t="s">
        <v>4438</v>
      </c>
      <c r="LD41" s="92" t="s">
        <v>4438</v>
      </c>
      <c r="LE41" s="92" t="s">
        <v>109</v>
      </c>
      <c r="LF41" s="92" t="s">
        <v>109</v>
      </c>
    </row>
    <row r="42" spans="1:318" x14ac:dyDescent="0.25">
      <c r="A42" t="s">
        <v>1652</v>
      </c>
      <c r="B42" t="s">
        <v>1653</v>
      </c>
      <c r="C42" t="s">
        <v>1304</v>
      </c>
      <c r="D42" t="s">
        <v>1305</v>
      </c>
      <c r="E42" t="s">
        <v>1306</v>
      </c>
      <c r="G42" t="s">
        <v>1307</v>
      </c>
      <c r="H42">
        <v>2</v>
      </c>
      <c r="I42" t="s">
        <v>1307</v>
      </c>
      <c r="J42" t="s">
        <v>1308</v>
      </c>
      <c r="K42" t="s">
        <v>1309</v>
      </c>
      <c r="L42" t="s">
        <v>1309</v>
      </c>
      <c r="M42" t="s">
        <v>1309</v>
      </c>
      <c r="N42" t="s">
        <v>1309</v>
      </c>
      <c r="O42" t="s">
        <v>1309</v>
      </c>
      <c r="P42" t="s">
        <v>1309</v>
      </c>
      <c r="Q42" t="s">
        <v>1310</v>
      </c>
      <c r="R42" t="s">
        <v>1309</v>
      </c>
      <c r="U42" t="s">
        <v>1311</v>
      </c>
      <c r="V42" t="s">
        <v>1312</v>
      </c>
      <c r="W42" t="s">
        <v>1312</v>
      </c>
      <c r="X42" t="s">
        <v>1312</v>
      </c>
      <c r="Y42" t="s">
        <v>1312</v>
      </c>
      <c r="Z42" t="s">
        <v>1312</v>
      </c>
      <c r="AC42">
        <v>1</v>
      </c>
      <c r="AD42">
        <v>5000</v>
      </c>
      <c r="AE42">
        <v>4000</v>
      </c>
      <c r="AF42" t="s">
        <v>1351</v>
      </c>
      <c r="AH42" t="s">
        <v>1314</v>
      </c>
      <c r="AJ42" t="s">
        <v>1315</v>
      </c>
      <c r="AL42" t="s">
        <v>1354</v>
      </c>
      <c r="BS42" t="s">
        <v>1307</v>
      </c>
      <c r="CE42" t="s">
        <v>1355</v>
      </c>
      <c r="CF42" t="s">
        <v>1309</v>
      </c>
      <c r="CG42" t="s">
        <v>1309</v>
      </c>
      <c r="CH42" t="s">
        <v>1309</v>
      </c>
      <c r="CI42" t="s">
        <v>1309</v>
      </c>
      <c r="CJ42" t="s">
        <v>1309</v>
      </c>
      <c r="CK42" t="s">
        <v>1309</v>
      </c>
      <c r="CL42" t="s">
        <v>1309</v>
      </c>
      <c r="CM42" t="s">
        <v>1309</v>
      </c>
      <c r="CN42" t="s">
        <v>1310</v>
      </c>
      <c r="CO42" t="s">
        <v>1309</v>
      </c>
      <c r="CP42" t="s">
        <v>1309</v>
      </c>
      <c r="CQ42" t="s">
        <v>1309</v>
      </c>
      <c r="CR42" t="s">
        <v>1309</v>
      </c>
      <c r="CT42" t="s">
        <v>4436</v>
      </c>
      <c r="CV42" t="s">
        <v>1308</v>
      </c>
      <c r="CW42" t="s">
        <v>1310</v>
      </c>
      <c r="CX42" t="s">
        <v>1309</v>
      </c>
      <c r="CY42" t="s">
        <v>1309</v>
      </c>
      <c r="CZ42" t="s">
        <v>1309</v>
      </c>
      <c r="DA42" t="s">
        <v>1309</v>
      </c>
      <c r="DB42" t="s">
        <v>1309</v>
      </c>
      <c r="DC42" t="s">
        <v>1309</v>
      </c>
      <c r="DE42" t="s">
        <v>1358</v>
      </c>
      <c r="DF42" t="s">
        <v>1319</v>
      </c>
      <c r="DG42">
        <v>300</v>
      </c>
      <c r="DI42">
        <v>450</v>
      </c>
      <c r="DJ42" t="s">
        <v>1358</v>
      </c>
      <c r="DK42">
        <v>450</v>
      </c>
      <c r="DM42">
        <v>500</v>
      </c>
      <c r="DN42" t="s">
        <v>1320</v>
      </c>
      <c r="DO42" t="s">
        <v>1310</v>
      </c>
      <c r="DP42" t="s">
        <v>1309</v>
      </c>
      <c r="DQ42" t="s">
        <v>1309</v>
      </c>
      <c r="DR42" t="s">
        <v>1309</v>
      </c>
      <c r="DS42" t="s">
        <v>1309</v>
      </c>
      <c r="DT42" t="s">
        <v>1310</v>
      </c>
      <c r="DU42" t="s">
        <v>1309</v>
      </c>
      <c r="DV42" t="s">
        <v>1309</v>
      </c>
      <c r="DW42" t="s">
        <v>1309</v>
      </c>
      <c r="DY42" t="s">
        <v>1481</v>
      </c>
      <c r="DZ42">
        <v>500</v>
      </c>
      <c r="EA42" t="s">
        <v>1319</v>
      </c>
      <c r="EC42" t="s">
        <v>1457</v>
      </c>
      <c r="ED42">
        <v>500</v>
      </c>
      <c r="EE42" t="s">
        <v>1319</v>
      </c>
      <c r="EG42" t="s">
        <v>5356</v>
      </c>
      <c r="EI42" t="s">
        <v>1307</v>
      </c>
      <c r="ET42" t="s">
        <v>1307</v>
      </c>
      <c r="EV42" t="s">
        <v>1319</v>
      </c>
      <c r="EW42" t="s">
        <v>1421</v>
      </c>
      <c r="EX42" t="s">
        <v>1319</v>
      </c>
      <c r="EY42" t="s">
        <v>1319</v>
      </c>
      <c r="EZ42" t="s">
        <v>1319</v>
      </c>
      <c r="FA42" t="s">
        <v>1654</v>
      </c>
      <c r="FB42" t="s">
        <v>1309</v>
      </c>
      <c r="FC42" t="s">
        <v>1309</v>
      </c>
      <c r="FD42" t="s">
        <v>1309</v>
      </c>
      <c r="FE42" t="s">
        <v>1309</v>
      </c>
      <c r="FF42" t="s">
        <v>1309</v>
      </c>
      <c r="FG42" t="s">
        <v>1309</v>
      </c>
      <c r="FH42" t="s">
        <v>1309</v>
      </c>
      <c r="FI42" t="s">
        <v>1310</v>
      </c>
      <c r="FJ42" t="s">
        <v>1309</v>
      </c>
      <c r="FK42" t="s">
        <v>1310</v>
      </c>
      <c r="FL42" t="s">
        <v>1309</v>
      </c>
      <c r="FM42" t="s">
        <v>1309</v>
      </c>
      <c r="FN42" t="s">
        <v>1310</v>
      </c>
      <c r="FO42" t="s">
        <v>1309</v>
      </c>
      <c r="FP42" t="s">
        <v>1309</v>
      </c>
      <c r="FQ42" t="s">
        <v>1309</v>
      </c>
      <c r="FR42" t="s">
        <v>1309</v>
      </c>
      <c r="FT42" t="s">
        <v>1319</v>
      </c>
      <c r="FU42" t="s">
        <v>1649</v>
      </c>
      <c r="FV42" t="s">
        <v>1310</v>
      </c>
      <c r="FW42" t="s">
        <v>1310</v>
      </c>
      <c r="FX42" t="s">
        <v>1309</v>
      </c>
      <c r="FY42" t="s">
        <v>1309</v>
      </c>
      <c r="FZ42" t="s">
        <v>1309</v>
      </c>
      <c r="GA42" t="s">
        <v>1309</v>
      </c>
      <c r="GB42" t="s">
        <v>1309</v>
      </c>
      <c r="GC42" t="s">
        <v>1309</v>
      </c>
      <c r="GD42" t="s">
        <v>1309</v>
      </c>
      <c r="GE42" t="s">
        <v>1309</v>
      </c>
      <c r="GF42" t="s">
        <v>1309</v>
      </c>
      <c r="GG42" t="s">
        <v>1309</v>
      </c>
      <c r="GI42" t="s">
        <v>1324</v>
      </c>
      <c r="GJ42" t="s">
        <v>1324</v>
      </c>
      <c r="GT42" t="s">
        <v>1325</v>
      </c>
      <c r="GU42" t="s">
        <v>1310</v>
      </c>
      <c r="GV42" t="s">
        <v>1309</v>
      </c>
      <c r="GW42" t="s">
        <v>1309</v>
      </c>
      <c r="GX42" t="s">
        <v>1309</v>
      </c>
      <c r="GY42" t="s">
        <v>1309</v>
      </c>
      <c r="GZ42" t="s">
        <v>1309</v>
      </c>
      <c r="HA42" t="s">
        <v>1309</v>
      </c>
      <c r="HB42" t="s">
        <v>1309</v>
      </c>
      <c r="HC42" t="s">
        <v>1309</v>
      </c>
      <c r="HD42" t="s">
        <v>1309</v>
      </c>
      <c r="HE42" t="s">
        <v>1309</v>
      </c>
      <c r="HF42" t="s">
        <v>1309</v>
      </c>
      <c r="HH42" t="s">
        <v>1390</v>
      </c>
      <c r="HI42" t="s">
        <v>1363</v>
      </c>
      <c r="HJ42" t="s">
        <v>1390</v>
      </c>
      <c r="HK42" t="s">
        <v>1390</v>
      </c>
      <c r="HL42" t="s">
        <v>1364</v>
      </c>
      <c r="HM42" t="s">
        <v>1390</v>
      </c>
      <c r="IA42" t="s">
        <v>1307</v>
      </c>
      <c r="IQ42" t="s">
        <v>1330</v>
      </c>
      <c r="IS42" t="s">
        <v>1354</v>
      </c>
      <c r="JF42" t="s">
        <v>1316</v>
      </c>
      <c r="JG42" t="s">
        <v>1451</v>
      </c>
      <c r="JH42" t="s">
        <v>1310</v>
      </c>
      <c r="JI42" t="s">
        <v>1309</v>
      </c>
      <c r="JJ42" t="s">
        <v>1309</v>
      </c>
      <c r="JK42" t="s">
        <v>1310</v>
      </c>
      <c r="JL42" t="s">
        <v>1309</v>
      </c>
      <c r="JM42" t="s">
        <v>1309</v>
      </c>
      <c r="JN42" t="s">
        <v>1309</v>
      </c>
      <c r="JO42" t="s">
        <v>1309</v>
      </c>
      <c r="JQ42" s="92" t="s">
        <v>1593</v>
      </c>
      <c r="JR42" s="92" t="s">
        <v>1655</v>
      </c>
      <c r="JS42" s="92">
        <v>56</v>
      </c>
      <c r="JT42" s="92" t="s">
        <v>1319</v>
      </c>
      <c r="JU42" s="92" t="s">
        <v>1335</v>
      </c>
      <c r="JV42" s="92" t="s">
        <v>1526</v>
      </c>
      <c r="JW42" s="92" t="s">
        <v>1296</v>
      </c>
      <c r="JX42" s="92" t="s">
        <v>70</v>
      </c>
      <c r="JY42" s="92" t="s">
        <v>5549</v>
      </c>
      <c r="JZ42" s="92" t="s">
        <v>1337</v>
      </c>
      <c r="KA42" s="92" t="s">
        <v>4845</v>
      </c>
      <c r="KB42" s="92" t="s">
        <v>1338</v>
      </c>
      <c r="KC42" s="92" t="s">
        <v>109</v>
      </c>
      <c r="KD42" s="92" t="s">
        <v>4844</v>
      </c>
      <c r="KE42" s="92" t="s">
        <v>5560</v>
      </c>
      <c r="KF42" s="92">
        <v>750</v>
      </c>
      <c r="KG42" s="92" t="s">
        <v>4438</v>
      </c>
      <c r="KH42" s="92" t="s">
        <v>192</v>
      </c>
      <c r="KI42" s="92" t="s">
        <v>109</v>
      </c>
      <c r="KJ42" s="92" t="s">
        <v>192</v>
      </c>
      <c r="KK42" s="92" t="s">
        <v>109</v>
      </c>
      <c r="KL42" s="92" t="s">
        <v>1374</v>
      </c>
      <c r="KM42" s="92">
        <v>950</v>
      </c>
      <c r="KN42" s="92" t="s">
        <v>4438</v>
      </c>
      <c r="KO42" s="92" t="s">
        <v>1374</v>
      </c>
      <c r="KP42" s="92" t="s">
        <v>1401</v>
      </c>
      <c r="KQ42" s="92" t="s">
        <v>192</v>
      </c>
      <c r="KR42" s="92"/>
      <c r="KS42" s="92" t="s">
        <v>1345</v>
      </c>
      <c r="KT42" s="92" t="s">
        <v>1344</v>
      </c>
      <c r="KU42" s="92"/>
      <c r="KV42" s="92" t="s">
        <v>1345</v>
      </c>
      <c r="KW42" s="92" t="s">
        <v>1344</v>
      </c>
      <c r="KX42" s="92" t="s">
        <v>1376</v>
      </c>
      <c r="KY42" s="92" t="s">
        <v>1377</v>
      </c>
      <c r="KZ42" s="92" t="s">
        <v>5795</v>
      </c>
      <c r="LA42" s="92" t="s">
        <v>109</v>
      </c>
      <c r="LB42" s="92" t="s">
        <v>109</v>
      </c>
      <c r="LC42" s="92" t="s">
        <v>4438</v>
      </c>
      <c r="LD42" s="92" t="s">
        <v>4438</v>
      </c>
      <c r="LE42" s="92" t="s">
        <v>109</v>
      </c>
      <c r="LF42" s="92" t="s">
        <v>109</v>
      </c>
    </row>
    <row r="43" spans="1:318" x14ac:dyDescent="0.25">
      <c r="A43" t="s">
        <v>1656</v>
      </c>
      <c r="B43" t="s">
        <v>1657</v>
      </c>
      <c r="C43" t="s">
        <v>1304</v>
      </c>
      <c r="D43" t="s">
        <v>1305</v>
      </c>
      <c r="E43" t="s">
        <v>1381</v>
      </c>
      <c r="G43" t="s">
        <v>1319</v>
      </c>
      <c r="H43">
        <v>2</v>
      </c>
      <c r="I43" t="s">
        <v>1358</v>
      </c>
      <c r="J43" t="s">
        <v>1430</v>
      </c>
      <c r="K43" t="s">
        <v>1309</v>
      </c>
      <c r="L43" t="s">
        <v>1309</v>
      </c>
      <c r="M43" t="s">
        <v>1310</v>
      </c>
      <c r="N43" t="s">
        <v>1309</v>
      </c>
      <c r="O43" t="s">
        <v>1309</v>
      </c>
      <c r="P43" t="s">
        <v>1309</v>
      </c>
      <c r="Q43" t="s">
        <v>1309</v>
      </c>
      <c r="R43" t="s">
        <v>1309</v>
      </c>
      <c r="T43">
        <v>1</v>
      </c>
      <c r="U43" t="s">
        <v>1312</v>
      </c>
      <c r="V43" t="s">
        <v>1312</v>
      </c>
      <c r="W43" t="s">
        <v>1312</v>
      </c>
      <c r="X43" t="s">
        <v>1312</v>
      </c>
      <c r="Y43" t="s">
        <v>1312</v>
      </c>
      <c r="Z43" t="s">
        <v>1312</v>
      </c>
      <c r="AC43">
        <v>2</v>
      </c>
      <c r="AD43">
        <v>6500</v>
      </c>
      <c r="AE43">
        <v>2500</v>
      </c>
      <c r="AF43" t="s">
        <v>1313</v>
      </c>
      <c r="AH43" t="s">
        <v>1383</v>
      </c>
      <c r="AJ43" t="s">
        <v>1315</v>
      </c>
      <c r="AL43" t="s">
        <v>1354</v>
      </c>
      <c r="BS43" t="s">
        <v>1307</v>
      </c>
      <c r="CE43" t="s">
        <v>1355</v>
      </c>
      <c r="CF43" t="s">
        <v>1309</v>
      </c>
      <c r="CG43" t="s">
        <v>1309</v>
      </c>
      <c r="CH43" t="s">
        <v>1309</v>
      </c>
      <c r="CI43" t="s">
        <v>1309</v>
      </c>
      <c r="CJ43" t="s">
        <v>1309</v>
      </c>
      <c r="CK43" t="s">
        <v>1309</v>
      </c>
      <c r="CL43" t="s">
        <v>1309</v>
      </c>
      <c r="CM43" t="s">
        <v>1309</v>
      </c>
      <c r="CN43" t="s">
        <v>1310</v>
      </c>
      <c r="CO43" t="s">
        <v>1309</v>
      </c>
      <c r="CP43" t="s">
        <v>1309</v>
      </c>
      <c r="CQ43" t="s">
        <v>1309</v>
      </c>
      <c r="CR43" t="s">
        <v>1309</v>
      </c>
      <c r="CT43" t="s">
        <v>4434</v>
      </c>
      <c r="CV43" t="s">
        <v>1357</v>
      </c>
      <c r="CW43" t="s">
        <v>1309</v>
      </c>
      <c r="CX43" t="s">
        <v>1309</v>
      </c>
      <c r="CY43" t="s">
        <v>1309</v>
      </c>
      <c r="CZ43" t="s">
        <v>1309</v>
      </c>
      <c r="DA43" t="s">
        <v>1310</v>
      </c>
      <c r="DB43" t="s">
        <v>1309</v>
      </c>
      <c r="DC43" t="s">
        <v>1309</v>
      </c>
      <c r="DE43" t="s">
        <v>1358</v>
      </c>
      <c r="DG43">
        <v>2000</v>
      </c>
      <c r="DI43">
        <v>300</v>
      </c>
      <c r="DJ43" t="s">
        <v>1358</v>
      </c>
      <c r="DK43">
        <v>2600</v>
      </c>
      <c r="DM43">
        <v>600</v>
      </c>
      <c r="DN43" t="s">
        <v>1584</v>
      </c>
      <c r="DO43" t="s">
        <v>1310</v>
      </c>
      <c r="DP43" t="s">
        <v>1309</v>
      </c>
      <c r="DQ43" t="s">
        <v>1309</v>
      </c>
      <c r="DR43" t="s">
        <v>1309</v>
      </c>
      <c r="DS43" t="s">
        <v>1310</v>
      </c>
      <c r="DT43" t="s">
        <v>1310</v>
      </c>
      <c r="DU43" t="s">
        <v>1309</v>
      </c>
      <c r="DV43" t="s">
        <v>1309</v>
      </c>
      <c r="DW43" t="s">
        <v>1309</v>
      </c>
      <c r="DY43" t="s">
        <v>1359</v>
      </c>
      <c r="DZ43">
        <v>300</v>
      </c>
      <c r="EA43" t="s">
        <v>1414</v>
      </c>
      <c r="EC43" t="s">
        <v>1658</v>
      </c>
      <c r="ED43">
        <v>930</v>
      </c>
      <c r="EE43" t="s">
        <v>1319</v>
      </c>
      <c r="EG43" t="s">
        <v>5356</v>
      </c>
      <c r="EI43" t="s">
        <v>1307</v>
      </c>
      <c r="ET43" t="s">
        <v>1307</v>
      </c>
      <c r="EV43" t="s">
        <v>1319</v>
      </c>
      <c r="EW43" t="s">
        <v>1629</v>
      </c>
      <c r="EX43" t="s">
        <v>1319</v>
      </c>
      <c r="EY43" t="s">
        <v>1319</v>
      </c>
      <c r="FA43" t="s">
        <v>1659</v>
      </c>
      <c r="FB43" t="s">
        <v>1309</v>
      </c>
      <c r="FC43" t="s">
        <v>1309</v>
      </c>
      <c r="FD43" t="s">
        <v>1309</v>
      </c>
      <c r="FE43" t="s">
        <v>1310</v>
      </c>
      <c r="FF43" t="s">
        <v>1309</v>
      </c>
      <c r="FG43" t="s">
        <v>1310</v>
      </c>
      <c r="FH43" t="s">
        <v>1310</v>
      </c>
      <c r="FI43" t="s">
        <v>1310</v>
      </c>
      <c r="FJ43" t="s">
        <v>1310</v>
      </c>
      <c r="FK43" t="s">
        <v>1310</v>
      </c>
      <c r="FL43" t="s">
        <v>1309</v>
      </c>
      <c r="FM43" t="s">
        <v>1309</v>
      </c>
      <c r="FN43" t="s">
        <v>1310</v>
      </c>
      <c r="FO43" t="s">
        <v>1309</v>
      </c>
      <c r="FP43" t="s">
        <v>1309</v>
      </c>
      <c r="FQ43" t="s">
        <v>1309</v>
      </c>
      <c r="FR43" t="s">
        <v>1309</v>
      </c>
      <c r="FT43" t="s">
        <v>1319</v>
      </c>
      <c r="FU43" t="s">
        <v>1649</v>
      </c>
      <c r="FV43" t="s">
        <v>1310</v>
      </c>
      <c r="FW43" t="s">
        <v>1310</v>
      </c>
      <c r="FX43" t="s">
        <v>1309</v>
      </c>
      <c r="FY43" t="s">
        <v>1309</v>
      </c>
      <c r="FZ43" t="s">
        <v>1309</v>
      </c>
      <c r="GA43" t="s">
        <v>1309</v>
      </c>
      <c r="GB43" t="s">
        <v>1309</v>
      </c>
      <c r="GC43" t="s">
        <v>1309</v>
      </c>
      <c r="GD43" t="s">
        <v>1309</v>
      </c>
      <c r="GE43" t="s">
        <v>1309</v>
      </c>
      <c r="GF43" t="s">
        <v>1309</v>
      </c>
      <c r="GG43" t="s">
        <v>1309</v>
      </c>
      <c r="GI43" t="s">
        <v>1436</v>
      </c>
      <c r="GJ43" t="s">
        <v>1436</v>
      </c>
      <c r="GK43" t="s">
        <v>1319</v>
      </c>
      <c r="GL43" t="s">
        <v>1619</v>
      </c>
      <c r="GM43" t="s">
        <v>1310</v>
      </c>
      <c r="GN43" t="s">
        <v>1309</v>
      </c>
      <c r="GO43" t="s">
        <v>1309</v>
      </c>
      <c r="GP43" t="s">
        <v>1309</v>
      </c>
      <c r="GQ43" t="s">
        <v>1309</v>
      </c>
      <c r="GR43" t="s">
        <v>1309</v>
      </c>
      <c r="GT43" t="s">
        <v>1325</v>
      </c>
      <c r="GU43" t="s">
        <v>1310</v>
      </c>
      <c r="GV43" t="s">
        <v>1309</v>
      </c>
      <c r="GW43" t="s">
        <v>1309</v>
      </c>
      <c r="GX43" t="s">
        <v>1309</v>
      </c>
      <c r="GY43" t="s">
        <v>1309</v>
      </c>
      <c r="GZ43" t="s">
        <v>1309</v>
      </c>
      <c r="HA43" t="s">
        <v>1309</v>
      </c>
      <c r="HB43" t="s">
        <v>1309</v>
      </c>
      <c r="HC43" t="s">
        <v>1309</v>
      </c>
      <c r="HD43" t="s">
        <v>1309</v>
      </c>
      <c r="HE43" t="s">
        <v>1309</v>
      </c>
      <c r="HF43" t="s">
        <v>1309</v>
      </c>
      <c r="HH43" t="s">
        <v>1363</v>
      </c>
      <c r="HI43" t="s">
        <v>1363</v>
      </c>
      <c r="HJ43" t="s">
        <v>1363</v>
      </c>
      <c r="HK43" t="s">
        <v>1327</v>
      </c>
      <c r="HL43" t="s">
        <v>1364</v>
      </c>
      <c r="HM43" t="s">
        <v>1363</v>
      </c>
      <c r="IA43" t="s">
        <v>1319</v>
      </c>
      <c r="IB43" t="s">
        <v>1423</v>
      </c>
      <c r="IC43" t="s">
        <v>1309</v>
      </c>
      <c r="ID43" t="s">
        <v>1309</v>
      </c>
      <c r="IE43" t="s">
        <v>1309</v>
      </c>
      <c r="IF43" t="s">
        <v>1309</v>
      </c>
      <c r="IG43" t="s">
        <v>1310</v>
      </c>
      <c r="IH43" t="s">
        <v>1309</v>
      </c>
      <c r="II43" t="s">
        <v>1309</v>
      </c>
      <c r="IJ43" t="s">
        <v>1309</v>
      </c>
      <c r="IK43" t="s">
        <v>1309</v>
      </c>
      <c r="IL43" t="s">
        <v>1309</v>
      </c>
      <c r="IM43" t="s">
        <v>1309</v>
      </c>
      <c r="IN43" t="s">
        <v>1309</v>
      </c>
      <c r="IO43" t="s">
        <v>1309</v>
      </c>
      <c r="IQ43" t="s">
        <v>1365</v>
      </c>
      <c r="IS43" t="s">
        <v>1331</v>
      </c>
      <c r="JF43" t="s">
        <v>1413</v>
      </c>
      <c r="JG43" t="s">
        <v>1393</v>
      </c>
      <c r="JH43" t="s">
        <v>1310</v>
      </c>
      <c r="JI43" t="s">
        <v>1309</v>
      </c>
      <c r="JJ43" t="s">
        <v>1309</v>
      </c>
      <c r="JK43" t="s">
        <v>1309</v>
      </c>
      <c r="JL43" t="s">
        <v>1309</v>
      </c>
      <c r="JM43" t="s">
        <v>1309</v>
      </c>
      <c r="JN43" t="s">
        <v>1309</v>
      </c>
      <c r="JO43" t="s">
        <v>1309</v>
      </c>
      <c r="JQ43" s="92" t="s">
        <v>1516</v>
      </c>
      <c r="JR43" s="92" t="s">
        <v>1660</v>
      </c>
      <c r="JS43" s="92">
        <v>59</v>
      </c>
      <c r="JT43" s="92" t="s">
        <v>1319</v>
      </c>
      <c r="JU43" s="92" t="s">
        <v>1396</v>
      </c>
      <c r="JV43" s="92" t="s">
        <v>1336</v>
      </c>
      <c r="JW43" s="92" t="s">
        <v>1296</v>
      </c>
      <c r="JX43" s="92" t="s">
        <v>71</v>
      </c>
      <c r="JY43" s="92" t="s">
        <v>1397</v>
      </c>
      <c r="JZ43" s="92" t="s">
        <v>1337</v>
      </c>
      <c r="KA43" s="92" t="s">
        <v>4845</v>
      </c>
      <c r="KB43" s="92" t="s">
        <v>1439</v>
      </c>
      <c r="KC43" s="92" t="s">
        <v>109</v>
      </c>
      <c r="KD43" s="92" t="s">
        <v>4847</v>
      </c>
      <c r="KE43" s="92" t="s">
        <v>1424</v>
      </c>
      <c r="KF43" s="92">
        <v>2300</v>
      </c>
      <c r="KG43" s="92" t="s">
        <v>4439</v>
      </c>
      <c r="KH43" s="92" t="s">
        <v>192</v>
      </c>
      <c r="KI43" s="92" t="s">
        <v>109</v>
      </c>
      <c r="KJ43" s="92" t="s">
        <v>192</v>
      </c>
      <c r="KK43" s="92" t="s">
        <v>109</v>
      </c>
      <c r="KL43" s="92" t="s">
        <v>1425</v>
      </c>
      <c r="KM43" s="92">
        <v>3200</v>
      </c>
      <c r="KN43" s="92" t="s">
        <v>4439</v>
      </c>
      <c r="KO43" s="92" t="s">
        <v>1341</v>
      </c>
      <c r="KP43" s="92" t="s">
        <v>1375</v>
      </c>
      <c r="KQ43" s="92" t="s">
        <v>192</v>
      </c>
      <c r="KR43" s="92">
        <v>13</v>
      </c>
      <c r="KS43" s="92" t="s">
        <v>1343</v>
      </c>
      <c r="KT43" s="92" t="s">
        <v>1402</v>
      </c>
      <c r="KU43" s="92">
        <v>29</v>
      </c>
      <c r="KV43" s="92" t="s">
        <v>1461</v>
      </c>
      <c r="KW43" s="92" t="s">
        <v>1344</v>
      </c>
      <c r="KX43" s="92" t="s">
        <v>1376</v>
      </c>
      <c r="KY43" s="92" t="s">
        <v>1347</v>
      </c>
      <c r="KZ43" s="92" t="s">
        <v>1403</v>
      </c>
      <c r="LA43" s="92" t="s">
        <v>109</v>
      </c>
      <c r="LB43" s="92" t="s">
        <v>109</v>
      </c>
      <c r="LC43" s="92" t="s">
        <v>4439</v>
      </c>
      <c r="LD43" s="92" t="s">
        <v>1400</v>
      </c>
      <c r="LE43" s="92" t="s">
        <v>109</v>
      </c>
      <c r="LF43" s="92" t="s">
        <v>109</v>
      </c>
    </row>
    <row r="44" spans="1:318" x14ac:dyDescent="0.25">
      <c r="A44" t="s">
        <v>1661</v>
      </c>
      <c r="B44" t="s">
        <v>1662</v>
      </c>
      <c r="C44" t="s">
        <v>1304</v>
      </c>
      <c r="D44" t="s">
        <v>1305</v>
      </c>
      <c r="E44" t="s">
        <v>1306</v>
      </c>
      <c r="G44" t="s">
        <v>1307</v>
      </c>
      <c r="H44">
        <v>3</v>
      </c>
      <c r="I44" t="s">
        <v>1307</v>
      </c>
      <c r="J44" t="s">
        <v>1663</v>
      </c>
      <c r="K44" t="s">
        <v>1309</v>
      </c>
      <c r="L44" t="s">
        <v>1310</v>
      </c>
      <c r="M44" t="s">
        <v>1310</v>
      </c>
      <c r="N44" t="s">
        <v>1309</v>
      </c>
      <c r="O44" t="s">
        <v>1309</v>
      </c>
      <c r="P44" t="s">
        <v>1309</v>
      </c>
      <c r="Q44" t="s">
        <v>1309</v>
      </c>
      <c r="R44" t="s">
        <v>1309</v>
      </c>
      <c r="S44">
        <v>1</v>
      </c>
      <c r="T44">
        <v>1</v>
      </c>
      <c r="U44" t="s">
        <v>1312</v>
      </c>
      <c r="V44" t="s">
        <v>1312</v>
      </c>
      <c r="W44" t="s">
        <v>1312</v>
      </c>
      <c r="X44" t="s">
        <v>1312</v>
      </c>
      <c r="Y44" t="s">
        <v>1312</v>
      </c>
      <c r="Z44" t="s">
        <v>1312</v>
      </c>
      <c r="AC44">
        <v>2</v>
      </c>
      <c r="AD44">
        <v>8000</v>
      </c>
      <c r="AE44">
        <v>7000</v>
      </c>
      <c r="AF44" t="s">
        <v>1351</v>
      </c>
      <c r="AH44" t="s">
        <v>1664</v>
      </c>
      <c r="AJ44" t="s">
        <v>1353</v>
      </c>
      <c r="AL44" t="s">
        <v>1316</v>
      </c>
      <c r="BA44" t="s">
        <v>1316</v>
      </c>
      <c r="BS44" t="s">
        <v>1307</v>
      </c>
      <c r="CE44" t="s">
        <v>1355</v>
      </c>
      <c r="CF44" t="s">
        <v>1309</v>
      </c>
      <c r="CG44" t="s">
        <v>1309</v>
      </c>
      <c r="CH44" t="s">
        <v>1309</v>
      </c>
      <c r="CI44" t="s">
        <v>1309</v>
      </c>
      <c r="CJ44" t="s">
        <v>1309</v>
      </c>
      <c r="CK44" t="s">
        <v>1309</v>
      </c>
      <c r="CL44" t="s">
        <v>1309</v>
      </c>
      <c r="CM44" t="s">
        <v>1309</v>
      </c>
      <c r="CN44" t="s">
        <v>1310</v>
      </c>
      <c r="CO44" t="s">
        <v>1309</v>
      </c>
      <c r="CP44" t="s">
        <v>1309</v>
      </c>
      <c r="CQ44" t="s">
        <v>1309</v>
      </c>
      <c r="CR44" t="s">
        <v>1309</v>
      </c>
      <c r="CT44" t="s">
        <v>4436</v>
      </c>
      <c r="CV44" t="s">
        <v>1308</v>
      </c>
      <c r="CW44" t="s">
        <v>1310</v>
      </c>
      <c r="CX44" t="s">
        <v>1309</v>
      </c>
      <c r="CY44" t="s">
        <v>1309</v>
      </c>
      <c r="CZ44" t="s">
        <v>1309</v>
      </c>
      <c r="DA44" t="s">
        <v>1309</v>
      </c>
      <c r="DB44" t="s">
        <v>1309</v>
      </c>
      <c r="DC44" t="s">
        <v>1309</v>
      </c>
      <c r="DE44" t="s">
        <v>1358</v>
      </c>
      <c r="DF44" t="s">
        <v>1319</v>
      </c>
      <c r="DG44">
        <v>200</v>
      </c>
      <c r="DH44">
        <v>2300</v>
      </c>
      <c r="DI44">
        <v>400</v>
      </c>
      <c r="DJ44" t="s">
        <v>1358</v>
      </c>
      <c r="DK44">
        <v>100</v>
      </c>
      <c r="DL44">
        <v>2500</v>
      </c>
      <c r="DM44">
        <v>500</v>
      </c>
      <c r="DN44" t="s">
        <v>1445</v>
      </c>
      <c r="DO44" t="s">
        <v>1310</v>
      </c>
      <c r="DP44" t="s">
        <v>1310</v>
      </c>
      <c r="DQ44" t="s">
        <v>1309</v>
      </c>
      <c r="DR44" t="s">
        <v>1309</v>
      </c>
      <c r="DS44" t="s">
        <v>1309</v>
      </c>
      <c r="DT44" t="s">
        <v>1310</v>
      </c>
      <c r="DU44" t="s">
        <v>1309</v>
      </c>
      <c r="DV44" t="s">
        <v>1309</v>
      </c>
      <c r="DW44" t="s">
        <v>1309</v>
      </c>
      <c r="DY44" t="s">
        <v>1481</v>
      </c>
      <c r="DZ44">
        <v>300</v>
      </c>
      <c r="EA44" t="s">
        <v>1319</v>
      </c>
      <c r="EC44" t="s">
        <v>1387</v>
      </c>
      <c r="ED44">
        <v>500</v>
      </c>
      <c r="EE44" t="s">
        <v>1319</v>
      </c>
      <c r="EG44" t="s">
        <v>5356</v>
      </c>
      <c r="EI44" t="s">
        <v>1307</v>
      </c>
      <c r="ET44" t="s">
        <v>1307</v>
      </c>
      <c r="EV44" t="s">
        <v>1307</v>
      </c>
      <c r="EX44" t="s">
        <v>1319</v>
      </c>
      <c r="EY44" t="s">
        <v>1319</v>
      </c>
      <c r="EZ44" t="s">
        <v>1319</v>
      </c>
      <c r="FA44" t="s">
        <v>1665</v>
      </c>
      <c r="FB44" t="s">
        <v>1309</v>
      </c>
      <c r="FC44" t="s">
        <v>1310</v>
      </c>
      <c r="FD44" t="s">
        <v>1309</v>
      </c>
      <c r="FE44" t="s">
        <v>1309</v>
      </c>
      <c r="FF44" t="s">
        <v>1309</v>
      </c>
      <c r="FG44" t="s">
        <v>1309</v>
      </c>
      <c r="FH44" t="s">
        <v>1309</v>
      </c>
      <c r="FI44" t="s">
        <v>1309</v>
      </c>
      <c r="FJ44" t="s">
        <v>1309</v>
      </c>
      <c r="FK44" t="s">
        <v>1309</v>
      </c>
      <c r="FL44" t="s">
        <v>1309</v>
      </c>
      <c r="FM44" t="s">
        <v>1309</v>
      </c>
      <c r="FN44" t="s">
        <v>1309</v>
      </c>
      <c r="FO44" t="s">
        <v>1309</v>
      </c>
      <c r="FP44" t="s">
        <v>1309</v>
      </c>
      <c r="FQ44" t="s">
        <v>1309</v>
      </c>
      <c r="FR44" t="s">
        <v>1309</v>
      </c>
      <c r="FT44" t="s">
        <v>1319</v>
      </c>
      <c r="FU44" t="s">
        <v>1435</v>
      </c>
      <c r="FV44" t="s">
        <v>1310</v>
      </c>
      <c r="FW44" t="s">
        <v>1309</v>
      </c>
      <c r="FX44" t="s">
        <v>1309</v>
      </c>
      <c r="FY44" t="s">
        <v>1309</v>
      </c>
      <c r="FZ44" t="s">
        <v>1309</v>
      </c>
      <c r="GA44" t="s">
        <v>1309</v>
      </c>
      <c r="GB44" t="s">
        <v>1309</v>
      </c>
      <c r="GC44" t="s">
        <v>1309</v>
      </c>
      <c r="GD44" t="s">
        <v>1309</v>
      </c>
      <c r="GE44" t="s">
        <v>1309</v>
      </c>
      <c r="GF44" t="s">
        <v>1309</v>
      </c>
      <c r="GG44" t="s">
        <v>1309</v>
      </c>
      <c r="GI44" t="s">
        <v>1436</v>
      </c>
      <c r="GJ44" t="s">
        <v>1436</v>
      </c>
      <c r="GK44" t="s">
        <v>1307</v>
      </c>
      <c r="GT44" t="s">
        <v>1325</v>
      </c>
      <c r="GU44" t="s">
        <v>1310</v>
      </c>
      <c r="GV44" t="s">
        <v>1309</v>
      </c>
      <c r="GW44" t="s">
        <v>1309</v>
      </c>
      <c r="GX44" t="s">
        <v>1309</v>
      </c>
      <c r="GY44" t="s">
        <v>1309</v>
      </c>
      <c r="GZ44" t="s">
        <v>1309</v>
      </c>
      <c r="HA44" t="s">
        <v>1309</v>
      </c>
      <c r="HB44" t="s">
        <v>1309</v>
      </c>
      <c r="HC44" t="s">
        <v>1309</v>
      </c>
      <c r="HD44" t="s">
        <v>1309</v>
      </c>
      <c r="HE44" t="s">
        <v>1309</v>
      </c>
      <c r="HF44" t="s">
        <v>1309</v>
      </c>
      <c r="HH44" t="s">
        <v>1390</v>
      </c>
      <c r="HI44" t="s">
        <v>1327</v>
      </c>
      <c r="HJ44" t="s">
        <v>1390</v>
      </c>
      <c r="HK44" t="s">
        <v>1327</v>
      </c>
      <c r="HL44" t="s">
        <v>1364</v>
      </c>
      <c r="HM44" t="s">
        <v>1326</v>
      </c>
      <c r="IA44" t="s">
        <v>1319</v>
      </c>
      <c r="IB44" t="s">
        <v>1666</v>
      </c>
      <c r="IC44" t="s">
        <v>1309</v>
      </c>
      <c r="ID44" t="s">
        <v>1309</v>
      </c>
      <c r="IE44" t="s">
        <v>1309</v>
      </c>
      <c r="IF44" t="s">
        <v>1309</v>
      </c>
      <c r="IG44" t="s">
        <v>1309</v>
      </c>
      <c r="IH44" t="s">
        <v>1309</v>
      </c>
      <c r="II44" t="s">
        <v>1310</v>
      </c>
      <c r="IJ44" t="s">
        <v>1309</v>
      </c>
      <c r="IK44" t="s">
        <v>1309</v>
      </c>
      <c r="IL44" t="s">
        <v>1310</v>
      </c>
      <c r="IM44" t="s">
        <v>1309</v>
      </c>
      <c r="IN44" t="s">
        <v>1309</v>
      </c>
      <c r="IO44" t="s">
        <v>1309</v>
      </c>
      <c r="IQ44" t="s">
        <v>1330</v>
      </c>
      <c r="IS44" t="s">
        <v>1316</v>
      </c>
      <c r="JF44" t="s">
        <v>1316</v>
      </c>
      <c r="JG44" t="s">
        <v>1667</v>
      </c>
      <c r="JH44" t="s">
        <v>1309</v>
      </c>
      <c r="JI44" t="s">
        <v>1310</v>
      </c>
      <c r="JJ44" t="s">
        <v>1309</v>
      </c>
      <c r="JK44" t="s">
        <v>1309</v>
      </c>
      <c r="JL44" t="s">
        <v>1310</v>
      </c>
      <c r="JM44" t="s">
        <v>1309</v>
      </c>
      <c r="JN44" t="s">
        <v>1309</v>
      </c>
      <c r="JO44" t="s">
        <v>1309</v>
      </c>
      <c r="JQ44" s="92" t="s">
        <v>1516</v>
      </c>
      <c r="JR44" s="92" t="s">
        <v>1668</v>
      </c>
      <c r="JS44" s="92">
        <v>42</v>
      </c>
      <c r="JT44" s="92" t="s">
        <v>1319</v>
      </c>
      <c r="JU44" s="92" t="s">
        <v>1335</v>
      </c>
      <c r="JV44" s="92" t="s">
        <v>1336</v>
      </c>
      <c r="JW44" s="92" t="s">
        <v>1296</v>
      </c>
      <c r="JX44" s="92" t="s">
        <v>70</v>
      </c>
      <c r="JY44" s="92" t="s">
        <v>5549</v>
      </c>
      <c r="JZ44" s="92" t="s">
        <v>1337</v>
      </c>
      <c r="KA44" s="92" t="s">
        <v>4845</v>
      </c>
      <c r="KB44" s="92" t="s">
        <v>1370</v>
      </c>
      <c r="KC44" s="92" t="s">
        <v>109</v>
      </c>
      <c r="KD44" s="92" t="s">
        <v>4847</v>
      </c>
      <c r="KE44" s="92" t="s">
        <v>1424</v>
      </c>
      <c r="KF44" s="92">
        <v>2900</v>
      </c>
      <c r="KG44" s="92" t="s">
        <v>4439</v>
      </c>
      <c r="KH44" s="92" t="s">
        <v>192</v>
      </c>
      <c r="KI44" s="92" t="s">
        <v>192</v>
      </c>
      <c r="KJ44" s="92" t="s">
        <v>192</v>
      </c>
      <c r="KK44" s="92" t="s">
        <v>192</v>
      </c>
      <c r="KL44" s="92" t="s">
        <v>1425</v>
      </c>
      <c r="KM44" s="92">
        <v>3100</v>
      </c>
      <c r="KN44" s="92" t="s">
        <v>4439</v>
      </c>
      <c r="KO44" s="92" t="s">
        <v>1341</v>
      </c>
      <c r="KP44" s="92" t="s">
        <v>1401</v>
      </c>
      <c r="KQ44" s="92" t="s">
        <v>192</v>
      </c>
      <c r="KR44" s="92"/>
      <c r="KS44" s="92" t="s">
        <v>1343</v>
      </c>
      <c r="KT44" s="92" t="s">
        <v>1344</v>
      </c>
      <c r="KU44" s="92"/>
      <c r="KV44" s="92" t="s">
        <v>1345</v>
      </c>
      <c r="KW44" s="92" t="s">
        <v>1344</v>
      </c>
      <c r="KX44" s="92" t="s">
        <v>1376</v>
      </c>
      <c r="KY44" s="92" t="s">
        <v>1347</v>
      </c>
      <c r="KZ44" s="92" t="s">
        <v>5795</v>
      </c>
      <c r="LA44" s="92" t="s">
        <v>109</v>
      </c>
      <c r="LB44" s="92" t="s">
        <v>109</v>
      </c>
      <c r="LC44" s="92" t="s">
        <v>4439</v>
      </c>
      <c r="LD44" s="92" t="s">
        <v>4439</v>
      </c>
      <c r="LE44" s="92" t="s">
        <v>192</v>
      </c>
      <c r="LF44" s="92" t="s">
        <v>192</v>
      </c>
    </row>
    <row r="45" spans="1:318" x14ac:dyDescent="0.25">
      <c r="A45" t="s">
        <v>1669</v>
      </c>
      <c r="B45" t="s">
        <v>1670</v>
      </c>
      <c r="C45" t="s">
        <v>1304</v>
      </c>
      <c r="D45" t="s">
        <v>1305</v>
      </c>
      <c r="E45" t="s">
        <v>1306</v>
      </c>
      <c r="G45" t="s">
        <v>1307</v>
      </c>
      <c r="H45">
        <v>1</v>
      </c>
      <c r="J45" t="s">
        <v>1430</v>
      </c>
      <c r="K45" t="s">
        <v>1309</v>
      </c>
      <c r="L45" t="s">
        <v>1309</v>
      </c>
      <c r="M45" t="s">
        <v>1310</v>
      </c>
      <c r="N45" t="s">
        <v>1309</v>
      </c>
      <c r="O45" t="s">
        <v>1309</v>
      </c>
      <c r="P45" t="s">
        <v>1309</v>
      </c>
      <c r="Q45" t="s">
        <v>1309</v>
      </c>
      <c r="R45" t="s">
        <v>1309</v>
      </c>
      <c r="T45">
        <v>1</v>
      </c>
      <c r="U45" t="s">
        <v>1311</v>
      </c>
      <c r="V45" t="s">
        <v>1312</v>
      </c>
      <c r="W45" t="s">
        <v>1311</v>
      </c>
      <c r="X45" t="s">
        <v>1311</v>
      </c>
      <c r="Y45" t="s">
        <v>1312</v>
      </c>
      <c r="Z45" t="s">
        <v>1312</v>
      </c>
      <c r="AC45">
        <v>1</v>
      </c>
      <c r="AD45">
        <v>3500</v>
      </c>
      <c r="AE45">
        <v>2000</v>
      </c>
      <c r="AF45" t="s">
        <v>1313</v>
      </c>
      <c r="AH45" t="s">
        <v>1352</v>
      </c>
      <c r="AJ45" t="s">
        <v>1315</v>
      </c>
      <c r="AL45" t="s">
        <v>1331</v>
      </c>
      <c r="BS45" t="s">
        <v>1307</v>
      </c>
      <c r="CE45" t="s">
        <v>1671</v>
      </c>
      <c r="CF45" t="s">
        <v>1310</v>
      </c>
      <c r="CG45" t="s">
        <v>1309</v>
      </c>
      <c r="CH45" t="s">
        <v>1309</v>
      </c>
      <c r="CI45" t="s">
        <v>1309</v>
      </c>
      <c r="CJ45" t="s">
        <v>1309</v>
      </c>
      <c r="CK45" t="s">
        <v>1309</v>
      </c>
      <c r="CL45" t="s">
        <v>1309</v>
      </c>
      <c r="CM45" t="s">
        <v>1309</v>
      </c>
      <c r="CN45" t="s">
        <v>1310</v>
      </c>
      <c r="CO45" t="s">
        <v>1310</v>
      </c>
      <c r="CP45" t="s">
        <v>1309</v>
      </c>
      <c r="CQ45" t="s">
        <v>1309</v>
      </c>
      <c r="CR45" t="s">
        <v>1309</v>
      </c>
      <c r="CT45" t="s">
        <v>4435</v>
      </c>
      <c r="CV45" t="s">
        <v>1308</v>
      </c>
      <c r="CW45" t="s">
        <v>1310</v>
      </c>
      <c r="CX45" t="s">
        <v>1309</v>
      </c>
      <c r="CY45" t="s">
        <v>1309</v>
      </c>
      <c r="CZ45" t="s">
        <v>1309</v>
      </c>
      <c r="DA45" t="s">
        <v>1309</v>
      </c>
      <c r="DB45" t="s">
        <v>1309</v>
      </c>
      <c r="DC45" t="s">
        <v>1309</v>
      </c>
      <c r="DE45" t="s">
        <v>1318</v>
      </c>
      <c r="DF45" t="s">
        <v>1319</v>
      </c>
      <c r="DG45">
        <v>500</v>
      </c>
      <c r="DH45">
        <v>1800</v>
      </c>
      <c r="DI45">
        <v>300</v>
      </c>
      <c r="DJ45" t="s">
        <v>1318</v>
      </c>
      <c r="DK45">
        <v>600</v>
      </c>
      <c r="DL45">
        <v>2200</v>
      </c>
      <c r="DM45">
        <v>250</v>
      </c>
      <c r="DN45" t="s">
        <v>1672</v>
      </c>
      <c r="DO45" t="s">
        <v>1310</v>
      </c>
      <c r="DP45" t="s">
        <v>1309</v>
      </c>
      <c r="DQ45" t="s">
        <v>1309</v>
      </c>
      <c r="DR45" t="s">
        <v>1309</v>
      </c>
      <c r="DS45" t="s">
        <v>1309</v>
      </c>
      <c r="DT45" t="s">
        <v>1310</v>
      </c>
      <c r="DU45" t="s">
        <v>1309</v>
      </c>
      <c r="DV45" t="s">
        <v>1309</v>
      </c>
      <c r="DW45" t="s">
        <v>1309</v>
      </c>
      <c r="DY45" t="s">
        <v>1321</v>
      </c>
      <c r="DZ45">
        <v>800</v>
      </c>
      <c r="EA45" t="s">
        <v>1319</v>
      </c>
      <c r="EC45" t="s">
        <v>1322</v>
      </c>
      <c r="ED45">
        <v>1000</v>
      </c>
      <c r="EE45" t="s">
        <v>1319</v>
      </c>
      <c r="EG45" t="s">
        <v>5356</v>
      </c>
      <c r="EI45" t="s">
        <v>1307</v>
      </c>
      <c r="ET45" t="s">
        <v>1307</v>
      </c>
      <c r="EV45" t="s">
        <v>1319</v>
      </c>
      <c r="EW45" t="s">
        <v>1409</v>
      </c>
      <c r="EX45" t="s">
        <v>1319</v>
      </c>
      <c r="EY45" t="s">
        <v>1319</v>
      </c>
      <c r="FA45" t="s">
        <v>1673</v>
      </c>
      <c r="FB45" t="s">
        <v>1309</v>
      </c>
      <c r="FC45" t="s">
        <v>1309</v>
      </c>
      <c r="FD45" t="s">
        <v>1309</v>
      </c>
      <c r="FE45" t="s">
        <v>1309</v>
      </c>
      <c r="FF45" t="s">
        <v>1309</v>
      </c>
      <c r="FG45" t="s">
        <v>1309</v>
      </c>
      <c r="FH45" t="s">
        <v>1309</v>
      </c>
      <c r="FI45" t="s">
        <v>1310</v>
      </c>
      <c r="FJ45" t="s">
        <v>1309</v>
      </c>
      <c r="FK45" t="s">
        <v>1310</v>
      </c>
      <c r="FL45" t="s">
        <v>1309</v>
      </c>
      <c r="FM45" t="s">
        <v>1309</v>
      </c>
      <c r="FN45" t="s">
        <v>1309</v>
      </c>
      <c r="FO45" t="s">
        <v>1309</v>
      </c>
      <c r="FP45" t="s">
        <v>1309</v>
      </c>
      <c r="FQ45" t="s">
        <v>1309</v>
      </c>
      <c r="FR45" t="s">
        <v>1309</v>
      </c>
      <c r="FT45" t="s">
        <v>1319</v>
      </c>
      <c r="FU45" t="s">
        <v>1435</v>
      </c>
      <c r="FV45" t="s">
        <v>1310</v>
      </c>
      <c r="FW45" t="s">
        <v>1309</v>
      </c>
      <c r="FX45" t="s">
        <v>1309</v>
      </c>
      <c r="FY45" t="s">
        <v>1309</v>
      </c>
      <c r="FZ45" t="s">
        <v>1309</v>
      </c>
      <c r="GA45" t="s">
        <v>1309</v>
      </c>
      <c r="GB45" t="s">
        <v>1309</v>
      </c>
      <c r="GC45" t="s">
        <v>1309</v>
      </c>
      <c r="GD45" t="s">
        <v>1309</v>
      </c>
      <c r="GE45" t="s">
        <v>1309</v>
      </c>
      <c r="GF45" t="s">
        <v>1309</v>
      </c>
      <c r="GG45" t="s">
        <v>1309</v>
      </c>
      <c r="GI45" t="s">
        <v>1436</v>
      </c>
      <c r="GJ45" t="s">
        <v>1436</v>
      </c>
      <c r="GK45" t="s">
        <v>1307</v>
      </c>
      <c r="GT45" t="s">
        <v>1325</v>
      </c>
      <c r="GU45" t="s">
        <v>1310</v>
      </c>
      <c r="GV45" t="s">
        <v>1309</v>
      </c>
      <c r="GW45" t="s">
        <v>1309</v>
      </c>
      <c r="GX45" t="s">
        <v>1309</v>
      </c>
      <c r="GY45" t="s">
        <v>1309</v>
      </c>
      <c r="GZ45" t="s">
        <v>1309</v>
      </c>
      <c r="HA45" t="s">
        <v>1309</v>
      </c>
      <c r="HB45" t="s">
        <v>1309</v>
      </c>
      <c r="HC45" t="s">
        <v>1309</v>
      </c>
      <c r="HD45" t="s">
        <v>1309</v>
      </c>
      <c r="HE45" t="s">
        <v>1309</v>
      </c>
      <c r="HF45" t="s">
        <v>1309</v>
      </c>
      <c r="HH45" t="s">
        <v>1390</v>
      </c>
      <c r="HI45" t="s">
        <v>1390</v>
      </c>
      <c r="HJ45" t="s">
        <v>1390</v>
      </c>
      <c r="HK45" t="s">
        <v>1308</v>
      </c>
      <c r="HL45" t="s">
        <v>1437</v>
      </c>
      <c r="HM45" t="s">
        <v>1390</v>
      </c>
      <c r="HN45" t="s">
        <v>1549</v>
      </c>
      <c r="HO45" t="s">
        <v>1310</v>
      </c>
      <c r="HP45" t="s">
        <v>1310</v>
      </c>
      <c r="HQ45" t="s">
        <v>1309</v>
      </c>
      <c r="HR45" t="s">
        <v>1309</v>
      </c>
      <c r="HS45" t="s">
        <v>1309</v>
      </c>
      <c r="HT45" t="s">
        <v>1309</v>
      </c>
      <c r="HU45" t="s">
        <v>1309</v>
      </c>
      <c r="HV45" t="s">
        <v>1309</v>
      </c>
      <c r="HW45" t="s">
        <v>1309</v>
      </c>
      <c r="HX45" t="s">
        <v>1309</v>
      </c>
      <c r="HY45" t="s">
        <v>1309</v>
      </c>
      <c r="IA45" t="s">
        <v>1307</v>
      </c>
      <c r="IQ45" t="s">
        <v>1330</v>
      </c>
      <c r="IS45" t="s">
        <v>1316</v>
      </c>
      <c r="JF45" t="s">
        <v>1316</v>
      </c>
      <c r="JG45" t="s">
        <v>1523</v>
      </c>
      <c r="JH45" t="s">
        <v>1309</v>
      </c>
      <c r="JI45" t="s">
        <v>1309</v>
      </c>
      <c r="JJ45" t="s">
        <v>1309</v>
      </c>
      <c r="JK45" t="s">
        <v>1310</v>
      </c>
      <c r="JL45" t="s">
        <v>1309</v>
      </c>
      <c r="JM45" t="s">
        <v>1309</v>
      </c>
      <c r="JN45" t="s">
        <v>1309</v>
      </c>
      <c r="JO45" t="s">
        <v>1309</v>
      </c>
      <c r="JQ45" s="92" t="s">
        <v>1333</v>
      </c>
      <c r="JR45" s="92" t="s">
        <v>1334</v>
      </c>
      <c r="JS45" s="92">
        <v>68</v>
      </c>
      <c r="JT45" s="92" t="s">
        <v>1319</v>
      </c>
      <c r="JU45" s="92" t="s">
        <v>1335</v>
      </c>
      <c r="JV45" s="92" t="s">
        <v>1336</v>
      </c>
      <c r="JW45" s="92" t="s">
        <v>1296</v>
      </c>
      <c r="JX45" s="92" t="s">
        <v>71</v>
      </c>
      <c r="JY45" s="92" t="s">
        <v>5549</v>
      </c>
      <c r="JZ45" s="92" t="s">
        <v>1369</v>
      </c>
      <c r="KA45" s="92" t="s">
        <v>4844</v>
      </c>
      <c r="KB45" s="92" t="s">
        <v>1476</v>
      </c>
      <c r="KC45" s="92" t="s">
        <v>109</v>
      </c>
      <c r="KD45" s="92" t="s">
        <v>4844</v>
      </c>
      <c r="KE45" s="92" t="s">
        <v>5560</v>
      </c>
      <c r="KF45" s="92">
        <v>2600</v>
      </c>
      <c r="KG45" s="92" t="s">
        <v>1400</v>
      </c>
      <c r="KH45" s="92" t="s">
        <v>192</v>
      </c>
      <c r="KI45" s="92" t="s">
        <v>192</v>
      </c>
      <c r="KJ45" s="92" t="s">
        <v>192</v>
      </c>
      <c r="KK45" s="92" t="s">
        <v>192</v>
      </c>
      <c r="KL45" s="92" t="s">
        <v>1425</v>
      </c>
      <c r="KM45" s="92">
        <v>3050</v>
      </c>
      <c r="KN45" s="92" t="s">
        <v>1426</v>
      </c>
      <c r="KO45" s="92" t="s">
        <v>1341</v>
      </c>
      <c r="KP45" s="92" t="s">
        <v>1342</v>
      </c>
      <c r="KQ45" s="92" t="s">
        <v>192</v>
      </c>
      <c r="KR45" s="92">
        <v>31</v>
      </c>
      <c r="KS45" s="92" t="s">
        <v>1466</v>
      </c>
      <c r="KT45" s="92" t="s">
        <v>1344</v>
      </c>
      <c r="KU45" s="92">
        <v>33</v>
      </c>
      <c r="KV45" s="92" t="s">
        <v>1461</v>
      </c>
      <c r="KW45" s="92" t="s">
        <v>1344</v>
      </c>
      <c r="KX45" s="92" t="s">
        <v>1346</v>
      </c>
      <c r="KY45" s="92" t="s">
        <v>1347</v>
      </c>
      <c r="KZ45" s="92" t="s">
        <v>5795</v>
      </c>
      <c r="LA45" s="92" t="s">
        <v>109</v>
      </c>
      <c r="LB45" s="92" t="s">
        <v>109</v>
      </c>
      <c r="LC45" s="92" t="s">
        <v>1400</v>
      </c>
      <c r="LD45" s="92" t="s">
        <v>1400</v>
      </c>
      <c r="LE45" s="92" t="s">
        <v>192</v>
      </c>
      <c r="LF45" s="92" t="s">
        <v>192</v>
      </c>
    </row>
    <row r="46" spans="1:318" x14ac:dyDescent="0.25">
      <c r="A46" t="s">
        <v>1674</v>
      </c>
      <c r="B46" t="s">
        <v>1675</v>
      </c>
      <c r="C46" t="s">
        <v>1304</v>
      </c>
      <c r="D46" t="s">
        <v>1305</v>
      </c>
      <c r="E46" t="s">
        <v>1381</v>
      </c>
      <c r="G46" t="s">
        <v>1319</v>
      </c>
      <c r="H46">
        <v>5</v>
      </c>
      <c r="I46" t="s">
        <v>1318</v>
      </c>
      <c r="J46" t="s">
        <v>1614</v>
      </c>
      <c r="K46" t="s">
        <v>1309</v>
      </c>
      <c r="L46" t="s">
        <v>1310</v>
      </c>
      <c r="M46" t="s">
        <v>1310</v>
      </c>
      <c r="N46" t="s">
        <v>1309</v>
      </c>
      <c r="O46" t="s">
        <v>1310</v>
      </c>
      <c r="P46" t="s">
        <v>1309</v>
      </c>
      <c r="Q46" t="s">
        <v>1309</v>
      </c>
      <c r="R46" t="s">
        <v>1309</v>
      </c>
      <c r="S46">
        <v>1</v>
      </c>
      <c r="T46">
        <v>1</v>
      </c>
      <c r="U46" t="s">
        <v>1312</v>
      </c>
      <c r="V46" t="s">
        <v>1311</v>
      </c>
      <c r="W46" t="s">
        <v>1312</v>
      </c>
      <c r="X46" t="s">
        <v>1312</v>
      </c>
      <c r="Y46" t="s">
        <v>1312</v>
      </c>
      <c r="Z46" t="s">
        <v>1312</v>
      </c>
      <c r="AC46">
        <v>3</v>
      </c>
      <c r="AD46">
        <v>12000</v>
      </c>
      <c r="AE46">
        <v>12000</v>
      </c>
      <c r="AF46" t="s">
        <v>1351</v>
      </c>
      <c r="AH46" t="s">
        <v>1383</v>
      </c>
      <c r="AJ46" t="s">
        <v>1664</v>
      </c>
      <c r="AL46" t="s">
        <v>1316</v>
      </c>
      <c r="BS46" t="s">
        <v>1307</v>
      </c>
      <c r="CE46" t="s">
        <v>1597</v>
      </c>
      <c r="CF46" t="s">
        <v>1309</v>
      </c>
      <c r="CG46" t="s">
        <v>1309</v>
      </c>
      <c r="CH46" t="s">
        <v>1309</v>
      </c>
      <c r="CI46" t="s">
        <v>1309</v>
      </c>
      <c r="CJ46" t="s">
        <v>1309</v>
      </c>
      <c r="CK46" t="s">
        <v>1309</v>
      </c>
      <c r="CL46" t="s">
        <v>1310</v>
      </c>
      <c r="CM46" t="s">
        <v>1309</v>
      </c>
      <c r="CN46" t="s">
        <v>1309</v>
      </c>
      <c r="CO46" t="s">
        <v>1309</v>
      </c>
      <c r="CP46" t="s">
        <v>1309</v>
      </c>
      <c r="CQ46" t="s">
        <v>1309</v>
      </c>
      <c r="CR46" t="s">
        <v>1309</v>
      </c>
      <c r="CT46" t="s">
        <v>4436</v>
      </c>
      <c r="CV46" t="s">
        <v>1357</v>
      </c>
      <c r="CW46" t="s">
        <v>1309</v>
      </c>
      <c r="CX46" t="s">
        <v>1309</v>
      </c>
      <c r="CY46" t="s">
        <v>1309</v>
      </c>
      <c r="CZ46" t="s">
        <v>1309</v>
      </c>
      <c r="DA46" t="s">
        <v>1310</v>
      </c>
      <c r="DB46" t="s">
        <v>1309</v>
      </c>
      <c r="DC46" t="s">
        <v>1309</v>
      </c>
      <c r="DE46" t="s">
        <v>1358</v>
      </c>
      <c r="DF46" t="s">
        <v>1319</v>
      </c>
      <c r="DG46">
        <v>200</v>
      </c>
      <c r="DH46">
        <v>2500</v>
      </c>
      <c r="DI46">
        <v>2000</v>
      </c>
      <c r="DJ46" t="s">
        <v>1307</v>
      </c>
      <c r="DK46">
        <v>250</v>
      </c>
      <c r="DL46">
        <v>2500</v>
      </c>
      <c r="DM46">
        <v>2500</v>
      </c>
      <c r="DN46" t="s">
        <v>1676</v>
      </c>
      <c r="DO46" t="s">
        <v>1309</v>
      </c>
      <c r="DP46" t="s">
        <v>1309</v>
      </c>
      <c r="DQ46" t="s">
        <v>1309</v>
      </c>
      <c r="DR46" t="s">
        <v>1309</v>
      </c>
      <c r="DS46" t="s">
        <v>1310</v>
      </c>
      <c r="DT46" t="s">
        <v>1310</v>
      </c>
      <c r="DU46" t="s">
        <v>1309</v>
      </c>
      <c r="DV46" t="s">
        <v>1309</v>
      </c>
      <c r="DW46" t="s">
        <v>1309</v>
      </c>
      <c r="DY46" t="s">
        <v>1433</v>
      </c>
      <c r="DZ46">
        <v>700</v>
      </c>
      <c r="EA46" t="s">
        <v>1319</v>
      </c>
      <c r="EC46" t="s">
        <v>1504</v>
      </c>
      <c r="EG46" t="s">
        <v>5356</v>
      </c>
      <c r="EI46" t="s">
        <v>1307</v>
      </c>
      <c r="ET46" t="s">
        <v>1307</v>
      </c>
      <c r="EV46" t="s">
        <v>1307</v>
      </c>
      <c r="EX46" t="s">
        <v>1319</v>
      </c>
      <c r="EY46" t="s">
        <v>1307</v>
      </c>
      <c r="EZ46" t="s">
        <v>1307</v>
      </c>
      <c r="FA46" t="s">
        <v>1677</v>
      </c>
      <c r="FB46" t="s">
        <v>1309</v>
      </c>
      <c r="FC46" t="s">
        <v>1309</v>
      </c>
      <c r="FD46" t="s">
        <v>1310</v>
      </c>
      <c r="FE46" t="s">
        <v>1309</v>
      </c>
      <c r="FF46" t="s">
        <v>1309</v>
      </c>
      <c r="FG46" t="s">
        <v>1309</v>
      </c>
      <c r="FH46" t="s">
        <v>1309</v>
      </c>
      <c r="FI46" t="s">
        <v>1310</v>
      </c>
      <c r="FJ46" t="s">
        <v>1309</v>
      </c>
      <c r="FK46" t="s">
        <v>1309</v>
      </c>
      <c r="FL46" t="s">
        <v>1309</v>
      </c>
      <c r="FM46" t="s">
        <v>1309</v>
      </c>
      <c r="FN46" t="s">
        <v>1309</v>
      </c>
      <c r="FO46" t="s">
        <v>1309</v>
      </c>
      <c r="FP46" t="s">
        <v>1309</v>
      </c>
      <c r="FQ46" t="s">
        <v>1309</v>
      </c>
      <c r="FR46" t="s">
        <v>1309</v>
      </c>
      <c r="FT46" t="s">
        <v>1319</v>
      </c>
      <c r="FU46" t="s">
        <v>1435</v>
      </c>
      <c r="FV46" t="s">
        <v>1310</v>
      </c>
      <c r="FW46" t="s">
        <v>1309</v>
      </c>
      <c r="FX46" t="s">
        <v>1309</v>
      </c>
      <c r="FY46" t="s">
        <v>1309</v>
      </c>
      <c r="FZ46" t="s">
        <v>1309</v>
      </c>
      <c r="GA46" t="s">
        <v>1309</v>
      </c>
      <c r="GB46" t="s">
        <v>1309</v>
      </c>
      <c r="GC46" t="s">
        <v>1309</v>
      </c>
      <c r="GD46" t="s">
        <v>1309</v>
      </c>
      <c r="GE46" t="s">
        <v>1309</v>
      </c>
      <c r="GF46" t="s">
        <v>1309</v>
      </c>
      <c r="GG46" t="s">
        <v>1309</v>
      </c>
      <c r="GI46" t="s">
        <v>1324</v>
      </c>
      <c r="GJ46" t="s">
        <v>1324</v>
      </c>
      <c r="GT46" t="s">
        <v>1325</v>
      </c>
      <c r="GU46" t="s">
        <v>1310</v>
      </c>
      <c r="GV46" t="s">
        <v>1309</v>
      </c>
      <c r="GW46" t="s">
        <v>1309</v>
      </c>
      <c r="GX46" t="s">
        <v>1309</v>
      </c>
      <c r="GY46" t="s">
        <v>1309</v>
      </c>
      <c r="GZ46" t="s">
        <v>1309</v>
      </c>
      <c r="HA46" t="s">
        <v>1309</v>
      </c>
      <c r="HB46" t="s">
        <v>1309</v>
      </c>
      <c r="HC46" t="s">
        <v>1309</v>
      </c>
      <c r="HD46" t="s">
        <v>1309</v>
      </c>
      <c r="HE46" t="s">
        <v>1309</v>
      </c>
      <c r="HF46" t="s">
        <v>1309</v>
      </c>
      <c r="HH46" t="s">
        <v>1363</v>
      </c>
      <c r="HI46" t="s">
        <v>1363</v>
      </c>
      <c r="HJ46" t="s">
        <v>1363</v>
      </c>
      <c r="HK46" t="s">
        <v>1327</v>
      </c>
      <c r="HL46" t="s">
        <v>1364</v>
      </c>
      <c r="HM46" t="s">
        <v>1363</v>
      </c>
      <c r="IA46" t="s">
        <v>1307</v>
      </c>
      <c r="IQ46" t="s">
        <v>1308</v>
      </c>
      <c r="IS46" t="s">
        <v>1354</v>
      </c>
      <c r="JF46" t="s">
        <v>1354</v>
      </c>
      <c r="JG46" t="s">
        <v>1414</v>
      </c>
      <c r="JH46" t="s">
        <v>1309</v>
      </c>
      <c r="JI46" t="s">
        <v>1309</v>
      </c>
      <c r="JJ46" t="s">
        <v>1309</v>
      </c>
      <c r="JK46" t="s">
        <v>1309</v>
      </c>
      <c r="JL46" t="s">
        <v>1309</v>
      </c>
      <c r="JM46" t="s">
        <v>1309</v>
      </c>
      <c r="JN46" t="s">
        <v>1310</v>
      </c>
      <c r="JO46" t="s">
        <v>1309</v>
      </c>
      <c r="JQ46" s="92" t="s">
        <v>1516</v>
      </c>
      <c r="JR46" s="92" t="s">
        <v>1668</v>
      </c>
      <c r="JS46" s="92">
        <v>45</v>
      </c>
      <c r="JT46" s="92" t="s">
        <v>1319</v>
      </c>
      <c r="JU46" s="92" t="s">
        <v>1575</v>
      </c>
      <c r="JV46" s="92" t="s">
        <v>1336</v>
      </c>
      <c r="JW46" s="92" t="s">
        <v>1296</v>
      </c>
      <c r="JX46" s="92" t="s">
        <v>70</v>
      </c>
      <c r="JY46" s="92" t="s">
        <v>5549</v>
      </c>
      <c r="JZ46" s="92" t="s">
        <v>1337</v>
      </c>
      <c r="KA46" s="92" t="s">
        <v>4846</v>
      </c>
      <c r="KB46" s="92" t="s">
        <v>1370</v>
      </c>
      <c r="KC46" s="92" t="s">
        <v>109</v>
      </c>
      <c r="KD46" s="92" t="s">
        <v>4848</v>
      </c>
      <c r="KE46" s="92" t="s">
        <v>1371</v>
      </c>
      <c r="KF46" s="92">
        <v>4700</v>
      </c>
      <c r="KG46" s="92" t="s">
        <v>4439</v>
      </c>
      <c r="KH46" s="92" t="s">
        <v>192</v>
      </c>
      <c r="KI46" s="92" t="s">
        <v>192</v>
      </c>
      <c r="KJ46" s="92" t="s">
        <v>192</v>
      </c>
      <c r="KK46" s="92" t="s">
        <v>192</v>
      </c>
      <c r="KL46" s="92" t="s">
        <v>1341</v>
      </c>
      <c r="KM46" s="92">
        <v>5250</v>
      </c>
      <c r="KN46" s="92" t="s">
        <v>4439</v>
      </c>
      <c r="KO46" s="92" t="s">
        <v>1341</v>
      </c>
      <c r="KP46" s="92" t="s">
        <v>1375</v>
      </c>
      <c r="KQ46" s="92" t="s">
        <v>192</v>
      </c>
      <c r="KR46" s="92"/>
      <c r="KS46" s="92" t="s">
        <v>1466</v>
      </c>
      <c r="KT46" s="92" t="s">
        <v>1344</v>
      </c>
      <c r="KU46" s="92"/>
      <c r="KV46" s="92" t="s">
        <v>5554</v>
      </c>
      <c r="KW46" s="92"/>
      <c r="KX46" s="92" t="s">
        <v>1346</v>
      </c>
      <c r="KY46" s="92" t="s">
        <v>1508</v>
      </c>
      <c r="KZ46" s="92" t="s">
        <v>1378</v>
      </c>
      <c r="LA46" s="92" t="s">
        <v>109</v>
      </c>
      <c r="LB46" s="92" t="s">
        <v>109</v>
      </c>
      <c r="LC46" s="92" t="s">
        <v>4439</v>
      </c>
      <c r="LD46" s="92" t="s">
        <v>4439</v>
      </c>
      <c r="LE46" s="92" t="s">
        <v>192</v>
      </c>
      <c r="LF46" s="92" t="s">
        <v>192</v>
      </c>
    </row>
    <row r="47" spans="1:318" x14ac:dyDescent="0.25">
      <c r="A47" t="s">
        <v>1678</v>
      </c>
      <c r="B47" t="s">
        <v>1679</v>
      </c>
      <c r="C47" t="s">
        <v>1304</v>
      </c>
      <c r="D47" t="s">
        <v>1305</v>
      </c>
      <c r="E47" t="s">
        <v>1381</v>
      </c>
      <c r="G47" t="s">
        <v>1319</v>
      </c>
      <c r="H47">
        <v>3</v>
      </c>
      <c r="I47" t="s">
        <v>1358</v>
      </c>
      <c r="J47" t="s">
        <v>1406</v>
      </c>
      <c r="K47" t="s">
        <v>1309</v>
      </c>
      <c r="L47" t="s">
        <v>1310</v>
      </c>
      <c r="M47" t="s">
        <v>1309</v>
      </c>
      <c r="N47" t="s">
        <v>1309</v>
      </c>
      <c r="O47" t="s">
        <v>1309</v>
      </c>
      <c r="P47" t="s">
        <v>1309</v>
      </c>
      <c r="Q47" t="s">
        <v>1309</v>
      </c>
      <c r="R47" t="s">
        <v>1309</v>
      </c>
      <c r="S47">
        <v>1</v>
      </c>
      <c r="U47" t="s">
        <v>1312</v>
      </c>
      <c r="V47" t="s">
        <v>1312</v>
      </c>
      <c r="W47" t="s">
        <v>1312</v>
      </c>
      <c r="X47" t="s">
        <v>1312</v>
      </c>
      <c r="Y47" t="s">
        <v>1312</v>
      </c>
      <c r="Z47" t="s">
        <v>1312</v>
      </c>
      <c r="AC47">
        <v>1</v>
      </c>
      <c r="AD47">
        <v>11000</v>
      </c>
      <c r="AE47">
        <v>11000</v>
      </c>
      <c r="AF47" t="s">
        <v>1313</v>
      </c>
      <c r="AH47" t="s">
        <v>1383</v>
      </c>
      <c r="AJ47" t="s">
        <v>1353</v>
      </c>
      <c r="AL47" t="s">
        <v>1316</v>
      </c>
      <c r="BA47" t="s">
        <v>1316</v>
      </c>
      <c r="BS47" t="s">
        <v>1307</v>
      </c>
      <c r="CE47" t="s">
        <v>1537</v>
      </c>
      <c r="CF47" t="s">
        <v>1309</v>
      </c>
      <c r="CG47" t="s">
        <v>1309</v>
      </c>
      <c r="CH47" t="s">
        <v>1309</v>
      </c>
      <c r="CI47" t="s">
        <v>1309</v>
      </c>
      <c r="CJ47" t="s">
        <v>1309</v>
      </c>
      <c r="CK47" t="s">
        <v>1310</v>
      </c>
      <c r="CL47" t="s">
        <v>1309</v>
      </c>
      <c r="CM47" t="s">
        <v>1309</v>
      </c>
      <c r="CN47" t="s">
        <v>1310</v>
      </c>
      <c r="CO47" t="s">
        <v>1309</v>
      </c>
      <c r="CP47" t="s">
        <v>1309</v>
      </c>
      <c r="CQ47" t="s">
        <v>1309</v>
      </c>
      <c r="CR47" t="s">
        <v>1309</v>
      </c>
      <c r="CT47" t="s">
        <v>4437</v>
      </c>
      <c r="CV47" t="s">
        <v>1308</v>
      </c>
      <c r="CW47" t="s">
        <v>1310</v>
      </c>
      <c r="CX47" t="s">
        <v>1309</v>
      </c>
      <c r="CY47" t="s">
        <v>1309</v>
      </c>
      <c r="CZ47" t="s">
        <v>1309</v>
      </c>
      <c r="DA47" t="s">
        <v>1309</v>
      </c>
      <c r="DB47" t="s">
        <v>1309</v>
      </c>
      <c r="DC47" t="s">
        <v>1309</v>
      </c>
      <c r="DE47" t="s">
        <v>1358</v>
      </c>
      <c r="DF47" t="s">
        <v>1319</v>
      </c>
      <c r="DG47">
        <v>100</v>
      </c>
      <c r="DI47">
        <v>3000</v>
      </c>
      <c r="DJ47" t="s">
        <v>1358</v>
      </c>
      <c r="DK47">
        <v>150</v>
      </c>
      <c r="DM47">
        <v>3000</v>
      </c>
      <c r="DN47" t="s">
        <v>1584</v>
      </c>
      <c r="DO47" t="s">
        <v>1310</v>
      </c>
      <c r="DP47" t="s">
        <v>1309</v>
      </c>
      <c r="DQ47" t="s">
        <v>1309</v>
      </c>
      <c r="DR47" t="s">
        <v>1309</v>
      </c>
      <c r="DS47" t="s">
        <v>1310</v>
      </c>
      <c r="DT47" t="s">
        <v>1310</v>
      </c>
      <c r="DU47" t="s">
        <v>1309</v>
      </c>
      <c r="DV47" t="s">
        <v>1309</v>
      </c>
      <c r="DW47" t="s">
        <v>1309</v>
      </c>
      <c r="DY47" t="s">
        <v>1490</v>
      </c>
      <c r="DZ47">
        <v>550</v>
      </c>
      <c r="EA47" t="s">
        <v>1386</v>
      </c>
      <c r="EC47" t="s">
        <v>1322</v>
      </c>
      <c r="ED47">
        <v>570</v>
      </c>
      <c r="EE47" t="s">
        <v>1386</v>
      </c>
      <c r="EG47" t="s">
        <v>5356</v>
      </c>
      <c r="EI47" t="s">
        <v>1307</v>
      </c>
      <c r="ET47" t="s">
        <v>1307</v>
      </c>
      <c r="EV47" t="s">
        <v>1319</v>
      </c>
      <c r="EW47" t="s">
        <v>1361</v>
      </c>
      <c r="EX47" t="s">
        <v>1319</v>
      </c>
      <c r="EY47" t="s">
        <v>1307</v>
      </c>
      <c r="EZ47" t="s">
        <v>1319</v>
      </c>
      <c r="FA47" t="s">
        <v>1680</v>
      </c>
      <c r="FB47" t="s">
        <v>1310</v>
      </c>
      <c r="FC47" t="s">
        <v>1309</v>
      </c>
      <c r="FD47" t="s">
        <v>1309</v>
      </c>
      <c r="FE47" t="s">
        <v>1309</v>
      </c>
      <c r="FF47" t="s">
        <v>1309</v>
      </c>
      <c r="FG47" t="s">
        <v>1310</v>
      </c>
      <c r="FH47" t="s">
        <v>1309</v>
      </c>
      <c r="FI47" t="s">
        <v>1310</v>
      </c>
      <c r="FJ47" t="s">
        <v>1309</v>
      </c>
      <c r="FK47" t="s">
        <v>1309</v>
      </c>
      <c r="FL47" t="s">
        <v>1309</v>
      </c>
      <c r="FM47" t="s">
        <v>1309</v>
      </c>
      <c r="FN47" t="s">
        <v>1309</v>
      </c>
      <c r="FO47" t="s">
        <v>1309</v>
      </c>
      <c r="FP47" t="s">
        <v>1309</v>
      </c>
      <c r="FQ47" t="s">
        <v>1309</v>
      </c>
      <c r="FR47" t="s">
        <v>1309</v>
      </c>
      <c r="FT47" t="s">
        <v>1319</v>
      </c>
      <c r="FU47" t="s">
        <v>1649</v>
      </c>
      <c r="FV47" t="s">
        <v>1310</v>
      </c>
      <c r="FW47" t="s">
        <v>1310</v>
      </c>
      <c r="FX47" t="s">
        <v>1309</v>
      </c>
      <c r="FY47" t="s">
        <v>1309</v>
      </c>
      <c r="FZ47" t="s">
        <v>1309</v>
      </c>
      <c r="GA47" t="s">
        <v>1309</v>
      </c>
      <c r="GB47" t="s">
        <v>1309</v>
      </c>
      <c r="GC47" t="s">
        <v>1309</v>
      </c>
      <c r="GD47" t="s">
        <v>1309</v>
      </c>
      <c r="GE47" t="s">
        <v>1309</v>
      </c>
      <c r="GF47" t="s">
        <v>1309</v>
      </c>
      <c r="GG47" t="s">
        <v>1309</v>
      </c>
      <c r="GI47" t="s">
        <v>1324</v>
      </c>
      <c r="GJ47" t="s">
        <v>1324</v>
      </c>
      <c r="GT47" t="s">
        <v>1325</v>
      </c>
      <c r="GU47" t="s">
        <v>1310</v>
      </c>
      <c r="GV47" t="s">
        <v>1309</v>
      </c>
      <c r="GW47" t="s">
        <v>1309</v>
      </c>
      <c r="GX47" t="s">
        <v>1309</v>
      </c>
      <c r="GY47" t="s">
        <v>1309</v>
      </c>
      <c r="GZ47" t="s">
        <v>1309</v>
      </c>
      <c r="HA47" t="s">
        <v>1309</v>
      </c>
      <c r="HB47" t="s">
        <v>1309</v>
      </c>
      <c r="HC47" t="s">
        <v>1309</v>
      </c>
      <c r="HD47" t="s">
        <v>1309</v>
      </c>
      <c r="HE47" t="s">
        <v>1309</v>
      </c>
      <c r="HF47" t="s">
        <v>1309</v>
      </c>
      <c r="HH47" t="s">
        <v>1390</v>
      </c>
      <c r="HI47" t="s">
        <v>1327</v>
      </c>
      <c r="HJ47" t="s">
        <v>1390</v>
      </c>
      <c r="HK47" t="s">
        <v>1327</v>
      </c>
      <c r="HL47" t="s">
        <v>1364</v>
      </c>
      <c r="HM47" t="s">
        <v>1390</v>
      </c>
      <c r="IA47" t="s">
        <v>1307</v>
      </c>
      <c r="IQ47" t="s">
        <v>1330</v>
      </c>
      <c r="IS47" t="s">
        <v>1316</v>
      </c>
      <c r="JF47" t="s">
        <v>1316</v>
      </c>
      <c r="JG47" t="s">
        <v>1523</v>
      </c>
      <c r="JH47" t="s">
        <v>1309</v>
      </c>
      <c r="JI47" t="s">
        <v>1309</v>
      </c>
      <c r="JJ47" t="s">
        <v>1309</v>
      </c>
      <c r="JK47" t="s">
        <v>1310</v>
      </c>
      <c r="JL47" t="s">
        <v>1309</v>
      </c>
      <c r="JM47" t="s">
        <v>1309</v>
      </c>
      <c r="JN47" t="s">
        <v>1309</v>
      </c>
      <c r="JO47" t="s">
        <v>1309</v>
      </c>
      <c r="JQ47" s="92" t="s">
        <v>1516</v>
      </c>
      <c r="JR47" s="92" t="s">
        <v>1681</v>
      </c>
      <c r="JS47" s="92">
        <v>39</v>
      </c>
      <c r="JT47" s="92" t="s">
        <v>1319</v>
      </c>
      <c r="JU47" s="92" t="s">
        <v>1575</v>
      </c>
      <c r="JV47" s="92" t="s">
        <v>1336</v>
      </c>
      <c r="JW47" s="92" t="s">
        <v>1296</v>
      </c>
      <c r="JX47" s="92" t="s">
        <v>70</v>
      </c>
      <c r="JY47" s="92" t="s">
        <v>1397</v>
      </c>
      <c r="JZ47" s="92" t="s">
        <v>1337</v>
      </c>
      <c r="KA47" s="92" t="s">
        <v>4845</v>
      </c>
      <c r="KB47" s="92" t="s">
        <v>1415</v>
      </c>
      <c r="KC47" s="92" t="s">
        <v>109</v>
      </c>
      <c r="KD47" s="92" t="s">
        <v>4844</v>
      </c>
      <c r="KE47" s="92" t="s">
        <v>1371</v>
      </c>
      <c r="KF47" s="92">
        <v>3100</v>
      </c>
      <c r="KG47" s="92" t="s">
        <v>4439</v>
      </c>
      <c r="KH47" s="92" t="s">
        <v>192</v>
      </c>
      <c r="KI47" s="92" t="s">
        <v>109</v>
      </c>
      <c r="KJ47" s="92" t="s">
        <v>192</v>
      </c>
      <c r="KK47" s="92" t="s">
        <v>109</v>
      </c>
      <c r="KL47" s="92" t="s">
        <v>1341</v>
      </c>
      <c r="KM47" s="92">
        <v>3150</v>
      </c>
      <c r="KN47" s="92" t="s">
        <v>4439</v>
      </c>
      <c r="KO47" s="92" t="s">
        <v>1341</v>
      </c>
      <c r="KP47" s="92" t="s">
        <v>1682</v>
      </c>
      <c r="KQ47" s="92" t="s">
        <v>192</v>
      </c>
      <c r="KR47" s="92">
        <v>18</v>
      </c>
      <c r="KS47" s="92" t="s">
        <v>1345</v>
      </c>
      <c r="KT47" s="92" t="s">
        <v>1402</v>
      </c>
      <c r="KU47" s="92">
        <v>18</v>
      </c>
      <c r="KV47" s="92" t="s">
        <v>1345</v>
      </c>
      <c r="KW47" s="92" t="s">
        <v>1402</v>
      </c>
      <c r="KX47" s="92" t="s">
        <v>1346</v>
      </c>
      <c r="KY47" s="92" t="s">
        <v>1347</v>
      </c>
      <c r="KZ47" s="92" t="s">
        <v>1403</v>
      </c>
      <c r="LA47" s="92" t="s">
        <v>109</v>
      </c>
      <c r="LB47" s="92" t="s">
        <v>109</v>
      </c>
      <c r="LC47" s="92" t="s">
        <v>4438</v>
      </c>
      <c r="LD47" s="92" t="s">
        <v>4438</v>
      </c>
      <c r="LE47" s="92" t="s">
        <v>192</v>
      </c>
      <c r="LF47" s="92" t="s">
        <v>192</v>
      </c>
    </row>
    <row r="48" spans="1:318" x14ac:dyDescent="0.25">
      <c r="A48" t="s">
        <v>1683</v>
      </c>
      <c r="B48" t="s">
        <v>1684</v>
      </c>
      <c r="C48" t="s">
        <v>1304</v>
      </c>
      <c r="D48" t="s">
        <v>1305</v>
      </c>
      <c r="E48" t="s">
        <v>1306</v>
      </c>
      <c r="G48" t="s">
        <v>1307</v>
      </c>
      <c r="H48">
        <v>2</v>
      </c>
      <c r="I48" t="s">
        <v>1307</v>
      </c>
      <c r="J48" t="s">
        <v>1382</v>
      </c>
      <c r="K48" t="s">
        <v>1309</v>
      </c>
      <c r="L48" t="s">
        <v>1310</v>
      </c>
      <c r="M48" t="s">
        <v>1309</v>
      </c>
      <c r="N48" t="s">
        <v>1309</v>
      </c>
      <c r="O48" t="s">
        <v>1309</v>
      </c>
      <c r="P48" t="s">
        <v>1310</v>
      </c>
      <c r="Q48" t="s">
        <v>1309</v>
      </c>
      <c r="R48" t="s">
        <v>1309</v>
      </c>
      <c r="S48">
        <v>1</v>
      </c>
      <c r="U48" t="s">
        <v>1486</v>
      </c>
      <c r="V48" t="s">
        <v>1312</v>
      </c>
      <c r="W48" t="s">
        <v>1312</v>
      </c>
      <c r="X48" t="s">
        <v>1312</v>
      </c>
      <c r="Y48" t="s">
        <v>1312</v>
      </c>
      <c r="Z48" t="s">
        <v>1312</v>
      </c>
      <c r="AC48">
        <v>1</v>
      </c>
      <c r="AD48">
        <v>6000</v>
      </c>
      <c r="AE48">
        <v>5000</v>
      </c>
      <c r="AF48" t="s">
        <v>1313</v>
      </c>
      <c r="AH48" t="s">
        <v>1383</v>
      </c>
      <c r="AJ48" t="s">
        <v>1353</v>
      </c>
      <c r="AL48" t="s">
        <v>1316</v>
      </c>
      <c r="BA48" t="s">
        <v>1316</v>
      </c>
      <c r="BS48" t="s">
        <v>1307</v>
      </c>
      <c r="CE48" t="s">
        <v>1685</v>
      </c>
      <c r="CF48" t="s">
        <v>1310</v>
      </c>
      <c r="CG48" t="s">
        <v>1309</v>
      </c>
      <c r="CH48" t="s">
        <v>1309</v>
      </c>
      <c r="CI48" t="s">
        <v>1310</v>
      </c>
      <c r="CJ48" t="s">
        <v>1309</v>
      </c>
      <c r="CK48" t="s">
        <v>1309</v>
      </c>
      <c r="CL48" t="s">
        <v>1309</v>
      </c>
      <c r="CM48" t="s">
        <v>1309</v>
      </c>
      <c r="CN48" t="s">
        <v>1310</v>
      </c>
      <c r="CO48" t="s">
        <v>1310</v>
      </c>
      <c r="CP48" t="s">
        <v>1309</v>
      </c>
      <c r="CQ48" t="s">
        <v>1309</v>
      </c>
      <c r="CR48" t="s">
        <v>1309</v>
      </c>
      <c r="CT48" t="s">
        <v>4434</v>
      </c>
      <c r="CV48" t="s">
        <v>1308</v>
      </c>
      <c r="CW48" t="s">
        <v>1310</v>
      </c>
      <c r="CX48" t="s">
        <v>1309</v>
      </c>
      <c r="CY48" t="s">
        <v>1309</v>
      </c>
      <c r="CZ48" t="s">
        <v>1309</v>
      </c>
      <c r="DA48" t="s">
        <v>1309</v>
      </c>
      <c r="DB48" t="s">
        <v>1309</v>
      </c>
      <c r="DC48" t="s">
        <v>1309</v>
      </c>
      <c r="DE48" t="s">
        <v>1358</v>
      </c>
      <c r="DG48">
        <v>900</v>
      </c>
      <c r="DI48">
        <v>200</v>
      </c>
      <c r="DJ48" t="s">
        <v>1318</v>
      </c>
      <c r="DK48">
        <v>1200</v>
      </c>
      <c r="DM48">
        <v>350</v>
      </c>
      <c r="DN48" t="s">
        <v>1432</v>
      </c>
      <c r="DO48" t="s">
        <v>1310</v>
      </c>
      <c r="DP48" t="s">
        <v>1309</v>
      </c>
      <c r="DQ48" t="s">
        <v>1309</v>
      </c>
      <c r="DR48" t="s">
        <v>1310</v>
      </c>
      <c r="DS48" t="s">
        <v>1309</v>
      </c>
      <c r="DT48" t="s">
        <v>1310</v>
      </c>
      <c r="DU48" t="s">
        <v>1309</v>
      </c>
      <c r="DV48" t="s">
        <v>1309</v>
      </c>
      <c r="DW48" t="s">
        <v>1309</v>
      </c>
      <c r="DY48" t="s">
        <v>1321</v>
      </c>
      <c r="DZ48">
        <v>800</v>
      </c>
      <c r="EA48" t="s">
        <v>1386</v>
      </c>
      <c r="EC48" t="s">
        <v>1387</v>
      </c>
      <c r="ED48">
        <v>1000</v>
      </c>
      <c r="EE48" t="s">
        <v>1386</v>
      </c>
      <c r="EG48" t="s">
        <v>5356</v>
      </c>
      <c r="EI48" t="s">
        <v>1307</v>
      </c>
      <c r="ET48" t="s">
        <v>1307</v>
      </c>
      <c r="EV48" t="s">
        <v>1307</v>
      </c>
      <c r="EX48" t="s">
        <v>1319</v>
      </c>
      <c r="EY48" t="s">
        <v>1319</v>
      </c>
      <c r="FA48" t="s">
        <v>1686</v>
      </c>
      <c r="FB48" t="s">
        <v>1310</v>
      </c>
      <c r="FC48" t="s">
        <v>1309</v>
      </c>
      <c r="FD48" t="s">
        <v>1310</v>
      </c>
      <c r="FE48" t="s">
        <v>1309</v>
      </c>
      <c r="FF48" t="s">
        <v>1309</v>
      </c>
      <c r="FG48" t="s">
        <v>1310</v>
      </c>
      <c r="FH48" t="s">
        <v>1309</v>
      </c>
      <c r="FI48" t="s">
        <v>1309</v>
      </c>
      <c r="FJ48" t="s">
        <v>1309</v>
      </c>
      <c r="FK48" t="s">
        <v>1309</v>
      </c>
      <c r="FL48" t="s">
        <v>1309</v>
      </c>
      <c r="FM48" t="s">
        <v>1309</v>
      </c>
      <c r="FN48" t="s">
        <v>1309</v>
      </c>
      <c r="FO48" t="s">
        <v>1309</v>
      </c>
      <c r="FP48" t="s">
        <v>1309</v>
      </c>
      <c r="FQ48" t="s">
        <v>1309</v>
      </c>
      <c r="FR48" t="s">
        <v>1309</v>
      </c>
      <c r="FT48" t="s">
        <v>1319</v>
      </c>
      <c r="FU48" t="s">
        <v>1435</v>
      </c>
      <c r="FV48" t="s">
        <v>1310</v>
      </c>
      <c r="FW48" t="s">
        <v>1309</v>
      </c>
      <c r="FX48" t="s">
        <v>1309</v>
      </c>
      <c r="FY48" t="s">
        <v>1309</v>
      </c>
      <c r="FZ48" t="s">
        <v>1309</v>
      </c>
      <c r="GA48" t="s">
        <v>1309</v>
      </c>
      <c r="GB48" t="s">
        <v>1309</v>
      </c>
      <c r="GC48" t="s">
        <v>1309</v>
      </c>
      <c r="GD48" t="s">
        <v>1309</v>
      </c>
      <c r="GE48" t="s">
        <v>1309</v>
      </c>
      <c r="GF48" t="s">
        <v>1309</v>
      </c>
      <c r="GG48" t="s">
        <v>1309</v>
      </c>
      <c r="GI48" t="s">
        <v>1324</v>
      </c>
      <c r="GJ48" t="s">
        <v>1324</v>
      </c>
      <c r="GT48" t="s">
        <v>1325</v>
      </c>
      <c r="GU48" t="s">
        <v>1310</v>
      </c>
      <c r="GV48" t="s">
        <v>1309</v>
      </c>
      <c r="GW48" t="s">
        <v>1309</v>
      </c>
      <c r="GX48" t="s">
        <v>1309</v>
      </c>
      <c r="GY48" t="s">
        <v>1309</v>
      </c>
      <c r="GZ48" t="s">
        <v>1309</v>
      </c>
      <c r="HA48" t="s">
        <v>1309</v>
      </c>
      <c r="HB48" t="s">
        <v>1309</v>
      </c>
      <c r="HC48" t="s">
        <v>1309</v>
      </c>
      <c r="HD48" t="s">
        <v>1309</v>
      </c>
      <c r="HE48" t="s">
        <v>1309</v>
      </c>
      <c r="HF48" t="s">
        <v>1309</v>
      </c>
      <c r="HH48" t="s">
        <v>1390</v>
      </c>
      <c r="HI48" t="s">
        <v>1390</v>
      </c>
      <c r="HJ48" t="s">
        <v>1390</v>
      </c>
      <c r="HK48" t="s">
        <v>1390</v>
      </c>
      <c r="HL48" t="s">
        <v>1328</v>
      </c>
      <c r="HM48" t="s">
        <v>1390</v>
      </c>
      <c r="HN48" t="s">
        <v>1687</v>
      </c>
      <c r="HO48" t="s">
        <v>1309</v>
      </c>
      <c r="HP48" t="s">
        <v>1310</v>
      </c>
      <c r="HQ48" t="s">
        <v>1309</v>
      </c>
      <c r="HR48" t="s">
        <v>1310</v>
      </c>
      <c r="HS48" t="s">
        <v>1309</v>
      </c>
      <c r="HT48" t="s">
        <v>1309</v>
      </c>
      <c r="HU48" t="s">
        <v>1309</v>
      </c>
      <c r="HV48" t="s">
        <v>1309</v>
      </c>
      <c r="HW48" t="s">
        <v>1309</v>
      </c>
      <c r="HX48" t="s">
        <v>1309</v>
      </c>
      <c r="HY48" t="s">
        <v>1309</v>
      </c>
      <c r="IA48" t="s">
        <v>1414</v>
      </c>
      <c r="IQ48" t="s">
        <v>1330</v>
      </c>
      <c r="IS48" t="s">
        <v>1316</v>
      </c>
      <c r="JF48" t="s">
        <v>1316</v>
      </c>
      <c r="JG48" t="s">
        <v>1414</v>
      </c>
      <c r="JH48" t="s">
        <v>1309</v>
      </c>
      <c r="JI48" t="s">
        <v>1309</v>
      </c>
      <c r="JJ48" t="s">
        <v>1309</v>
      </c>
      <c r="JK48" t="s">
        <v>1309</v>
      </c>
      <c r="JL48" t="s">
        <v>1309</v>
      </c>
      <c r="JM48" t="s">
        <v>1309</v>
      </c>
      <c r="JN48" t="s">
        <v>1310</v>
      </c>
      <c r="JO48" t="s">
        <v>1309</v>
      </c>
      <c r="JQ48" s="92" t="s">
        <v>1593</v>
      </c>
      <c r="JR48" s="92" t="s">
        <v>1688</v>
      </c>
      <c r="JS48" s="92">
        <v>34</v>
      </c>
      <c r="JT48" s="92" t="s">
        <v>1319</v>
      </c>
      <c r="JU48" s="92" t="s">
        <v>1335</v>
      </c>
      <c r="JV48" s="92" t="s">
        <v>1526</v>
      </c>
      <c r="JW48" s="92" t="s">
        <v>1296</v>
      </c>
      <c r="JX48" s="92" t="s">
        <v>71</v>
      </c>
      <c r="JY48" s="92" t="s">
        <v>5549</v>
      </c>
      <c r="JZ48" s="92" t="s">
        <v>1398</v>
      </c>
      <c r="KA48" s="92" t="s">
        <v>4845</v>
      </c>
      <c r="KB48" s="92" t="s">
        <v>1399</v>
      </c>
      <c r="KC48" s="92" t="s">
        <v>192</v>
      </c>
      <c r="KD48" s="92" t="s">
        <v>4844</v>
      </c>
      <c r="KE48" s="92" t="s">
        <v>1424</v>
      </c>
      <c r="KF48" s="92">
        <v>1100</v>
      </c>
      <c r="KG48" s="92" t="s">
        <v>4438</v>
      </c>
      <c r="KH48" s="92" t="s">
        <v>192</v>
      </c>
      <c r="KI48" s="92" t="s">
        <v>109</v>
      </c>
      <c r="KJ48" s="92" t="s">
        <v>192</v>
      </c>
      <c r="KK48" s="92" t="s">
        <v>109</v>
      </c>
      <c r="KL48" s="92" t="s">
        <v>1440</v>
      </c>
      <c r="KM48" s="92">
        <v>1550</v>
      </c>
      <c r="KN48" s="92" t="s">
        <v>4439</v>
      </c>
      <c r="KO48" s="92" t="s">
        <v>1440</v>
      </c>
      <c r="KP48" s="92" t="s">
        <v>1460</v>
      </c>
      <c r="KQ48" s="92" t="s">
        <v>192</v>
      </c>
      <c r="KR48" s="92">
        <v>73</v>
      </c>
      <c r="KS48" s="92" t="s">
        <v>1466</v>
      </c>
      <c r="KT48" s="92" t="s">
        <v>1402</v>
      </c>
      <c r="KU48" s="92">
        <v>65</v>
      </c>
      <c r="KV48" s="92" t="s">
        <v>1461</v>
      </c>
      <c r="KW48" s="92" t="s">
        <v>1402</v>
      </c>
      <c r="KX48" s="92" t="s">
        <v>1346</v>
      </c>
      <c r="KY48" s="92" t="s">
        <v>1347</v>
      </c>
      <c r="KZ48" s="92" t="s">
        <v>5795</v>
      </c>
      <c r="LA48" s="92" t="s">
        <v>109</v>
      </c>
      <c r="LB48" s="92" t="s">
        <v>109</v>
      </c>
      <c r="LC48" s="92" t="s">
        <v>4438</v>
      </c>
      <c r="LD48" s="92" t="s">
        <v>4438</v>
      </c>
      <c r="LE48" s="92" t="s">
        <v>192</v>
      </c>
      <c r="LF48" s="92" t="s">
        <v>192</v>
      </c>
    </row>
    <row r="49" spans="1:318" x14ac:dyDescent="0.25">
      <c r="A49" t="s">
        <v>1689</v>
      </c>
      <c r="B49" t="s">
        <v>1690</v>
      </c>
      <c r="C49" t="s">
        <v>1304</v>
      </c>
      <c r="D49" t="s">
        <v>1305</v>
      </c>
      <c r="E49" t="s">
        <v>1381</v>
      </c>
      <c r="G49" t="s">
        <v>1319</v>
      </c>
      <c r="H49">
        <v>2</v>
      </c>
      <c r="I49" t="s">
        <v>1358</v>
      </c>
      <c r="J49" t="s">
        <v>1382</v>
      </c>
      <c r="K49" t="s">
        <v>1309</v>
      </c>
      <c r="L49" t="s">
        <v>1310</v>
      </c>
      <c r="M49" t="s">
        <v>1309</v>
      </c>
      <c r="N49" t="s">
        <v>1309</v>
      </c>
      <c r="O49" t="s">
        <v>1309</v>
      </c>
      <c r="P49" t="s">
        <v>1310</v>
      </c>
      <c r="Q49" t="s">
        <v>1309</v>
      </c>
      <c r="R49" t="s">
        <v>1309</v>
      </c>
      <c r="S49">
        <v>1</v>
      </c>
      <c r="U49" t="s">
        <v>1312</v>
      </c>
      <c r="V49" t="s">
        <v>1312</v>
      </c>
      <c r="W49" t="s">
        <v>1312</v>
      </c>
      <c r="X49" t="s">
        <v>1312</v>
      </c>
      <c r="Y49" t="s">
        <v>1312</v>
      </c>
      <c r="Z49" t="s">
        <v>1312</v>
      </c>
      <c r="AC49">
        <v>1</v>
      </c>
      <c r="AD49">
        <v>4500</v>
      </c>
      <c r="AE49">
        <v>4500</v>
      </c>
      <c r="AF49" t="s">
        <v>1313</v>
      </c>
      <c r="AH49" t="s">
        <v>1383</v>
      </c>
      <c r="AJ49" t="s">
        <v>1315</v>
      </c>
      <c r="AL49" t="s">
        <v>1316</v>
      </c>
      <c r="BS49" t="s">
        <v>1307</v>
      </c>
      <c r="CE49" t="s">
        <v>1355</v>
      </c>
      <c r="CF49" t="s">
        <v>1309</v>
      </c>
      <c r="CG49" t="s">
        <v>1309</v>
      </c>
      <c r="CH49" t="s">
        <v>1309</v>
      </c>
      <c r="CI49" t="s">
        <v>1309</v>
      </c>
      <c r="CJ49" t="s">
        <v>1309</v>
      </c>
      <c r="CK49" t="s">
        <v>1309</v>
      </c>
      <c r="CL49" t="s">
        <v>1309</v>
      </c>
      <c r="CM49" t="s">
        <v>1309</v>
      </c>
      <c r="CN49" t="s">
        <v>1310</v>
      </c>
      <c r="CO49" t="s">
        <v>1309</v>
      </c>
      <c r="CP49" t="s">
        <v>1309</v>
      </c>
      <c r="CQ49" t="s">
        <v>1309</v>
      </c>
      <c r="CR49" t="s">
        <v>1309</v>
      </c>
      <c r="CT49" t="s">
        <v>4434</v>
      </c>
      <c r="CV49" t="s">
        <v>1357</v>
      </c>
      <c r="CW49" t="s">
        <v>1309</v>
      </c>
      <c r="CX49" t="s">
        <v>1309</v>
      </c>
      <c r="CY49" t="s">
        <v>1309</v>
      </c>
      <c r="CZ49" t="s">
        <v>1309</v>
      </c>
      <c r="DA49" t="s">
        <v>1310</v>
      </c>
      <c r="DB49" t="s">
        <v>1309</v>
      </c>
      <c r="DC49" t="s">
        <v>1309</v>
      </c>
      <c r="DE49" t="s">
        <v>1358</v>
      </c>
      <c r="DG49">
        <v>700</v>
      </c>
      <c r="DI49">
        <v>300</v>
      </c>
      <c r="DJ49" t="s">
        <v>1307</v>
      </c>
      <c r="DK49">
        <v>1800</v>
      </c>
      <c r="DM49">
        <v>300</v>
      </c>
      <c r="DN49" t="s">
        <v>1385</v>
      </c>
      <c r="DO49" t="s">
        <v>1309</v>
      </c>
      <c r="DP49" t="s">
        <v>1309</v>
      </c>
      <c r="DQ49" t="s">
        <v>1309</v>
      </c>
      <c r="DR49" t="s">
        <v>1310</v>
      </c>
      <c r="DS49" t="s">
        <v>1309</v>
      </c>
      <c r="DT49" t="s">
        <v>1310</v>
      </c>
      <c r="DU49" t="s">
        <v>1309</v>
      </c>
      <c r="DV49" t="s">
        <v>1309</v>
      </c>
      <c r="DW49" t="s">
        <v>1309</v>
      </c>
      <c r="DY49" t="s">
        <v>1419</v>
      </c>
      <c r="DZ49">
        <v>350</v>
      </c>
      <c r="EA49" t="s">
        <v>1319</v>
      </c>
      <c r="EC49" t="s">
        <v>1504</v>
      </c>
      <c r="EG49" t="s">
        <v>5356</v>
      </c>
      <c r="EI49" t="s">
        <v>1307</v>
      </c>
      <c r="ET49" t="s">
        <v>1307</v>
      </c>
      <c r="EV49" t="s">
        <v>1319</v>
      </c>
      <c r="EW49" t="s">
        <v>1409</v>
      </c>
      <c r="EX49" t="s">
        <v>1319</v>
      </c>
      <c r="EY49" t="s">
        <v>1319</v>
      </c>
      <c r="FA49" t="s">
        <v>1691</v>
      </c>
      <c r="FB49" t="s">
        <v>1309</v>
      </c>
      <c r="FC49" t="s">
        <v>1309</v>
      </c>
      <c r="FD49" t="s">
        <v>1310</v>
      </c>
      <c r="FE49" t="s">
        <v>1309</v>
      </c>
      <c r="FF49" t="s">
        <v>1309</v>
      </c>
      <c r="FG49" t="s">
        <v>1309</v>
      </c>
      <c r="FH49" t="s">
        <v>1309</v>
      </c>
      <c r="FI49" t="s">
        <v>1310</v>
      </c>
      <c r="FJ49" t="s">
        <v>1309</v>
      </c>
      <c r="FK49" t="s">
        <v>1309</v>
      </c>
      <c r="FL49" t="s">
        <v>1310</v>
      </c>
      <c r="FM49" t="s">
        <v>1310</v>
      </c>
      <c r="FN49" t="s">
        <v>1309</v>
      </c>
      <c r="FO49" t="s">
        <v>1309</v>
      </c>
      <c r="FP49" t="s">
        <v>1309</v>
      </c>
      <c r="FQ49" t="s">
        <v>1309</v>
      </c>
      <c r="FR49" t="s">
        <v>1309</v>
      </c>
      <c r="FT49" t="s">
        <v>1319</v>
      </c>
      <c r="FU49" t="s">
        <v>1649</v>
      </c>
      <c r="FV49" t="s">
        <v>1310</v>
      </c>
      <c r="FW49" t="s">
        <v>1310</v>
      </c>
      <c r="FX49" t="s">
        <v>1309</v>
      </c>
      <c r="FY49" t="s">
        <v>1309</v>
      </c>
      <c r="FZ49" t="s">
        <v>1309</v>
      </c>
      <c r="GA49" t="s">
        <v>1309</v>
      </c>
      <c r="GB49" t="s">
        <v>1309</v>
      </c>
      <c r="GC49" t="s">
        <v>1309</v>
      </c>
      <c r="GD49" t="s">
        <v>1309</v>
      </c>
      <c r="GE49" t="s">
        <v>1309</v>
      </c>
      <c r="GF49" t="s">
        <v>1309</v>
      </c>
      <c r="GG49" t="s">
        <v>1309</v>
      </c>
      <c r="GI49" t="s">
        <v>1436</v>
      </c>
      <c r="GJ49" t="s">
        <v>1436</v>
      </c>
      <c r="GK49" t="s">
        <v>1319</v>
      </c>
      <c r="GL49" t="s">
        <v>1619</v>
      </c>
      <c r="GM49" t="s">
        <v>1310</v>
      </c>
      <c r="GN49" t="s">
        <v>1309</v>
      </c>
      <c r="GO49" t="s">
        <v>1309</v>
      </c>
      <c r="GP49" t="s">
        <v>1309</v>
      </c>
      <c r="GQ49" t="s">
        <v>1309</v>
      </c>
      <c r="GR49" t="s">
        <v>1309</v>
      </c>
      <c r="GT49" t="s">
        <v>1325</v>
      </c>
      <c r="GU49" t="s">
        <v>1310</v>
      </c>
      <c r="GV49" t="s">
        <v>1309</v>
      </c>
      <c r="GW49" t="s">
        <v>1309</v>
      </c>
      <c r="GX49" t="s">
        <v>1309</v>
      </c>
      <c r="GY49" t="s">
        <v>1309</v>
      </c>
      <c r="GZ49" t="s">
        <v>1309</v>
      </c>
      <c r="HA49" t="s">
        <v>1309</v>
      </c>
      <c r="HB49" t="s">
        <v>1309</v>
      </c>
      <c r="HC49" t="s">
        <v>1309</v>
      </c>
      <c r="HD49" t="s">
        <v>1309</v>
      </c>
      <c r="HE49" t="s">
        <v>1309</v>
      </c>
      <c r="HF49" t="s">
        <v>1309</v>
      </c>
      <c r="HH49" t="s">
        <v>1326</v>
      </c>
      <c r="HI49" t="s">
        <v>1326</v>
      </c>
      <c r="HJ49" t="s">
        <v>1390</v>
      </c>
      <c r="HK49" t="s">
        <v>1327</v>
      </c>
      <c r="HL49" t="s">
        <v>1692</v>
      </c>
      <c r="HM49" t="s">
        <v>1326</v>
      </c>
      <c r="HN49" t="s">
        <v>1549</v>
      </c>
      <c r="HO49" t="s">
        <v>1310</v>
      </c>
      <c r="HP49" t="s">
        <v>1310</v>
      </c>
      <c r="HQ49" t="s">
        <v>1309</v>
      </c>
      <c r="HR49" t="s">
        <v>1309</v>
      </c>
      <c r="HS49" t="s">
        <v>1309</v>
      </c>
      <c r="HT49" t="s">
        <v>1309</v>
      </c>
      <c r="HU49" t="s">
        <v>1309</v>
      </c>
      <c r="HV49" t="s">
        <v>1309</v>
      </c>
      <c r="HW49" t="s">
        <v>1309</v>
      </c>
      <c r="HX49" t="s">
        <v>1309</v>
      </c>
      <c r="HY49" t="s">
        <v>1309</v>
      </c>
      <c r="IA49" t="s">
        <v>1319</v>
      </c>
      <c r="IB49" t="s">
        <v>1423</v>
      </c>
      <c r="IC49" t="s">
        <v>1309</v>
      </c>
      <c r="ID49" t="s">
        <v>1309</v>
      </c>
      <c r="IE49" t="s">
        <v>1309</v>
      </c>
      <c r="IF49" t="s">
        <v>1309</v>
      </c>
      <c r="IG49" t="s">
        <v>1310</v>
      </c>
      <c r="IH49" t="s">
        <v>1309</v>
      </c>
      <c r="II49" t="s">
        <v>1309</v>
      </c>
      <c r="IJ49" t="s">
        <v>1309</v>
      </c>
      <c r="IK49" t="s">
        <v>1309</v>
      </c>
      <c r="IL49" t="s">
        <v>1309</v>
      </c>
      <c r="IM49" t="s">
        <v>1309</v>
      </c>
      <c r="IN49" t="s">
        <v>1309</v>
      </c>
      <c r="IO49" t="s">
        <v>1309</v>
      </c>
      <c r="IQ49" t="s">
        <v>1365</v>
      </c>
      <c r="IS49" t="s">
        <v>1331</v>
      </c>
      <c r="JF49" t="s">
        <v>1413</v>
      </c>
      <c r="JG49" t="s">
        <v>1451</v>
      </c>
      <c r="JH49" t="s">
        <v>1310</v>
      </c>
      <c r="JI49" t="s">
        <v>1309</v>
      </c>
      <c r="JJ49" t="s">
        <v>1309</v>
      </c>
      <c r="JK49" t="s">
        <v>1310</v>
      </c>
      <c r="JL49" t="s">
        <v>1309</v>
      </c>
      <c r="JM49" t="s">
        <v>1309</v>
      </c>
      <c r="JN49" t="s">
        <v>1309</v>
      </c>
      <c r="JO49" t="s">
        <v>1309</v>
      </c>
      <c r="JQ49" s="92" t="s">
        <v>1333</v>
      </c>
      <c r="JR49" s="92" t="s">
        <v>1334</v>
      </c>
      <c r="JS49" s="92">
        <v>38</v>
      </c>
      <c r="JT49" s="92" t="s">
        <v>1319</v>
      </c>
      <c r="JU49" s="92" t="s">
        <v>1575</v>
      </c>
      <c r="JV49" s="92" t="s">
        <v>1336</v>
      </c>
      <c r="JW49" s="92" t="s">
        <v>1296</v>
      </c>
      <c r="JX49" s="92" t="s">
        <v>71</v>
      </c>
      <c r="JY49" s="92" t="s">
        <v>1397</v>
      </c>
      <c r="JZ49" s="92" t="s">
        <v>1337</v>
      </c>
      <c r="KA49" s="92" t="s">
        <v>4845</v>
      </c>
      <c r="KB49" s="92" t="s">
        <v>1399</v>
      </c>
      <c r="KC49" s="92" t="s">
        <v>109</v>
      </c>
      <c r="KD49" s="92" t="s">
        <v>4844</v>
      </c>
      <c r="KE49" s="92" t="s">
        <v>5560</v>
      </c>
      <c r="KF49" s="92">
        <v>1000</v>
      </c>
      <c r="KG49" s="92" t="s">
        <v>4438</v>
      </c>
      <c r="KH49" s="92" t="s">
        <v>192</v>
      </c>
      <c r="KI49" s="92" t="s">
        <v>109</v>
      </c>
      <c r="KJ49" s="92" t="s">
        <v>192</v>
      </c>
      <c r="KK49" s="92" t="s">
        <v>109</v>
      </c>
      <c r="KL49" s="92" t="s">
        <v>1374</v>
      </c>
      <c r="KM49" s="92">
        <v>2100</v>
      </c>
      <c r="KN49" s="92" t="s">
        <v>4439</v>
      </c>
      <c r="KO49" s="92" t="s">
        <v>1425</v>
      </c>
      <c r="KP49" s="92" t="s">
        <v>1375</v>
      </c>
      <c r="KQ49" s="92" t="s">
        <v>192</v>
      </c>
      <c r="KR49" s="92">
        <v>35</v>
      </c>
      <c r="KS49" s="92" t="s">
        <v>1343</v>
      </c>
      <c r="KT49" s="92" t="s">
        <v>1344</v>
      </c>
      <c r="KU49" s="92"/>
      <c r="KV49" s="92" t="s">
        <v>5554</v>
      </c>
      <c r="KW49" s="92"/>
      <c r="KX49" s="92" t="s">
        <v>1376</v>
      </c>
      <c r="KY49" s="92" t="s">
        <v>1508</v>
      </c>
      <c r="KZ49" s="92" t="s">
        <v>1403</v>
      </c>
      <c r="LA49" s="92" t="s">
        <v>109</v>
      </c>
      <c r="LB49" s="92" t="s">
        <v>109</v>
      </c>
      <c r="LC49" s="92" t="s">
        <v>4438</v>
      </c>
      <c r="LD49" s="92" t="s">
        <v>4439</v>
      </c>
      <c r="LE49" s="92" t="s">
        <v>192</v>
      </c>
      <c r="LF49" s="92" t="s">
        <v>192</v>
      </c>
    </row>
    <row r="50" spans="1:318" x14ac:dyDescent="0.25">
      <c r="A50" t="s">
        <v>1693</v>
      </c>
      <c r="B50" t="s">
        <v>1694</v>
      </c>
      <c r="C50" t="s">
        <v>1304</v>
      </c>
      <c r="D50" t="s">
        <v>1305</v>
      </c>
      <c r="E50" t="s">
        <v>1381</v>
      </c>
      <c r="G50" t="s">
        <v>1319</v>
      </c>
      <c r="H50">
        <v>3</v>
      </c>
      <c r="I50" t="s">
        <v>1358</v>
      </c>
      <c r="J50" t="s">
        <v>1382</v>
      </c>
      <c r="K50" t="s">
        <v>1309</v>
      </c>
      <c r="L50" t="s">
        <v>1310</v>
      </c>
      <c r="M50" t="s">
        <v>1309</v>
      </c>
      <c r="N50" t="s">
        <v>1309</v>
      </c>
      <c r="O50" t="s">
        <v>1309</v>
      </c>
      <c r="P50" t="s">
        <v>1310</v>
      </c>
      <c r="Q50" t="s">
        <v>1309</v>
      </c>
      <c r="R50" t="s">
        <v>1309</v>
      </c>
      <c r="S50">
        <v>2</v>
      </c>
      <c r="U50" t="s">
        <v>1312</v>
      </c>
      <c r="V50" t="s">
        <v>1312</v>
      </c>
      <c r="W50" t="s">
        <v>1312</v>
      </c>
      <c r="X50" t="s">
        <v>1312</v>
      </c>
      <c r="Y50" t="s">
        <v>1312</v>
      </c>
      <c r="Z50" t="s">
        <v>1312</v>
      </c>
      <c r="AC50">
        <v>1</v>
      </c>
      <c r="AD50">
        <v>8000</v>
      </c>
      <c r="AE50">
        <v>2500</v>
      </c>
      <c r="AF50" t="s">
        <v>1313</v>
      </c>
      <c r="AH50" t="s">
        <v>1383</v>
      </c>
      <c r="AJ50" t="s">
        <v>1315</v>
      </c>
      <c r="AL50" t="s">
        <v>1354</v>
      </c>
      <c r="BS50" t="s">
        <v>1307</v>
      </c>
      <c r="CE50" t="s">
        <v>1695</v>
      </c>
      <c r="CF50" t="s">
        <v>1309</v>
      </c>
      <c r="CG50" t="s">
        <v>1309</v>
      </c>
      <c r="CH50" t="s">
        <v>1309</v>
      </c>
      <c r="CI50" t="s">
        <v>1309</v>
      </c>
      <c r="CJ50" t="s">
        <v>1309</v>
      </c>
      <c r="CK50" t="s">
        <v>1309</v>
      </c>
      <c r="CL50" t="s">
        <v>1310</v>
      </c>
      <c r="CM50" t="s">
        <v>1309</v>
      </c>
      <c r="CN50" t="s">
        <v>1310</v>
      </c>
      <c r="CO50" t="s">
        <v>1309</v>
      </c>
      <c r="CP50" t="s">
        <v>1309</v>
      </c>
      <c r="CQ50" t="s">
        <v>1309</v>
      </c>
      <c r="CR50" t="s">
        <v>1309</v>
      </c>
      <c r="CT50" t="s">
        <v>4435</v>
      </c>
      <c r="CV50" t="s">
        <v>1357</v>
      </c>
      <c r="CW50" t="s">
        <v>1309</v>
      </c>
      <c r="CX50" t="s">
        <v>1309</v>
      </c>
      <c r="CY50" t="s">
        <v>1309</v>
      </c>
      <c r="CZ50" t="s">
        <v>1309</v>
      </c>
      <c r="DA50" t="s">
        <v>1310</v>
      </c>
      <c r="DB50" t="s">
        <v>1309</v>
      </c>
      <c r="DC50" t="s">
        <v>1309</v>
      </c>
      <c r="DE50" t="s">
        <v>1318</v>
      </c>
      <c r="DF50" t="s">
        <v>1319</v>
      </c>
      <c r="DG50">
        <v>350</v>
      </c>
      <c r="DH50">
        <v>1200</v>
      </c>
      <c r="DI50">
        <v>350</v>
      </c>
      <c r="DJ50" t="s">
        <v>1307</v>
      </c>
      <c r="DK50">
        <v>350</v>
      </c>
      <c r="DL50">
        <v>2400</v>
      </c>
      <c r="DM50">
        <v>500</v>
      </c>
      <c r="DN50" t="s">
        <v>1584</v>
      </c>
      <c r="DO50" t="s">
        <v>1310</v>
      </c>
      <c r="DP50" t="s">
        <v>1309</v>
      </c>
      <c r="DQ50" t="s">
        <v>1309</v>
      </c>
      <c r="DR50" t="s">
        <v>1309</v>
      </c>
      <c r="DS50" t="s">
        <v>1310</v>
      </c>
      <c r="DT50" t="s">
        <v>1310</v>
      </c>
      <c r="DU50" t="s">
        <v>1309</v>
      </c>
      <c r="DV50" t="s">
        <v>1309</v>
      </c>
      <c r="DW50" t="s">
        <v>1309</v>
      </c>
      <c r="DY50" t="s">
        <v>1696</v>
      </c>
      <c r="DZ50">
        <v>300</v>
      </c>
      <c r="EA50" t="s">
        <v>1319</v>
      </c>
      <c r="EC50" t="s">
        <v>1457</v>
      </c>
      <c r="ED50">
        <v>500</v>
      </c>
      <c r="EE50" t="s">
        <v>1319</v>
      </c>
      <c r="EG50" t="s">
        <v>5356</v>
      </c>
      <c r="EI50" t="s">
        <v>1307</v>
      </c>
      <c r="ET50" t="s">
        <v>1307</v>
      </c>
      <c r="EV50" t="s">
        <v>1307</v>
      </c>
      <c r="EX50" t="s">
        <v>1319</v>
      </c>
      <c r="EY50" t="s">
        <v>1307</v>
      </c>
      <c r="FA50" t="s">
        <v>1697</v>
      </c>
      <c r="FB50" t="s">
        <v>1309</v>
      </c>
      <c r="FC50" t="s">
        <v>1309</v>
      </c>
      <c r="FD50" t="s">
        <v>1309</v>
      </c>
      <c r="FE50" t="s">
        <v>1309</v>
      </c>
      <c r="FF50" t="s">
        <v>1309</v>
      </c>
      <c r="FG50" t="s">
        <v>1309</v>
      </c>
      <c r="FH50" t="s">
        <v>1309</v>
      </c>
      <c r="FI50" t="s">
        <v>1310</v>
      </c>
      <c r="FJ50" t="s">
        <v>1309</v>
      </c>
      <c r="FK50" t="s">
        <v>1309</v>
      </c>
      <c r="FL50" t="s">
        <v>1309</v>
      </c>
      <c r="FM50" t="s">
        <v>1309</v>
      </c>
      <c r="FN50" t="s">
        <v>1309</v>
      </c>
      <c r="FO50" t="s">
        <v>1309</v>
      </c>
      <c r="FP50" t="s">
        <v>1309</v>
      </c>
      <c r="FQ50" t="s">
        <v>1309</v>
      </c>
      <c r="FR50" t="s">
        <v>1309</v>
      </c>
      <c r="FT50" t="s">
        <v>1319</v>
      </c>
      <c r="FU50" t="s">
        <v>1435</v>
      </c>
      <c r="FV50" t="s">
        <v>1310</v>
      </c>
      <c r="FW50" t="s">
        <v>1309</v>
      </c>
      <c r="FX50" t="s">
        <v>1309</v>
      </c>
      <c r="FY50" t="s">
        <v>1309</v>
      </c>
      <c r="FZ50" t="s">
        <v>1309</v>
      </c>
      <c r="GA50" t="s">
        <v>1309</v>
      </c>
      <c r="GB50" t="s">
        <v>1309</v>
      </c>
      <c r="GC50" t="s">
        <v>1309</v>
      </c>
      <c r="GD50" t="s">
        <v>1309</v>
      </c>
      <c r="GE50" t="s">
        <v>1309</v>
      </c>
      <c r="GF50" t="s">
        <v>1309</v>
      </c>
      <c r="GG50" t="s">
        <v>1309</v>
      </c>
      <c r="GI50" t="s">
        <v>1436</v>
      </c>
      <c r="GJ50" t="s">
        <v>1324</v>
      </c>
      <c r="GK50" t="s">
        <v>1319</v>
      </c>
      <c r="GL50" t="s">
        <v>1619</v>
      </c>
      <c r="GM50" t="s">
        <v>1310</v>
      </c>
      <c r="GN50" t="s">
        <v>1309</v>
      </c>
      <c r="GO50" t="s">
        <v>1309</v>
      </c>
      <c r="GP50" t="s">
        <v>1309</v>
      </c>
      <c r="GQ50" t="s">
        <v>1309</v>
      </c>
      <c r="GR50" t="s">
        <v>1309</v>
      </c>
      <c r="GT50" t="s">
        <v>1325</v>
      </c>
      <c r="GU50" t="s">
        <v>1310</v>
      </c>
      <c r="GV50" t="s">
        <v>1309</v>
      </c>
      <c r="GW50" t="s">
        <v>1309</v>
      </c>
      <c r="GX50" t="s">
        <v>1309</v>
      </c>
      <c r="GY50" t="s">
        <v>1309</v>
      </c>
      <c r="GZ50" t="s">
        <v>1309</v>
      </c>
      <c r="HA50" t="s">
        <v>1309</v>
      </c>
      <c r="HB50" t="s">
        <v>1309</v>
      </c>
      <c r="HC50" t="s">
        <v>1309</v>
      </c>
      <c r="HD50" t="s">
        <v>1309</v>
      </c>
      <c r="HE50" t="s">
        <v>1309</v>
      </c>
      <c r="HF50" t="s">
        <v>1309</v>
      </c>
      <c r="HH50" t="s">
        <v>1326</v>
      </c>
      <c r="HI50" t="s">
        <v>1326</v>
      </c>
      <c r="HJ50" t="s">
        <v>1326</v>
      </c>
      <c r="HK50" t="s">
        <v>1327</v>
      </c>
      <c r="HL50" t="s">
        <v>1364</v>
      </c>
      <c r="HM50" t="s">
        <v>1326</v>
      </c>
      <c r="IA50" t="s">
        <v>1307</v>
      </c>
      <c r="IQ50" t="s">
        <v>1308</v>
      </c>
      <c r="IS50" t="s">
        <v>1354</v>
      </c>
      <c r="JF50" t="s">
        <v>1331</v>
      </c>
      <c r="JG50" t="s">
        <v>1698</v>
      </c>
      <c r="JH50" t="s">
        <v>1309</v>
      </c>
      <c r="JI50" t="s">
        <v>1309</v>
      </c>
      <c r="JJ50" t="s">
        <v>1309</v>
      </c>
      <c r="JK50" t="s">
        <v>1309</v>
      </c>
      <c r="JL50" t="s">
        <v>1309</v>
      </c>
      <c r="JM50" t="s">
        <v>1310</v>
      </c>
      <c r="JN50" t="s">
        <v>1309</v>
      </c>
      <c r="JO50" t="s">
        <v>1309</v>
      </c>
      <c r="JP50" t="s">
        <v>1699</v>
      </c>
      <c r="JQ50" s="92" t="s">
        <v>1333</v>
      </c>
      <c r="JR50" s="92" t="s">
        <v>1334</v>
      </c>
      <c r="JS50" s="92">
        <v>42</v>
      </c>
      <c r="JT50" s="92" t="s">
        <v>1319</v>
      </c>
      <c r="JU50" s="92" t="s">
        <v>1396</v>
      </c>
      <c r="JV50" s="92" t="s">
        <v>1336</v>
      </c>
      <c r="JW50" s="92" t="s">
        <v>1296</v>
      </c>
      <c r="JX50" s="92" t="s">
        <v>71</v>
      </c>
      <c r="JY50" s="92" t="s">
        <v>1397</v>
      </c>
      <c r="JZ50" s="92" t="s">
        <v>1337</v>
      </c>
      <c r="KA50" s="92" t="s">
        <v>4845</v>
      </c>
      <c r="KB50" s="92" t="s">
        <v>1399</v>
      </c>
      <c r="KC50" s="92" t="s">
        <v>109</v>
      </c>
      <c r="KD50" s="92" t="s">
        <v>4844</v>
      </c>
      <c r="KE50" s="92" t="s">
        <v>1424</v>
      </c>
      <c r="KF50" s="92">
        <v>1900</v>
      </c>
      <c r="KG50" s="92" t="s">
        <v>4438</v>
      </c>
      <c r="KH50" s="92" t="s">
        <v>192</v>
      </c>
      <c r="KI50" s="92" t="s">
        <v>192</v>
      </c>
      <c r="KJ50" s="92" t="s">
        <v>192</v>
      </c>
      <c r="KK50" s="92" t="s">
        <v>192</v>
      </c>
      <c r="KL50" s="92" t="s">
        <v>1440</v>
      </c>
      <c r="KM50" s="92">
        <v>3250</v>
      </c>
      <c r="KN50" s="92" t="s">
        <v>4439</v>
      </c>
      <c r="KO50" s="92" t="s">
        <v>1341</v>
      </c>
      <c r="KP50" s="92" t="s">
        <v>1375</v>
      </c>
      <c r="KQ50" s="92" t="s">
        <v>192</v>
      </c>
      <c r="KR50" s="92">
        <v>16</v>
      </c>
      <c r="KS50" s="92" t="s">
        <v>1343</v>
      </c>
      <c r="KT50" s="92" t="s">
        <v>1344</v>
      </c>
      <c r="KU50" s="92">
        <v>15</v>
      </c>
      <c r="KV50" s="92" t="s">
        <v>1345</v>
      </c>
      <c r="KW50" s="92" t="s">
        <v>1344</v>
      </c>
      <c r="KX50" s="92" t="s">
        <v>1346</v>
      </c>
      <c r="KY50" s="92" t="s">
        <v>1377</v>
      </c>
      <c r="KZ50" s="92" t="s">
        <v>1403</v>
      </c>
      <c r="LA50" s="92" t="s">
        <v>109</v>
      </c>
      <c r="LB50" s="92" t="s">
        <v>109</v>
      </c>
      <c r="LC50" s="92" t="s">
        <v>4439</v>
      </c>
      <c r="LD50" s="92" t="s">
        <v>1400</v>
      </c>
      <c r="LE50" s="92" t="s">
        <v>109</v>
      </c>
      <c r="LF50" s="92" t="s">
        <v>109</v>
      </c>
    </row>
    <row r="51" spans="1:318" x14ac:dyDescent="0.25">
      <c r="A51" t="s">
        <v>1700</v>
      </c>
      <c r="B51" t="s">
        <v>1701</v>
      </c>
      <c r="C51" t="s">
        <v>1304</v>
      </c>
      <c r="D51" t="s">
        <v>1305</v>
      </c>
      <c r="E51" t="s">
        <v>1381</v>
      </c>
      <c r="G51" t="s">
        <v>1319</v>
      </c>
      <c r="H51">
        <v>2</v>
      </c>
      <c r="I51" t="s">
        <v>1358</v>
      </c>
      <c r="J51" t="s">
        <v>1382</v>
      </c>
      <c r="K51" t="s">
        <v>1309</v>
      </c>
      <c r="L51" t="s">
        <v>1310</v>
      </c>
      <c r="M51" t="s">
        <v>1309</v>
      </c>
      <c r="N51" t="s">
        <v>1309</v>
      </c>
      <c r="O51" t="s">
        <v>1309</v>
      </c>
      <c r="P51" t="s">
        <v>1310</v>
      </c>
      <c r="Q51" t="s">
        <v>1309</v>
      </c>
      <c r="R51" t="s">
        <v>1309</v>
      </c>
      <c r="S51">
        <v>1</v>
      </c>
      <c r="U51" t="s">
        <v>1312</v>
      </c>
      <c r="V51" t="s">
        <v>1312</v>
      </c>
      <c r="W51" t="s">
        <v>1312</v>
      </c>
      <c r="X51" t="s">
        <v>1312</v>
      </c>
      <c r="Y51" t="s">
        <v>1312</v>
      </c>
      <c r="Z51" t="s">
        <v>1312</v>
      </c>
      <c r="AC51">
        <v>1</v>
      </c>
      <c r="AD51">
        <v>5000</v>
      </c>
      <c r="AE51">
        <v>3000</v>
      </c>
      <c r="AF51" t="s">
        <v>1313</v>
      </c>
      <c r="AH51" t="s">
        <v>1383</v>
      </c>
      <c r="AJ51" t="s">
        <v>1315</v>
      </c>
      <c r="AL51" t="s">
        <v>1316</v>
      </c>
      <c r="BS51" t="s">
        <v>1307</v>
      </c>
      <c r="CE51" t="s">
        <v>1702</v>
      </c>
      <c r="CF51" t="s">
        <v>1310</v>
      </c>
      <c r="CG51" t="s">
        <v>1309</v>
      </c>
      <c r="CH51" t="s">
        <v>1309</v>
      </c>
      <c r="CI51" t="s">
        <v>1309</v>
      </c>
      <c r="CJ51" t="s">
        <v>1309</v>
      </c>
      <c r="CK51" t="s">
        <v>1309</v>
      </c>
      <c r="CL51" t="s">
        <v>1309</v>
      </c>
      <c r="CM51" t="s">
        <v>1309</v>
      </c>
      <c r="CN51" t="s">
        <v>1309</v>
      </c>
      <c r="CO51" t="s">
        <v>1310</v>
      </c>
      <c r="CP51" t="s">
        <v>1309</v>
      </c>
      <c r="CQ51" t="s">
        <v>1309</v>
      </c>
      <c r="CR51" t="s">
        <v>1309</v>
      </c>
      <c r="CT51" t="s">
        <v>4434</v>
      </c>
      <c r="CV51" t="s">
        <v>1308</v>
      </c>
      <c r="CW51" t="s">
        <v>1310</v>
      </c>
      <c r="CX51" t="s">
        <v>1309</v>
      </c>
      <c r="CY51" t="s">
        <v>1309</v>
      </c>
      <c r="CZ51" t="s">
        <v>1309</v>
      </c>
      <c r="DA51" t="s">
        <v>1309</v>
      </c>
      <c r="DB51" t="s">
        <v>1309</v>
      </c>
      <c r="DC51" t="s">
        <v>1309</v>
      </c>
      <c r="DE51" t="s">
        <v>1358</v>
      </c>
      <c r="DG51">
        <v>2000</v>
      </c>
      <c r="DI51">
        <v>250</v>
      </c>
      <c r="DJ51" t="s">
        <v>1358</v>
      </c>
      <c r="DK51">
        <v>2250</v>
      </c>
      <c r="DM51">
        <v>350</v>
      </c>
      <c r="DN51" t="s">
        <v>1703</v>
      </c>
      <c r="DO51" t="s">
        <v>1310</v>
      </c>
      <c r="DP51" t="s">
        <v>1309</v>
      </c>
      <c r="DQ51" t="s">
        <v>1309</v>
      </c>
      <c r="DR51" t="s">
        <v>1309</v>
      </c>
      <c r="DS51" t="s">
        <v>1309</v>
      </c>
      <c r="DT51" t="s">
        <v>1309</v>
      </c>
      <c r="DU51" t="s">
        <v>1309</v>
      </c>
      <c r="DV51" t="s">
        <v>1309</v>
      </c>
      <c r="DW51" t="s">
        <v>1309</v>
      </c>
      <c r="DY51" t="s">
        <v>1408</v>
      </c>
      <c r="DZ51">
        <v>300</v>
      </c>
      <c r="EA51" t="s">
        <v>1319</v>
      </c>
      <c r="EC51" t="s">
        <v>1420</v>
      </c>
      <c r="ED51">
        <v>1000</v>
      </c>
      <c r="EE51" t="s">
        <v>1319</v>
      </c>
      <c r="EG51" t="s">
        <v>5357</v>
      </c>
      <c r="ET51" t="s">
        <v>1307</v>
      </c>
      <c r="EV51" t="s">
        <v>1319</v>
      </c>
      <c r="EW51" t="s">
        <v>1421</v>
      </c>
      <c r="EX51" t="s">
        <v>1319</v>
      </c>
      <c r="EY51" t="s">
        <v>1319</v>
      </c>
      <c r="FA51" t="s">
        <v>1704</v>
      </c>
      <c r="FB51" t="s">
        <v>1309</v>
      </c>
      <c r="FC51" t="s">
        <v>1309</v>
      </c>
      <c r="FD51" t="s">
        <v>1310</v>
      </c>
      <c r="FE51" t="s">
        <v>1309</v>
      </c>
      <c r="FF51" t="s">
        <v>1309</v>
      </c>
      <c r="FG51" t="s">
        <v>1309</v>
      </c>
      <c r="FH51" t="s">
        <v>1310</v>
      </c>
      <c r="FI51" t="s">
        <v>1310</v>
      </c>
      <c r="FJ51" t="s">
        <v>1309</v>
      </c>
      <c r="FK51" t="s">
        <v>1309</v>
      </c>
      <c r="FL51" t="s">
        <v>1310</v>
      </c>
      <c r="FM51" t="s">
        <v>1309</v>
      </c>
      <c r="FN51" t="s">
        <v>1310</v>
      </c>
      <c r="FO51" t="s">
        <v>1310</v>
      </c>
      <c r="FP51" t="s">
        <v>1309</v>
      </c>
      <c r="FQ51" t="s">
        <v>1309</v>
      </c>
      <c r="FR51" t="s">
        <v>1309</v>
      </c>
      <c r="FT51" t="s">
        <v>1319</v>
      </c>
      <c r="FU51" t="s">
        <v>1635</v>
      </c>
      <c r="FV51" t="s">
        <v>1310</v>
      </c>
      <c r="FW51" t="s">
        <v>1309</v>
      </c>
      <c r="FX51" t="s">
        <v>1309</v>
      </c>
      <c r="FY51" t="s">
        <v>1309</v>
      </c>
      <c r="FZ51" t="s">
        <v>1309</v>
      </c>
      <c r="GA51" t="s">
        <v>1310</v>
      </c>
      <c r="GB51" t="s">
        <v>1309</v>
      </c>
      <c r="GC51" t="s">
        <v>1309</v>
      </c>
      <c r="GD51" t="s">
        <v>1309</v>
      </c>
      <c r="GE51" t="s">
        <v>1309</v>
      </c>
      <c r="GF51" t="s">
        <v>1309</v>
      </c>
      <c r="GG51" t="s">
        <v>1309</v>
      </c>
      <c r="GI51" t="s">
        <v>1324</v>
      </c>
      <c r="GJ51" t="s">
        <v>1436</v>
      </c>
      <c r="GK51" t="s">
        <v>1307</v>
      </c>
      <c r="GT51" t="s">
        <v>1435</v>
      </c>
      <c r="GU51" t="s">
        <v>1309</v>
      </c>
      <c r="GV51" t="s">
        <v>1310</v>
      </c>
      <c r="GW51" t="s">
        <v>1309</v>
      </c>
      <c r="GX51" t="s">
        <v>1309</v>
      </c>
      <c r="GY51" t="s">
        <v>1309</v>
      </c>
      <c r="GZ51" t="s">
        <v>1309</v>
      </c>
      <c r="HA51" t="s">
        <v>1309</v>
      </c>
      <c r="HB51" t="s">
        <v>1309</v>
      </c>
      <c r="HC51" t="s">
        <v>1309</v>
      </c>
      <c r="HD51" t="s">
        <v>1309</v>
      </c>
      <c r="HE51" t="s">
        <v>1309</v>
      </c>
      <c r="HF51" t="s">
        <v>1309</v>
      </c>
      <c r="HH51" t="s">
        <v>1390</v>
      </c>
      <c r="HI51" t="s">
        <v>1327</v>
      </c>
      <c r="HJ51" t="s">
        <v>1326</v>
      </c>
      <c r="HK51" t="s">
        <v>1327</v>
      </c>
      <c r="HL51" t="s">
        <v>1328</v>
      </c>
      <c r="HM51" t="s">
        <v>1363</v>
      </c>
      <c r="HN51" t="s">
        <v>1549</v>
      </c>
      <c r="HO51" t="s">
        <v>1310</v>
      </c>
      <c r="HP51" t="s">
        <v>1310</v>
      </c>
      <c r="HQ51" t="s">
        <v>1309</v>
      </c>
      <c r="HR51" t="s">
        <v>1309</v>
      </c>
      <c r="HS51" t="s">
        <v>1309</v>
      </c>
      <c r="HT51" t="s">
        <v>1309</v>
      </c>
      <c r="HU51" t="s">
        <v>1309</v>
      </c>
      <c r="HV51" t="s">
        <v>1309</v>
      </c>
      <c r="HW51" t="s">
        <v>1309</v>
      </c>
      <c r="HX51" t="s">
        <v>1309</v>
      </c>
      <c r="HY51" t="s">
        <v>1309</v>
      </c>
      <c r="IA51" t="s">
        <v>1319</v>
      </c>
      <c r="IB51" t="s">
        <v>1423</v>
      </c>
      <c r="IC51" t="s">
        <v>1309</v>
      </c>
      <c r="ID51" t="s">
        <v>1309</v>
      </c>
      <c r="IE51" t="s">
        <v>1309</v>
      </c>
      <c r="IF51" t="s">
        <v>1309</v>
      </c>
      <c r="IG51" t="s">
        <v>1310</v>
      </c>
      <c r="IH51" t="s">
        <v>1309</v>
      </c>
      <c r="II51" t="s">
        <v>1309</v>
      </c>
      <c r="IJ51" t="s">
        <v>1309</v>
      </c>
      <c r="IK51" t="s">
        <v>1309</v>
      </c>
      <c r="IL51" t="s">
        <v>1309</v>
      </c>
      <c r="IM51" t="s">
        <v>1309</v>
      </c>
      <c r="IN51" t="s">
        <v>1309</v>
      </c>
      <c r="IO51" t="s">
        <v>1309</v>
      </c>
      <c r="IQ51" t="s">
        <v>1330</v>
      </c>
      <c r="IS51" t="s">
        <v>1354</v>
      </c>
      <c r="JF51" t="s">
        <v>1331</v>
      </c>
      <c r="JG51" t="s">
        <v>1393</v>
      </c>
      <c r="JH51" t="s">
        <v>1310</v>
      </c>
      <c r="JI51" t="s">
        <v>1309</v>
      </c>
      <c r="JJ51" t="s">
        <v>1309</v>
      </c>
      <c r="JK51" t="s">
        <v>1309</v>
      </c>
      <c r="JL51" t="s">
        <v>1309</v>
      </c>
      <c r="JM51" t="s">
        <v>1309</v>
      </c>
      <c r="JN51" t="s">
        <v>1309</v>
      </c>
      <c r="JO51" t="s">
        <v>1309</v>
      </c>
      <c r="JQ51" s="92" t="s">
        <v>1516</v>
      </c>
      <c r="JR51" s="92" t="s">
        <v>1660</v>
      </c>
      <c r="JS51" s="92">
        <v>43</v>
      </c>
      <c r="JT51" s="92" t="s">
        <v>1319</v>
      </c>
      <c r="JU51" s="92" t="s">
        <v>1396</v>
      </c>
      <c r="JV51" s="92" t="s">
        <v>1336</v>
      </c>
      <c r="JW51" s="92" t="s">
        <v>1296</v>
      </c>
      <c r="JX51" s="92" t="s">
        <v>71</v>
      </c>
      <c r="JY51" s="92" t="s">
        <v>1397</v>
      </c>
      <c r="JZ51" s="92" t="s">
        <v>1337</v>
      </c>
      <c r="KA51" s="92" t="s">
        <v>4845</v>
      </c>
      <c r="KB51" s="92" t="s">
        <v>1399</v>
      </c>
      <c r="KC51" s="92" t="s">
        <v>109</v>
      </c>
      <c r="KD51" s="92" t="s">
        <v>4844</v>
      </c>
      <c r="KE51" s="92" t="s">
        <v>5560</v>
      </c>
      <c r="KF51" s="92">
        <v>2250</v>
      </c>
      <c r="KG51" s="92" t="s">
        <v>4439</v>
      </c>
      <c r="KH51" s="92" t="s">
        <v>192</v>
      </c>
      <c r="KI51" s="92" t="s">
        <v>109</v>
      </c>
      <c r="KJ51" s="92" t="s">
        <v>192</v>
      </c>
      <c r="KK51" s="92" t="s">
        <v>109</v>
      </c>
      <c r="KL51" s="92" t="s">
        <v>1425</v>
      </c>
      <c r="KM51" s="92">
        <v>2600</v>
      </c>
      <c r="KN51" s="92" t="s">
        <v>1400</v>
      </c>
      <c r="KO51" s="92" t="s">
        <v>1425</v>
      </c>
      <c r="KP51" s="92" t="s">
        <v>1460</v>
      </c>
      <c r="KQ51" s="92" t="s">
        <v>192</v>
      </c>
      <c r="KR51" s="92">
        <v>13</v>
      </c>
      <c r="KS51" s="92" t="s">
        <v>1343</v>
      </c>
      <c r="KT51" s="92" t="s">
        <v>1344</v>
      </c>
      <c r="KU51" s="92">
        <v>38</v>
      </c>
      <c r="KV51" s="92" t="s">
        <v>1461</v>
      </c>
      <c r="KW51" s="92" t="s">
        <v>1344</v>
      </c>
      <c r="KX51" s="92" t="s">
        <v>1346</v>
      </c>
      <c r="KY51" s="92" t="s">
        <v>1377</v>
      </c>
      <c r="KZ51" s="92" t="s">
        <v>1403</v>
      </c>
      <c r="LA51" s="92" t="s">
        <v>109</v>
      </c>
      <c r="LB51" s="92" t="s">
        <v>109</v>
      </c>
      <c r="LC51" s="92" t="s">
        <v>4439</v>
      </c>
      <c r="LD51" s="92" t="s">
        <v>4439</v>
      </c>
      <c r="LE51" s="92" t="s">
        <v>192</v>
      </c>
      <c r="LF51" s="92" t="s">
        <v>192</v>
      </c>
    </row>
    <row r="52" spans="1:318" x14ac:dyDescent="0.25">
      <c r="A52" t="s">
        <v>1705</v>
      </c>
      <c r="B52" t="s">
        <v>1706</v>
      </c>
      <c r="C52" t="s">
        <v>1304</v>
      </c>
      <c r="D52" t="s">
        <v>1305</v>
      </c>
      <c r="E52" t="s">
        <v>1306</v>
      </c>
      <c r="G52" t="s">
        <v>1307</v>
      </c>
      <c r="H52">
        <v>4</v>
      </c>
      <c r="I52" t="s">
        <v>1307</v>
      </c>
      <c r="J52" t="s">
        <v>1663</v>
      </c>
      <c r="K52" t="s">
        <v>1309</v>
      </c>
      <c r="L52" t="s">
        <v>1310</v>
      </c>
      <c r="M52" t="s">
        <v>1310</v>
      </c>
      <c r="N52" t="s">
        <v>1309</v>
      </c>
      <c r="O52" t="s">
        <v>1309</v>
      </c>
      <c r="P52" t="s">
        <v>1309</v>
      </c>
      <c r="Q52" t="s">
        <v>1309</v>
      </c>
      <c r="R52" t="s">
        <v>1309</v>
      </c>
      <c r="S52">
        <v>1</v>
      </c>
      <c r="T52">
        <v>2</v>
      </c>
      <c r="U52" t="s">
        <v>1311</v>
      </c>
      <c r="V52" t="s">
        <v>1312</v>
      </c>
      <c r="W52" t="s">
        <v>1311</v>
      </c>
      <c r="X52" t="s">
        <v>1312</v>
      </c>
      <c r="Y52" t="s">
        <v>1311</v>
      </c>
      <c r="Z52" t="s">
        <v>1312</v>
      </c>
      <c r="AC52">
        <v>3</v>
      </c>
      <c r="AD52">
        <v>8000</v>
      </c>
      <c r="AE52">
        <v>7000</v>
      </c>
      <c r="AF52" t="s">
        <v>1351</v>
      </c>
      <c r="AH52" t="s">
        <v>1314</v>
      </c>
      <c r="AJ52" t="s">
        <v>1315</v>
      </c>
      <c r="AL52" t="s">
        <v>1316</v>
      </c>
      <c r="BS52" t="s">
        <v>1307</v>
      </c>
      <c r="CE52" t="s">
        <v>1355</v>
      </c>
      <c r="CF52" t="s">
        <v>1309</v>
      </c>
      <c r="CG52" t="s">
        <v>1309</v>
      </c>
      <c r="CH52" t="s">
        <v>1309</v>
      </c>
      <c r="CI52" t="s">
        <v>1309</v>
      </c>
      <c r="CJ52" t="s">
        <v>1309</v>
      </c>
      <c r="CK52" t="s">
        <v>1309</v>
      </c>
      <c r="CL52" t="s">
        <v>1309</v>
      </c>
      <c r="CM52" t="s">
        <v>1309</v>
      </c>
      <c r="CN52" t="s">
        <v>1310</v>
      </c>
      <c r="CO52" t="s">
        <v>1309</v>
      </c>
      <c r="CP52" t="s">
        <v>1309</v>
      </c>
      <c r="CQ52" t="s">
        <v>1309</v>
      </c>
      <c r="CR52" t="s">
        <v>1309</v>
      </c>
      <c r="CT52" t="s">
        <v>4433</v>
      </c>
      <c r="CV52" t="s">
        <v>1357</v>
      </c>
      <c r="CW52" t="s">
        <v>1309</v>
      </c>
      <c r="CX52" t="s">
        <v>1309</v>
      </c>
      <c r="CY52" t="s">
        <v>1309</v>
      </c>
      <c r="CZ52" t="s">
        <v>1309</v>
      </c>
      <c r="DA52" t="s">
        <v>1310</v>
      </c>
      <c r="DB52" t="s">
        <v>1309</v>
      </c>
      <c r="DC52" t="s">
        <v>1309</v>
      </c>
      <c r="DE52" t="s">
        <v>1358</v>
      </c>
      <c r="DF52" t="s">
        <v>1319</v>
      </c>
      <c r="DG52">
        <v>1200</v>
      </c>
      <c r="DI52">
        <v>800</v>
      </c>
      <c r="DJ52" t="s">
        <v>1358</v>
      </c>
      <c r="DK52">
        <v>2500</v>
      </c>
      <c r="DM52">
        <v>900</v>
      </c>
      <c r="DN52" t="s">
        <v>1445</v>
      </c>
      <c r="DO52" t="s">
        <v>1310</v>
      </c>
      <c r="DP52" t="s">
        <v>1310</v>
      </c>
      <c r="DQ52" t="s">
        <v>1309</v>
      </c>
      <c r="DR52" t="s">
        <v>1309</v>
      </c>
      <c r="DS52" t="s">
        <v>1309</v>
      </c>
      <c r="DT52" t="s">
        <v>1310</v>
      </c>
      <c r="DU52" t="s">
        <v>1309</v>
      </c>
      <c r="DV52" t="s">
        <v>1309</v>
      </c>
      <c r="DW52" t="s">
        <v>1309</v>
      </c>
      <c r="DY52" t="s">
        <v>1456</v>
      </c>
      <c r="DZ52">
        <v>500</v>
      </c>
      <c r="EA52" t="s">
        <v>1386</v>
      </c>
      <c r="EC52" t="s">
        <v>1457</v>
      </c>
      <c r="ED52">
        <v>800</v>
      </c>
      <c r="EE52" t="s">
        <v>1386</v>
      </c>
      <c r="EG52" t="s">
        <v>5357</v>
      </c>
      <c r="ET52" t="s">
        <v>1307</v>
      </c>
      <c r="EV52" t="s">
        <v>1319</v>
      </c>
      <c r="EW52" t="s">
        <v>1361</v>
      </c>
      <c r="EX52" t="s">
        <v>1319</v>
      </c>
      <c r="EY52" t="s">
        <v>1319</v>
      </c>
      <c r="FA52" t="s">
        <v>1707</v>
      </c>
      <c r="FB52" t="s">
        <v>1309</v>
      </c>
      <c r="FC52" t="s">
        <v>1309</v>
      </c>
      <c r="FD52" t="s">
        <v>1310</v>
      </c>
      <c r="FE52" t="s">
        <v>1309</v>
      </c>
      <c r="FF52" t="s">
        <v>1309</v>
      </c>
      <c r="FG52" t="s">
        <v>1310</v>
      </c>
      <c r="FH52" t="s">
        <v>1309</v>
      </c>
      <c r="FI52" t="s">
        <v>1310</v>
      </c>
      <c r="FJ52" t="s">
        <v>1309</v>
      </c>
      <c r="FK52" t="s">
        <v>1310</v>
      </c>
      <c r="FL52" t="s">
        <v>1309</v>
      </c>
      <c r="FM52" t="s">
        <v>1309</v>
      </c>
      <c r="FN52" t="s">
        <v>1309</v>
      </c>
      <c r="FO52" t="s">
        <v>1310</v>
      </c>
      <c r="FP52" t="s">
        <v>1309</v>
      </c>
      <c r="FQ52" t="s">
        <v>1309</v>
      </c>
      <c r="FR52" t="s">
        <v>1309</v>
      </c>
      <c r="FT52" t="s">
        <v>1319</v>
      </c>
      <c r="FU52" t="s">
        <v>1708</v>
      </c>
      <c r="FV52" t="s">
        <v>1309</v>
      </c>
      <c r="FW52" t="s">
        <v>1310</v>
      </c>
      <c r="FX52" t="s">
        <v>1310</v>
      </c>
      <c r="FY52" t="s">
        <v>1309</v>
      </c>
      <c r="FZ52" t="s">
        <v>1309</v>
      </c>
      <c r="GA52" t="s">
        <v>1310</v>
      </c>
      <c r="GB52" t="s">
        <v>1310</v>
      </c>
      <c r="GC52" t="s">
        <v>1309</v>
      </c>
      <c r="GD52" t="s">
        <v>1309</v>
      </c>
      <c r="GE52" t="s">
        <v>1309</v>
      </c>
      <c r="GF52" t="s">
        <v>1309</v>
      </c>
      <c r="GG52" t="s">
        <v>1309</v>
      </c>
      <c r="GI52" t="s">
        <v>1324</v>
      </c>
      <c r="GJ52" t="s">
        <v>1324</v>
      </c>
      <c r="GT52" t="s">
        <v>1325</v>
      </c>
      <c r="GU52" t="s">
        <v>1310</v>
      </c>
      <c r="GV52" t="s">
        <v>1309</v>
      </c>
      <c r="GW52" t="s">
        <v>1309</v>
      </c>
      <c r="GX52" t="s">
        <v>1309</v>
      </c>
      <c r="GY52" t="s">
        <v>1309</v>
      </c>
      <c r="GZ52" t="s">
        <v>1309</v>
      </c>
      <c r="HA52" t="s">
        <v>1309</v>
      </c>
      <c r="HB52" t="s">
        <v>1309</v>
      </c>
      <c r="HC52" t="s">
        <v>1309</v>
      </c>
      <c r="HD52" t="s">
        <v>1309</v>
      </c>
      <c r="HE52" t="s">
        <v>1309</v>
      </c>
      <c r="HF52" t="s">
        <v>1309</v>
      </c>
      <c r="HH52" t="s">
        <v>1390</v>
      </c>
      <c r="HI52" t="s">
        <v>1390</v>
      </c>
      <c r="HJ52" t="s">
        <v>1390</v>
      </c>
      <c r="HK52" t="s">
        <v>1390</v>
      </c>
      <c r="HL52" t="s">
        <v>1328</v>
      </c>
      <c r="HM52" t="s">
        <v>1390</v>
      </c>
      <c r="HN52" t="s">
        <v>1709</v>
      </c>
      <c r="HO52" t="s">
        <v>1309</v>
      </c>
      <c r="HP52" t="s">
        <v>1309</v>
      </c>
      <c r="HQ52" t="s">
        <v>1310</v>
      </c>
      <c r="HR52" t="s">
        <v>1310</v>
      </c>
      <c r="HS52" t="s">
        <v>1309</v>
      </c>
      <c r="HT52" t="s">
        <v>1309</v>
      </c>
      <c r="HU52" t="s">
        <v>1309</v>
      </c>
      <c r="HV52" t="s">
        <v>1309</v>
      </c>
      <c r="HW52" t="s">
        <v>1309</v>
      </c>
      <c r="HX52" t="s">
        <v>1309</v>
      </c>
      <c r="HY52" t="s">
        <v>1309</v>
      </c>
      <c r="IA52" t="s">
        <v>1414</v>
      </c>
      <c r="IQ52" t="s">
        <v>1365</v>
      </c>
      <c r="IS52" t="s">
        <v>1316</v>
      </c>
      <c r="JF52" t="s">
        <v>1331</v>
      </c>
      <c r="JG52" t="s">
        <v>1710</v>
      </c>
      <c r="JH52" t="s">
        <v>1310</v>
      </c>
      <c r="JI52" t="s">
        <v>1309</v>
      </c>
      <c r="JJ52" t="s">
        <v>1309</v>
      </c>
      <c r="JK52" t="s">
        <v>1310</v>
      </c>
      <c r="JL52" t="s">
        <v>1310</v>
      </c>
      <c r="JM52" t="s">
        <v>1309</v>
      </c>
      <c r="JN52" t="s">
        <v>1309</v>
      </c>
      <c r="JO52" t="s">
        <v>1309</v>
      </c>
      <c r="JQ52" s="92" t="s">
        <v>1711</v>
      </c>
      <c r="JR52" s="92" t="s">
        <v>1712</v>
      </c>
      <c r="JS52" s="92">
        <v>67</v>
      </c>
      <c r="JT52" s="92" t="s">
        <v>1319</v>
      </c>
      <c r="JU52" s="92" t="s">
        <v>1335</v>
      </c>
      <c r="JV52" s="92" t="s">
        <v>1368</v>
      </c>
      <c r="JW52" s="92" t="s">
        <v>1296</v>
      </c>
      <c r="JX52" s="92" t="s">
        <v>71</v>
      </c>
      <c r="JY52" s="92" t="s">
        <v>5549</v>
      </c>
      <c r="JZ52" s="92" t="s">
        <v>1369</v>
      </c>
      <c r="KA52" s="92" t="s">
        <v>4845</v>
      </c>
      <c r="KB52" s="92" t="s">
        <v>1370</v>
      </c>
      <c r="KC52" s="92" t="s">
        <v>109</v>
      </c>
      <c r="KD52" s="92" t="s">
        <v>4848</v>
      </c>
      <c r="KE52" s="92" t="s">
        <v>1424</v>
      </c>
      <c r="KF52" s="92">
        <v>2000</v>
      </c>
      <c r="KG52" s="92" t="s">
        <v>4438</v>
      </c>
      <c r="KH52" s="92" t="s">
        <v>192</v>
      </c>
      <c r="KI52" s="92" t="s">
        <v>109</v>
      </c>
      <c r="KJ52" s="92" t="s">
        <v>192</v>
      </c>
      <c r="KK52" s="92" t="s">
        <v>109</v>
      </c>
      <c r="KL52" s="92" t="s">
        <v>1440</v>
      </c>
      <c r="KM52" s="92">
        <v>3400</v>
      </c>
      <c r="KN52" s="92" t="s">
        <v>4439</v>
      </c>
      <c r="KO52" s="92" t="s">
        <v>1341</v>
      </c>
      <c r="KP52" s="92" t="s">
        <v>1375</v>
      </c>
      <c r="KQ52" s="92" t="s">
        <v>192</v>
      </c>
      <c r="KR52" s="92">
        <v>25</v>
      </c>
      <c r="KS52" s="92" t="s">
        <v>1345</v>
      </c>
      <c r="KT52" s="92" t="s">
        <v>1402</v>
      </c>
      <c r="KU52" s="92">
        <v>24</v>
      </c>
      <c r="KV52" s="92" t="s">
        <v>1441</v>
      </c>
      <c r="KW52" s="92" t="s">
        <v>1402</v>
      </c>
      <c r="KX52" s="92" t="s">
        <v>1376</v>
      </c>
      <c r="KY52" s="92" t="s">
        <v>1377</v>
      </c>
      <c r="KZ52" s="92" t="s">
        <v>5795</v>
      </c>
      <c r="LA52" s="92" t="s">
        <v>109</v>
      </c>
      <c r="LB52" s="92" t="s">
        <v>109</v>
      </c>
      <c r="LC52" s="92" t="s">
        <v>4438</v>
      </c>
      <c r="LD52" s="92" t="s">
        <v>4439</v>
      </c>
      <c r="LE52" s="92" t="s">
        <v>192</v>
      </c>
      <c r="LF52" s="92" t="s">
        <v>192</v>
      </c>
    </row>
    <row r="53" spans="1:318" x14ac:dyDescent="0.25">
      <c r="A53" t="s">
        <v>1713</v>
      </c>
      <c r="B53" t="s">
        <v>1714</v>
      </c>
      <c r="C53" t="s">
        <v>1304</v>
      </c>
      <c r="D53" t="s">
        <v>1305</v>
      </c>
      <c r="E53" t="s">
        <v>1381</v>
      </c>
      <c r="G53" t="s">
        <v>1319</v>
      </c>
      <c r="H53">
        <v>4</v>
      </c>
      <c r="I53" t="s">
        <v>1358</v>
      </c>
      <c r="J53" t="s">
        <v>1715</v>
      </c>
      <c r="K53" t="s">
        <v>1309</v>
      </c>
      <c r="L53" t="s">
        <v>1310</v>
      </c>
      <c r="M53" t="s">
        <v>1309</v>
      </c>
      <c r="N53" t="s">
        <v>1309</v>
      </c>
      <c r="O53" t="s">
        <v>1310</v>
      </c>
      <c r="P53" t="s">
        <v>1309</v>
      </c>
      <c r="Q53" t="s">
        <v>1309</v>
      </c>
      <c r="R53" t="s">
        <v>1309</v>
      </c>
      <c r="S53">
        <v>2</v>
      </c>
      <c r="U53" t="s">
        <v>1312</v>
      </c>
      <c r="V53" t="s">
        <v>1312</v>
      </c>
      <c r="W53" t="s">
        <v>1312</v>
      </c>
      <c r="X53" t="s">
        <v>1312</v>
      </c>
      <c r="Y53" t="s">
        <v>1312</v>
      </c>
      <c r="Z53" t="s">
        <v>1312</v>
      </c>
      <c r="AC53">
        <v>1</v>
      </c>
      <c r="AE53">
        <v>4000</v>
      </c>
      <c r="AF53" t="s">
        <v>1313</v>
      </c>
      <c r="AH53" t="s">
        <v>1383</v>
      </c>
      <c r="AJ53" t="s">
        <v>1353</v>
      </c>
      <c r="AL53" t="s">
        <v>1316</v>
      </c>
      <c r="BA53" t="s">
        <v>1354</v>
      </c>
      <c r="BS53" t="s">
        <v>1307</v>
      </c>
      <c r="CE53" t="s">
        <v>1716</v>
      </c>
      <c r="CF53" t="s">
        <v>1309</v>
      </c>
      <c r="CG53" t="s">
        <v>1310</v>
      </c>
      <c r="CH53" t="s">
        <v>1309</v>
      </c>
      <c r="CI53" t="s">
        <v>1309</v>
      </c>
      <c r="CJ53" t="s">
        <v>1310</v>
      </c>
      <c r="CK53" t="s">
        <v>1309</v>
      </c>
      <c r="CL53" t="s">
        <v>1309</v>
      </c>
      <c r="CM53" t="s">
        <v>1309</v>
      </c>
      <c r="CN53" t="s">
        <v>1310</v>
      </c>
      <c r="CO53" t="s">
        <v>1309</v>
      </c>
      <c r="CP53" t="s">
        <v>1309</v>
      </c>
      <c r="CQ53" t="s">
        <v>1309</v>
      </c>
      <c r="CR53" t="s">
        <v>1309</v>
      </c>
      <c r="CT53" t="s">
        <v>4434</v>
      </c>
      <c r="CV53" t="s">
        <v>1357</v>
      </c>
      <c r="CW53" t="s">
        <v>1309</v>
      </c>
      <c r="CX53" t="s">
        <v>1309</v>
      </c>
      <c r="CY53" t="s">
        <v>1309</v>
      </c>
      <c r="CZ53" t="s">
        <v>1309</v>
      </c>
      <c r="DA53" t="s">
        <v>1310</v>
      </c>
      <c r="DB53" t="s">
        <v>1309</v>
      </c>
      <c r="DC53" t="s">
        <v>1309</v>
      </c>
      <c r="DE53" t="s">
        <v>1358</v>
      </c>
      <c r="DG53">
        <v>2000</v>
      </c>
      <c r="DI53">
        <v>600</v>
      </c>
      <c r="DJ53" t="s">
        <v>1358</v>
      </c>
      <c r="DK53">
        <v>2000</v>
      </c>
      <c r="DM53">
        <v>600</v>
      </c>
      <c r="DN53" t="s">
        <v>1320</v>
      </c>
      <c r="DO53" t="s">
        <v>1310</v>
      </c>
      <c r="DP53" t="s">
        <v>1309</v>
      </c>
      <c r="DQ53" t="s">
        <v>1309</v>
      </c>
      <c r="DR53" t="s">
        <v>1309</v>
      </c>
      <c r="DS53" t="s">
        <v>1309</v>
      </c>
      <c r="DT53" t="s">
        <v>1310</v>
      </c>
      <c r="DU53" t="s">
        <v>1309</v>
      </c>
      <c r="DV53" t="s">
        <v>1309</v>
      </c>
      <c r="DW53" t="s">
        <v>1309</v>
      </c>
      <c r="DY53" t="s">
        <v>1408</v>
      </c>
      <c r="DZ53">
        <v>370</v>
      </c>
      <c r="EA53" t="s">
        <v>1386</v>
      </c>
      <c r="EC53" t="s">
        <v>1420</v>
      </c>
      <c r="ED53">
        <v>1000</v>
      </c>
      <c r="EE53" t="s">
        <v>1386</v>
      </c>
      <c r="EG53" t="s">
        <v>5356</v>
      </c>
      <c r="EI53" t="s">
        <v>1307</v>
      </c>
      <c r="ET53" t="s">
        <v>1307</v>
      </c>
      <c r="EV53" t="s">
        <v>1307</v>
      </c>
      <c r="EX53" t="s">
        <v>1319</v>
      </c>
      <c r="EY53" t="s">
        <v>1319</v>
      </c>
      <c r="FA53" t="s">
        <v>1717</v>
      </c>
      <c r="FB53" t="s">
        <v>1310</v>
      </c>
      <c r="FC53" t="s">
        <v>1309</v>
      </c>
      <c r="FD53" t="s">
        <v>1309</v>
      </c>
      <c r="FE53" t="s">
        <v>1309</v>
      </c>
      <c r="FF53" t="s">
        <v>1309</v>
      </c>
      <c r="FG53" t="s">
        <v>1309</v>
      </c>
      <c r="FH53" t="s">
        <v>1309</v>
      </c>
      <c r="FI53" t="s">
        <v>1309</v>
      </c>
      <c r="FJ53" t="s">
        <v>1309</v>
      </c>
      <c r="FK53" t="s">
        <v>1309</v>
      </c>
      <c r="FL53" t="s">
        <v>1309</v>
      </c>
      <c r="FM53" t="s">
        <v>1310</v>
      </c>
      <c r="FN53" t="s">
        <v>1310</v>
      </c>
      <c r="FO53" t="s">
        <v>1309</v>
      </c>
      <c r="FP53" t="s">
        <v>1309</v>
      </c>
      <c r="FQ53" t="s">
        <v>1309</v>
      </c>
      <c r="FR53" t="s">
        <v>1309</v>
      </c>
      <c r="FT53" t="s">
        <v>1307</v>
      </c>
      <c r="GI53" t="s">
        <v>1324</v>
      </c>
      <c r="GJ53" t="s">
        <v>1324</v>
      </c>
      <c r="GT53" t="s">
        <v>1325</v>
      </c>
      <c r="GU53" t="s">
        <v>1310</v>
      </c>
      <c r="GV53" t="s">
        <v>1309</v>
      </c>
      <c r="GW53" t="s">
        <v>1309</v>
      </c>
      <c r="GX53" t="s">
        <v>1309</v>
      </c>
      <c r="GY53" t="s">
        <v>1309</v>
      </c>
      <c r="GZ53" t="s">
        <v>1309</v>
      </c>
      <c r="HA53" t="s">
        <v>1309</v>
      </c>
      <c r="HB53" t="s">
        <v>1309</v>
      </c>
      <c r="HC53" t="s">
        <v>1309</v>
      </c>
      <c r="HD53" t="s">
        <v>1309</v>
      </c>
      <c r="HE53" t="s">
        <v>1309</v>
      </c>
      <c r="HF53" t="s">
        <v>1309</v>
      </c>
      <c r="HH53" t="s">
        <v>1390</v>
      </c>
      <c r="HI53" t="s">
        <v>1327</v>
      </c>
      <c r="HJ53" t="s">
        <v>1390</v>
      </c>
      <c r="HK53" t="s">
        <v>1327</v>
      </c>
      <c r="HL53" t="s">
        <v>1692</v>
      </c>
      <c r="HM53" t="s">
        <v>1390</v>
      </c>
      <c r="HN53" t="s">
        <v>1435</v>
      </c>
      <c r="HO53" t="s">
        <v>1309</v>
      </c>
      <c r="HP53" t="s">
        <v>1310</v>
      </c>
      <c r="HQ53" t="s">
        <v>1309</v>
      </c>
      <c r="HR53" t="s">
        <v>1309</v>
      </c>
      <c r="HS53" t="s">
        <v>1309</v>
      </c>
      <c r="HT53" t="s">
        <v>1309</v>
      </c>
      <c r="HU53" t="s">
        <v>1309</v>
      </c>
      <c r="HV53" t="s">
        <v>1309</v>
      </c>
      <c r="HW53" t="s">
        <v>1309</v>
      </c>
      <c r="HX53" t="s">
        <v>1309</v>
      </c>
      <c r="HY53" t="s">
        <v>1309</v>
      </c>
      <c r="IA53" t="s">
        <v>1319</v>
      </c>
      <c r="IB53" t="s">
        <v>1718</v>
      </c>
      <c r="IC53" t="s">
        <v>1309</v>
      </c>
      <c r="ID53" t="s">
        <v>1309</v>
      </c>
      <c r="IE53" t="s">
        <v>1309</v>
      </c>
      <c r="IF53" t="s">
        <v>1310</v>
      </c>
      <c r="IG53" t="s">
        <v>1310</v>
      </c>
      <c r="IH53" t="s">
        <v>1309</v>
      </c>
      <c r="II53" t="s">
        <v>1309</v>
      </c>
      <c r="IJ53" t="s">
        <v>1309</v>
      </c>
      <c r="IK53" t="s">
        <v>1310</v>
      </c>
      <c r="IL53" t="s">
        <v>1309</v>
      </c>
      <c r="IM53" t="s">
        <v>1309</v>
      </c>
      <c r="IN53" t="s">
        <v>1309</v>
      </c>
      <c r="IO53" t="s">
        <v>1309</v>
      </c>
      <c r="IQ53" t="s">
        <v>1330</v>
      </c>
      <c r="IS53" t="s">
        <v>1316</v>
      </c>
      <c r="JF53" t="s">
        <v>1354</v>
      </c>
      <c r="JG53" t="s">
        <v>1523</v>
      </c>
      <c r="JH53" t="s">
        <v>1309</v>
      </c>
      <c r="JI53" t="s">
        <v>1309</v>
      </c>
      <c r="JJ53" t="s">
        <v>1309</v>
      </c>
      <c r="JK53" t="s">
        <v>1310</v>
      </c>
      <c r="JL53" t="s">
        <v>1309</v>
      </c>
      <c r="JM53" t="s">
        <v>1309</v>
      </c>
      <c r="JN53" t="s">
        <v>1309</v>
      </c>
      <c r="JO53" t="s">
        <v>1309</v>
      </c>
      <c r="JQ53" s="92" t="s">
        <v>1516</v>
      </c>
      <c r="JR53" s="92" t="s">
        <v>1660</v>
      </c>
      <c r="JS53" s="92">
        <v>33</v>
      </c>
      <c r="JT53" s="92" t="s">
        <v>1319</v>
      </c>
      <c r="JU53" s="92" t="s">
        <v>1396</v>
      </c>
      <c r="JV53" s="92" t="s">
        <v>1336</v>
      </c>
      <c r="JW53" s="92" t="s">
        <v>1296</v>
      </c>
      <c r="JX53" s="92" t="s">
        <v>71</v>
      </c>
      <c r="JY53" s="92" t="s">
        <v>1397</v>
      </c>
      <c r="JZ53" s="92" t="s">
        <v>1398</v>
      </c>
      <c r="KA53" s="92" t="s">
        <v>4845</v>
      </c>
      <c r="KB53" s="92" t="s">
        <v>1415</v>
      </c>
      <c r="KC53" s="92" t="s">
        <v>109</v>
      </c>
      <c r="KD53" s="92" t="s">
        <v>4844</v>
      </c>
      <c r="KE53" s="92" t="s">
        <v>1340</v>
      </c>
      <c r="KF53" s="92">
        <v>2600</v>
      </c>
      <c r="KG53" s="92" t="s">
        <v>1340</v>
      </c>
      <c r="KH53" s="92" t="s">
        <v>192</v>
      </c>
      <c r="KI53" s="92" t="s">
        <v>109</v>
      </c>
      <c r="KJ53" s="92" t="s">
        <v>192</v>
      </c>
      <c r="KK53" s="92" t="s">
        <v>109</v>
      </c>
      <c r="KL53" s="92" t="s">
        <v>1425</v>
      </c>
      <c r="KM53" s="92">
        <v>2600</v>
      </c>
      <c r="KN53" s="92" t="s">
        <v>1340</v>
      </c>
      <c r="KO53" s="92" t="s">
        <v>1425</v>
      </c>
      <c r="KP53" s="92" t="s">
        <v>1375</v>
      </c>
      <c r="KQ53" s="92" t="s">
        <v>192</v>
      </c>
      <c r="KR53" s="92">
        <v>14</v>
      </c>
      <c r="KS53" s="92" t="s">
        <v>1343</v>
      </c>
      <c r="KT53" s="92" t="s">
        <v>1402</v>
      </c>
      <c r="KU53" s="92">
        <v>38</v>
      </c>
      <c r="KV53" s="92" t="s">
        <v>1461</v>
      </c>
      <c r="KW53" s="92" t="s">
        <v>1402</v>
      </c>
      <c r="KX53" s="92" t="s">
        <v>1346</v>
      </c>
      <c r="KY53" s="92" t="s">
        <v>1377</v>
      </c>
      <c r="KZ53" s="92" t="s">
        <v>1403</v>
      </c>
      <c r="LA53" s="92" t="s">
        <v>109</v>
      </c>
      <c r="LB53" s="92" t="s">
        <v>109</v>
      </c>
      <c r="LC53" s="92" t="s">
        <v>5566</v>
      </c>
      <c r="LD53" s="92" t="s">
        <v>5566</v>
      </c>
      <c r="LE53" s="92"/>
      <c r="LF53" s="92"/>
    </row>
    <row r="54" spans="1:318" x14ac:dyDescent="0.25">
      <c r="A54" t="s">
        <v>1719</v>
      </c>
      <c r="B54" t="s">
        <v>1720</v>
      </c>
      <c r="C54" t="s">
        <v>1304</v>
      </c>
      <c r="D54" t="s">
        <v>1305</v>
      </c>
      <c r="E54" t="s">
        <v>1381</v>
      </c>
      <c r="G54" t="s">
        <v>1319</v>
      </c>
      <c r="H54">
        <v>4</v>
      </c>
      <c r="I54" t="s">
        <v>1358</v>
      </c>
      <c r="J54" t="s">
        <v>1406</v>
      </c>
      <c r="K54" t="s">
        <v>1309</v>
      </c>
      <c r="L54" t="s">
        <v>1310</v>
      </c>
      <c r="M54" t="s">
        <v>1309</v>
      </c>
      <c r="N54" t="s">
        <v>1309</v>
      </c>
      <c r="O54" t="s">
        <v>1309</v>
      </c>
      <c r="P54" t="s">
        <v>1309</v>
      </c>
      <c r="Q54" t="s">
        <v>1309</v>
      </c>
      <c r="R54" t="s">
        <v>1309</v>
      </c>
      <c r="S54">
        <v>2</v>
      </c>
      <c r="U54" t="s">
        <v>1312</v>
      </c>
      <c r="V54" t="s">
        <v>1312</v>
      </c>
      <c r="W54" t="s">
        <v>1312</v>
      </c>
      <c r="X54" t="s">
        <v>1312</v>
      </c>
      <c r="Y54" t="s">
        <v>1312</v>
      </c>
      <c r="Z54" t="s">
        <v>1312</v>
      </c>
      <c r="AC54">
        <v>2</v>
      </c>
      <c r="AD54">
        <v>9000</v>
      </c>
      <c r="AE54">
        <v>5000</v>
      </c>
      <c r="AF54" t="s">
        <v>1351</v>
      </c>
      <c r="AH54" t="s">
        <v>1314</v>
      </c>
      <c r="AJ54" t="s">
        <v>1315</v>
      </c>
      <c r="AL54" t="s">
        <v>1316</v>
      </c>
      <c r="BS54" t="s">
        <v>1307</v>
      </c>
      <c r="CE54" t="s">
        <v>1414</v>
      </c>
      <c r="CF54" t="s">
        <v>1309</v>
      </c>
      <c r="CG54" t="s">
        <v>1309</v>
      </c>
      <c r="CH54" t="s">
        <v>1309</v>
      </c>
      <c r="CI54" t="s">
        <v>1309</v>
      </c>
      <c r="CJ54" t="s">
        <v>1309</v>
      </c>
      <c r="CK54" t="s">
        <v>1309</v>
      </c>
      <c r="CL54" t="s">
        <v>1309</v>
      </c>
      <c r="CM54" t="s">
        <v>1309</v>
      </c>
      <c r="CN54" t="s">
        <v>1309</v>
      </c>
      <c r="CO54" t="s">
        <v>1309</v>
      </c>
      <c r="CP54" t="s">
        <v>1309</v>
      </c>
      <c r="CQ54" t="s">
        <v>1310</v>
      </c>
      <c r="CR54" t="s">
        <v>1309</v>
      </c>
      <c r="CT54" t="s">
        <v>4436</v>
      </c>
      <c r="CV54" t="s">
        <v>1357</v>
      </c>
      <c r="CW54" t="s">
        <v>1309</v>
      </c>
      <c r="CX54" t="s">
        <v>1309</v>
      </c>
      <c r="CY54" t="s">
        <v>1309</v>
      </c>
      <c r="CZ54" t="s">
        <v>1309</v>
      </c>
      <c r="DA54" t="s">
        <v>1310</v>
      </c>
      <c r="DB54" t="s">
        <v>1309</v>
      </c>
      <c r="DC54" t="s">
        <v>1309</v>
      </c>
      <c r="DE54" t="s">
        <v>1358</v>
      </c>
      <c r="DF54" t="s">
        <v>1307</v>
      </c>
      <c r="DH54">
        <v>1600</v>
      </c>
      <c r="DI54">
        <v>300</v>
      </c>
      <c r="DJ54" t="s">
        <v>1358</v>
      </c>
      <c r="DL54">
        <v>1500</v>
      </c>
      <c r="DM54">
        <v>500</v>
      </c>
      <c r="DN54" t="s">
        <v>1320</v>
      </c>
      <c r="DO54" t="s">
        <v>1310</v>
      </c>
      <c r="DP54" t="s">
        <v>1309</v>
      </c>
      <c r="DQ54" t="s">
        <v>1309</v>
      </c>
      <c r="DR54" t="s">
        <v>1309</v>
      </c>
      <c r="DS54" t="s">
        <v>1309</v>
      </c>
      <c r="DT54" t="s">
        <v>1310</v>
      </c>
      <c r="DU54" t="s">
        <v>1309</v>
      </c>
      <c r="DV54" t="s">
        <v>1309</v>
      </c>
      <c r="DW54" t="s">
        <v>1309</v>
      </c>
      <c r="DY54" t="s">
        <v>1456</v>
      </c>
      <c r="DZ54">
        <v>800</v>
      </c>
      <c r="EA54" t="s">
        <v>1319</v>
      </c>
      <c r="EC54" t="s">
        <v>1457</v>
      </c>
      <c r="ED54">
        <v>800</v>
      </c>
      <c r="EE54" t="s">
        <v>1319</v>
      </c>
      <c r="EG54" t="s">
        <v>5357</v>
      </c>
      <c r="ET54" t="s">
        <v>1434</v>
      </c>
      <c r="EV54" t="s">
        <v>1307</v>
      </c>
      <c r="EX54" t="s">
        <v>1307</v>
      </c>
      <c r="EZ54" t="s">
        <v>1307</v>
      </c>
      <c r="FT54" t="s">
        <v>1307</v>
      </c>
      <c r="GI54" t="s">
        <v>1436</v>
      </c>
      <c r="GJ54" t="s">
        <v>1436</v>
      </c>
      <c r="GK54" t="s">
        <v>1307</v>
      </c>
      <c r="GT54" t="s">
        <v>1325</v>
      </c>
      <c r="GU54" t="s">
        <v>1310</v>
      </c>
      <c r="GV54" t="s">
        <v>1309</v>
      </c>
      <c r="GW54" t="s">
        <v>1309</v>
      </c>
      <c r="GX54" t="s">
        <v>1309</v>
      </c>
      <c r="GY54" t="s">
        <v>1309</v>
      </c>
      <c r="GZ54" t="s">
        <v>1309</v>
      </c>
      <c r="HA54" t="s">
        <v>1309</v>
      </c>
      <c r="HB54" t="s">
        <v>1309</v>
      </c>
      <c r="HC54" t="s">
        <v>1309</v>
      </c>
      <c r="HD54" t="s">
        <v>1309</v>
      </c>
      <c r="HE54" t="s">
        <v>1309</v>
      </c>
      <c r="HF54" t="s">
        <v>1309</v>
      </c>
      <c r="HH54" t="s">
        <v>1363</v>
      </c>
      <c r="HI54" t="s">
        <v>1390</v>
      </c>
      <c r="HJ54" t="s">
        <v>1390</v>
      </c>
      <c r="HK54" t="s">
        <v>1327</v>
      </c>
      <c r="HL54" t="s">
        <v>1437</v>
      </c>
      <c r="HM54" t="s">
        <v>1363</v>
      </c>
      <c r="HN54" t="s">
        <v>1626</v>
      </c>
      <c r="HO54" t="s">
        <v>1310</v>
      </c>
      <c r="HP54" t="s">
        <v>1309</v>
      </c>
      <c r="HQ54" t="s">
        <v>1309</v>
      </c>
      <c r="HR54" t="s">
        <v>1309</v>
      </c>
      <c r="HS54" t="s">
        <v>1309</v>
      </c>
      <c r="HT54" t="s">
        <v>1309</v>
      </c>
      <c r="HU54" t="s">
        <v>1309</v>
      </c>
      <c r="HV54" t="s">
        <v>1309</v>
      </c>
      <c r="HW54" t="s">
        <v>1309</v>
      </c>
      <c r="HX54" t="s">
        <v>1309</v>
      </c>
      <c r="HY54" t="s">
        <v>1309</v>
      </c>
      <c r="IA54" t="s">
        <v>1307</v>
      </c>
      <c r="IQ54" t="s">
        <v>1365</v>
      </c>
      <c r="IS54" t="s">
        <v>1354</v>
      </c>
      <c r="JF54" t="s">
        <v>1316</v>
      </c>
      <c r="JG54" t="s">
        <v>1414</v>
      </c>
      <c r="JH54" t="s">
        <v>1309</v>
      </c>
      <c r="JI54" t="s">
        <v>1309</v>
      </c>
      <c r="JJ54" t="s">
        <v>1309</v>
      </c>
      <c r="JK54" t="s">
        <v>1309</v>
      </c>
      <c r="JL54" t="s">
        <v>1309</v>
      </c>
      <c r="JM54" t="s">
        <v>1309</v>
      </c>
      <c r="JN54" t="s">
        <v>1310</v>
      </c>
      <c r="JO54" t="s">
        <v>1309</v>
      </c>
      <c r="JQ54" s="92" t="s">
        <v>1721</v>
      </c>
      <c r="JR54" s="92" t="s">
        <v>1722</v>
      </c>
      <c r="JS54" s="92">
        <v>25</v>
      </c>
      <c r="JT54" s="92" t="s">
        <v>1319</v>
      </c>
      <c r="JU54" s="92" t="s">
        <v>1335</v>
      </c>
      <c r="JV54" s="92" t="s">
        <v>1526</v>
      </c>
      <c r="JW54" s="92" t="s">
        <v>1296</v>
      </c>
      <c r="JX54" s="92" t="s">
        <v>70</v>
      </c>
      <c r="JY54" s="92" t="s">
        <v>1397</v>
      </c>
      <c r="JZ54" s="92" t="s">
        <v>1398</v>
      </c>
      <c r="KA54" s="92" t="s">
        <v>4845</v>
      </c>
      <c r="KB54" s="92" t="s">
        <v>1415</v>
      </c>
      <c r="KC54" s="92" t="s">
        <v>109</v>
      </c>
      <c r="KD54" s="92" t="s">
        <v>4847</v>
      </c>
      <c r="KE54" s="92" t="s">
        <v>1424</v>
      </c>
      <c r="KF54" s="92">
        <v>1900</v>
      </c>
      <c r="KG54" s="92" t="s">
        <v>4438</v>
      </c>
      <c r="KH54" s="92" t="s">
        <v>109</v>
      </c>
      <c r="KI54" s="92" t="s">
        <v>192</v>
      </c>
      <c r="KJ54" s="92" t="s">
        <v>109</v>
      </c>
      <c r="KK54" s="92" t="s">
        <v>192</v>
      </c>
      <c r="KL54" s="92" t="s">
        <v>1440</v>
      </c>
      <c r="KM54" s="92">
        <v>2000</v>
      </c>
      <c r="KN54" s="92" t="s">
        <v>4438</v>
      </c>
      <c r="KO54" s="92" t="s">
        <v>1440</v>
      </c>
      <c r="KP54" s="92" t="s">
        <v>1375</v>
      </c>
      <c r="KQ54" s="92" t="s">
        <v>109</v>
      </c>
      <c r="KR54" s="92"/>
      <c r="KS54" s="92" t="s">
        <v>1466</v>
      </c>
      <c r="KT54" s="92" t="s">
        <v>1344</v>
      </c>
      <c r="KU54" s="92"/>
      <c r="KV54" s="92" t="s">
        <v>1441</v>
      </c>
      <c r="KW54" s="92" t="s">
        <v>1344</v>
      </c>
      <c r="KX54" s="92" t="s">
        <v>1376</v>
      </c>
      <c r="KY54" s="92" t="s">
        <v>1377</v>
      </c>
      <c r="KZ54" s="92" t="s">
        <v>1403</v>
      </c>
      <c r="LA54" s="92" t="s">
        <v>109</v>
      </c>
      <c r="LB54" s="92" t="s">
        <v>109</v>
      </c>
      <c r="LC54" s="92" t="s">
        <v>4439</v>
      </c>
      <c r="LD54" s="92" t="s">
        <v>4439</v>
      </c>
      <c r="LE54" s="92" t="s">
        <v>109</v>
      </c>
      <c r="LF54" s="92" t="s">
        <v>109</v>
      </c>
    </row>
    <row r="55" spans="1:318" x14ac:dyDescent="0.25">
      <c r="A55" t="s">
        <v>1723</v>
      </c>
      <c r="B55" t="s">
        <v>1724</v>
      </c>
      <c r="C55" t="s">
        <v>1304</v>
      </c>
      <c r="D55" t="s">
        <v>1305</v>
      </c>
      <c r="E55" t="s">
        <v>1381</v>
      </c>
      <c r="G55" t="s">
        <v>1319</v>
      </c>
      <c r="H55">
        <v>2</v>
      </c>
      <c r="I55" t="s">
        <v>1358</v>
      </c>
      <c r="J55" t="s">
        <v>1430</v>
      </c>
      <c r="K55" t="s">
        <v>1309</v>
      </c>
      <c r="L55" t="s">
        <v>1309</v>
      </c>
      <c r="M55" t="s">
        <v>1310</v>
      </c>
      <c r="N55" t="s">
        <v>1309</v>
      </c>
      <c r="O55" t="s">
        <v>1309</v>
      </c>
      <c r="P55" t="s">
        <v>1309</v>
      </c>
      <c r="Q55" t="s">
        <v>1309</v>
      </c>
      <c r="R55" t="s">
        <v>1309</v>
      </c>
      <c r="T55">
        <v>1</v>
      </c>
      <c r="U55" t="s">
        <v>1312</v>
      </c>
      <c r="V55" t="s">
        <v>1312</v>
      </c>
      <c r="W55" t="s">
        <v>1312</v>
      </c>
      <c r="X55" t="s">
        <v>1311</v>
      </c>
      <c r="Y55" t="s">
        <v>1312</v>
      </c>
      <c r="Z55" t="s">
        <v>1312</v>
      </c>
      <c r="AC55">
        <v>0</v>
      </c>
      <c r="AF55" t="s">
        <v>1313</v>
      </c>
      <c r="AH55" t="s">
        <v>1383</v>
      </c>
      <c r="AJ55" t="s">
        <v>1315</v>
      </c>
      <c r="AL55" t="s">
        <v>1316</v>
      </c>
      <c r="BS55" t="s">
        <v>1307</v>
      </c>
      <c r="CE55" t="s">
        <v>1355</v>
      </c>
      <c r="CF55" t="s">
        <v>1309</v>
      </c>
      <c r="CG55" t="s">
        <v>1309</v>
      </c>
      <c r="CH55" t="s">
        <v>1309</v>
      </c>
      <c r="CI55" t="s">
        <v>1309</v>
      </c>
      <c r="CJ55" t="s">
        <v>1309</v>
      </c>
      <c r="CK55" t="s">
        <v>1309</v>
      </c>
      <c r="CL55" t="s">
        <v>1309</v>
      </c>
      <c r="CM55" t="s">
        <v>1309</v>
      </c>
      <c r="CN55" t="s">
        <v>1310</v>
      </c>
      <c r="CO55" t="s">
        <v>1309</v>
      </c>
      <c r="CP55" t="s">
        <v>1309</v>
      </c>
      <c r="CQ55" t="s">
        <v>1309</v>
      </c>
      <c r="CR55" t="s">
        <v>1309</v>
      </c>
      <c r="CT55" t="s">
        <v>4434</v>
      </c>
      <c r="CV55" t="s">
        <v>1357</v>
      </c>
      <c r="CW55" t="s">
        <v>1309</v>
      </c>
      <c r="CX55" t="s">
        <v>1309</v>
      </c>
      <c r="CY55" t="s">
        <v>1309</v>
      </c>
      <c r="CZ55" t="s">
        <v>1309</v>
      </c>
      <c r="DA55" t="s">
        <v>1310</v>
      </c>
      <c r="DB55" t="s">
        <v>1309</v>
      </c>
      <c r="DC55" t="s">
        <v>1309</v>
      </c>
      <c r="DE55" t="s">
        <v>1307</v>
      </c>
      <c r="DJ55" t="s">
        <v>1307</v>
      </c>
      <c r="DY55" t="s">
        <v>1490</v>
      </c>
      <c r="DZ55">
        <v>300</v>
      </c>
      <c r="EA55" t="s">
        <v>1386</v>
      </c>
      <c r="EC55" t="s">
        <v>1420</v>
      </c>
      <c r="ED55">
        <v>920</v>
      </c>
      <c r="EE55" t="s">
        <v>1386</v>
      </c>
      <c r="EG55" t="s">
        <v>5356</v>
      </c>
      <c r="EI55" t="s">
        <v>1307</v>
      </c>
      <c r="ET55" t="s">
        <v>1307</v>
      </c>
      <c r="EV55" t="s">
        <v>1319</v>
      </c>
      <c r="EW55" t="s">
        <v>1409</v>
      </c>
      <c r="EX55" t="s">
        <v>1319</v>
      </c>
      <c r="EY55" t="s">
        <v>1319</v>
      </c>
      <c r="FA55" t="s">
        <v>1725</v>
      </c>
      <c r="FB55" t="s">
        <v>1310</v>
      </c>
      <c r="FC55" t="s">
        <v>1309</v>
      </c>
      <c r="FD55" t="s">
        <v>1309</v>
      </c>
      <c r="FE55" t="s">
        <v>1309</v>
      </c>
      <c r="FF55" t="s">
        <v>1309</v>
      </c>
      <c r="FG55" t="s">
        <v>1309</v>
      </c>
      <c r="FH55" t="s">
        <v>1309</v>
      </c>
      <c r="FI55" t="s">
        <v>1310</v>
      </c>
      <c r="FJ55" t="s">
        <v>1309</v>
      </c>
      <c r="FK55" t="s">
        <v>1310</v>
      </c>
      <c r="FL55" t="s">
        <v>1310</v>
      </c>
      <c r="FM55" t="s">
        <v>1309</v>
      </c>
      <c r="FN55" t="s">
        <v>1310</v>
      </c>
      <c r="FO55" t="s">
        <v>1309</v>
      </c>
      <c r="FP55" t="s">
        <v>1309</v>
      </c>
      <c r="FQ55" t="s">
        <v>1309</v>
      </c>
      <c r="FR55" t="s">
        <v>1309</v>
      </c>
      <c r="FT55" t="s">
        <v>1319</v>
      </c>
      <c r="FU55" t="s">
        <v>1435</v>
      </c>
      <c r="FV55" t="s">
        <v>1310</v>
      </c>
      <c r="FW55" t="s">
        <v>1309</v>
      </c>
      <c r="FX55" t="s">
        <v>1309</v>
      </c>
      <c r="FY55" t="s">
        <v>1309</v>
      </c>
      <c r="FZ55" t="s">
        <v>1309</v>
      </c>
      <c r="GA55" t="s">
        <v>1309</v>
      </c>
      <c r="GB55" t="s">
        <v>1309</v>
      </c>
      <c r="GC55" t="s">
        <v>1309</v>
      </c>
      <c r="GD55" t="s">
        <v>1309</v>
      </c>
      <c r="GE55" t="s">
        <v>1309</v>
      </c>
      <c r="GF55" t="s">
        <v>1309</v>
      </c>
      <c r="GG55" t="s">
        <v>1309</v>
      </c>
      <c r="GI55" t="s">
        <v>1618</v>
      </c>
      <c r="GJ55" t="s">
        <v>1618</v>
      </c>
      <c r="GK55" t="s">
        <v>1319</v>
      </c>
      <c r="GL55" t="s">
        <v>1619</v>
      </c>
      <c r="GM55" t="s">
        <v>1310</v>
      </c>
      <c r="GN55" t="s">
        <v>1309</v>
      </c>
      <c r="GO55" t="s">
        <v>1309</v>
      </c>
      <c r="GP55" t="s">
        <v>1309</v>
      </c>
      <c r="GQ55" t="s">
        <v>1309</v>
      </c>
      <c r="GR55" t="s">
        <v>1309</v>
      </c>
      <c r="GT55" t="s">
        <v>1560</v>
      </c>
      <c r="GU55" t="s">
        <v>1309</v>
      </c>
      <c r="GV55" t="s">
        <v>1309</v>
      </c>
      <c r="GW55" t="s">
        <v>1309</v>
      </c>
      <c r="GX55" t="s">
        <v>1309</v>
      </c>
      <c r="GY55" t="s">
        <v>1309</v>
      </c>
      <c r="GZ55" t="s">
        <v>1309</v>
      </c>
      <c r="HA55" t="s">
        <v>1309</v>
      </c>
      <c r="HB55" t="s">
        <v>1309</v>
      </c>
      <c r="HC55" t="s">
        <v>1309</v>
      </c>
      <c r="HD55" t="s">
        <v>1309</v>
      </c>
      <c r="HE55" t="s">
        <v>1309</v>
      </c>
      <c r="HF55" t="s">
        <v>1310</v>
      </c>
      <c r="HH55" t="s">
        <v>1326</v>
      </c>
      <c r="HI55" t="s">
        <v>1327</v>
      </c>
      <c r="HJ55" t="s">
        <v>1326</v>
      </c>
      <c r="HK55" t="s">
        <v>1327</v>
      </c>
      <c r="HL55" t="s">
        <v>1692</v>
      </c>
      <c r="HM55" t="s">
        <v>1326</v>
      </c>
      <c r="HN55" t="s">
        <v>1726</v>
      </c>
      <c r="HO55" t="s">
        <v>1310</v>
      </c>
      <c r="HP55" t="s">
        <v>1310</v>
      </c>
      <c r="HQ55" t="s">
        <v>1309</v>
      </c>
      <c r="HR55" t="s">
        <v>1309</v>
      </c>
      <c r="HS55" t="s">
        <v>1310</v>
      </c>
      <c r="HT55" t="s">
        <v>1309</v>
      </c>
      <c r="HU55" t="s">
        <v>1309</v>
      </c>
      <c r="HV55" t="s">
        <v>1309</v>
      </c>
      <c r="HW55" t="s">
        <v>1309</v>
      </c>
      <c r="HX55" t="s">
        <v>1309</v>
      </c>
      <c r="HY55" t="s">
        <v>1309</v>
      </c>
      <c r="IA55" t="s">
        <v>1307</v>
      </c>
      <c r="IQ55" t="s">
        <v>1365</v>
      </c>
      <c r="IS55" t="s">
        <v>1331</v>
      </c>
      <c r="JF55" t="s">
        <v>1450</v>
      </c>
      <c r="JG55" t="s">
        <v>1414</v>
      </c>
      <c r="JH55" t="s">
        <v>1309</v>
      </c>
      <c r="JI55" t="s">
        <v>1309</v>
      </c>
      <c r="JJ55" t="s">
        <v>1309</v>
      </c>
      <c r="JK55" t="s">
        <v>1309</v>
      </c>
      <c r="JL55" t="s">
        <v>1309</v>
      </c>
      <c r="JM55" t="s">
        <v>1309</v>
      </c>
      <c r="JN55" t="s">
        <v>1310</v>
      </c>
      <c r="JO55" t="s">
        <v>1309</v>
      </c>
      <c r="JQ55" s="92" t="s">
        <v>1333</v>
      </c>
      <c r="JR55" s="92" t="s">
        <v>1334</v>
      </c>
      <c r="JS55" s="92">
        <v>57</v>
      </c>
      <c r="JT55" s="92" t="s">
        <v>1319</v>
      </c>
      <c r="JU55" s="92" t="s">
        <v>1396</v>
      </c>
      <c r="JV55" s="92" t="s">
        <v>1336</v>
      </c>
      <c r="JW55" s="92" t="s">
        <v>1296</v>
      </c>
      <c r="JX55" s="92" t="s">
        <v>71</v>
      </c>
      <c r="JY55" s="92" t="s">
        <v>1397</v>
      </c>
      <c r="JZ55" s="92" t="s">
        <v>1337</v>
      </c>
      <c r="KA55" s="92" t="s">
        <v>4845</v>
      </c>
      <c r="KB55" s="92" t="s">
        <v>1439</v>
      </c>
      <c r="KC55" s="92" t="s">
        <v>109</v>
      </c>
      <c r="KD55" s="92" t="s">
        <v>1309</v>
      </c>
      <c r="KE55" s="92" t="s">
        <v>1340</v>
      </c>
      <c r="KF55" s="92">
        <v>0</v>
      </c>
      <c r="KG55" s="92" t="s">
        <v>1340</v>
      </c>
      <c r="KH55" s="92" t="s">
        <v>109</v>
      </c>
      <c r="KI55" s="92" t="s">
        <v>109</v>
      </c>
      <c r="KJ55" s="92" t="s">
        <v>109</v>
      </c>
      <c r="KK55" s="92" t="s">
        <v>109</v>
      </c>
      <c r="KL55" s="92" t="s">
        <v>1373</v>
      </c>
      <c r="KM55" s="92">
        <v>0</v>
      </c>
      <c r="KN55" s="92" t="s">
        <v>1340</v>
      </c>
      <c r="KO55" s="92" t="s">
        <v>1373</v>
      </c>
      <c r="KP55" s="92" t="s">
        <v>1375</v>
      </c>
      <c r="KQ55" s="92" t="s">
        <v>192</v>
      </c>
      <c r="KR55" s="92"/>
      <c r="KS55" s="92" t="s">
        <v>1343</v>
      </c>
      <c r="KT55" s="92" t="s">
        <v>1402</v>
      </c>
      <c r="KU55" s="92"/>
      <c r="KV55" s="92" t="s">
        <v>1461</v>
      </c>
      <c r="KW55" s="92" t="s">
        <v>1402</v>
      </c>
      <c r="KX55" s="92" t="s">
        <v>1346</v>
      </c>
      <c r="KY55" s="92" t="s">
        <v>1377</v>
      </c>
      <c r="KZ55" s="92" t="s">
        <v>1403</v>
      </c>
      <c r="LA55" s="92" t="s">
        <v>109</v>
      </c>
      <c r="LB55" s="92" t="s">
        <v>109</v>
      </c>
      <c r="LC55" s="92" t="s">
        <v>5566</v>
      </c>
      <c r="LD55" s="92" t="s">
        <v>5566</v>
      </c>
      <c r="LE55" s="92"/>
      <c r="LF55" s="92"/>
    </row>
    <row r="56" spans="1:318" x14ac:dyDescent="0.25">
      <c r="A56" t="s">
        <v>1727</v>
      </c>
      <c r="B56" t="s">
        <v>1728</v>
      </c>
      <c r="C56" t="s">
        <v>1304</v>
      </c>
      <c r="D56" t="s">
        <v>1305</v>
      </c>
      <c r="E56" t="s">
        <v>1306</v>
      </c>
      <c r="G56" t="s">
        <v>1307</v>
      </c>
      <c r="H56">
        <v>4</v>
      </c>
      <c r="I56" t="s">
        <v>1307</v>
      </c>
      <c r="J56" t="s">
        <v>1511</v>
      </c>
      <c r="K56" t="s">
        <v>1309</v>
      </c>
      <c r="L56" t="s">
        <v>1310</v>
      </c>
      <c r="M56" t="s">
        <v>1309</v>
      </c>
      <c r="N56" t="s">
        <v>1310</v>
      </c>
      <c r="O56" t="s">
        <v>1309</v>
      </c>
      <c r="P56" t="s">
        <v>1309</v>
      </c>
      <c r="Q56" t="s">
        <v>1309</v>
      </c>
      <c r="R56" t="s">
        <v>1309</v>
      </c>
      <c r="S56">
        <v>2</v>
      </c>
      <c r="U56" t="s">
        <v>1486</v>
      </c>
      <c r="V56" t="s">
        <v>1312</v>
      </c>
      <c r="W56" t="s">
        <v>1312</v>
      </c>
      <c r="X56" t="s">
        <v>1312</v>
      </c>
      <c r="Y56" t="s">
        <v>1312</v>
      </c>
      <c r="Z56" t="s">
        <v>1312</v>
      </c>
      <c r="AA56">
        <v>1</v>
      </c>
      <c r="AB56">
        <v>1</v>
      </c>
      <c r="AC56">
        <v>2</v>
      </c>
      <c r="AD56">
        <v>24000</v>
      </c>
      <c r="AE56">
        <v>13000</v>
      </c>
      <c r="AF56" t="s">
        <v>1313</v>
      </c>
      <c r="AH56" t="s">
        <v>1383</v>
      </c>
      <c r="AJ56" t="s">
        <v>1315</v>
      </c>
      <c r="AL56" t="s">
        <v>1316</v>
      </c>
      <c r="BS56" t="s">
        <v>1307</v>
      </c>
      <c r="CE56" t="s">
        <v>1729</v>
      </c>
      <c r="CF56" t="s">
        <v>1309</v>
      </c>
      <c r="CG56" t="s">
        <v>1309</v>
      </c>
      <c r="CH56" t="s">
        <v>1309</v>
      </c>
      <c r="CI56" t="s">
        <v>1309</v>
      </c>
      <c r="CJ56" t="s">
        <v>1309</v>
      </c>
      <c r="CK56" t="s">
        <v>1309</v>
      </c>
      <c r="CL56" t="s">
        <v>1309</v>
      </c>
      <c r="CM56" t="s">
        <v>1309</v>
      </c>
      <c r="CN56" t="s">
        <v>1310</v>
      </c>
      <c r="CO56" t="s">
        <v>1309</v>
      </c>
      <c r="CP56" t="s">
        <v>1310</v>
      </c>
      <c r="CQ56" t="s">
        <v>1309</v>
      </c>
      <c r="CR56" t="s">
        <v>1309</v>
      </c>
      <c r="CS56" t="s">
        <v>1730</v>
      </c>
      <c r="CT56" t="s">
        <v>4434</v>
      </c>
      <c r="CV56" t="s">
        <v>1308</v>
      </c>
      <c r="CW56" t="s">
        <v>1310</v>
      </c>
      <c r="CX56" t="s">
        <v>1309</v>
      </c>
      <c r="CY56" t="s">
        <v>1309</v>
      </c>
      <c r="CZ56" t="s">
        <v>1309</v>
      </c>
      <c r="DA56" t="s">
        <v>1309</v>
      </c>
      <c r="DB56" t="s">
        <v>1309</v>
      </c>
      <c r="DC56" t="s">
        <v>1309</v>
      </c>
      <c r="DE56" t="s">
        <v>1318</v>
      </c>
      <c r="DG56">
        <v>3300</v>
      </c>
      <c r="DI56">
        <v>400</v>
      </c>
      <c r="DJ56" t="s">
        <v>1318</v>
      </c>
      <c r="DK56">
        <v>3500</v>
      </c>
      <c r="DM56">
        <v>400</v>
      </c>
      <c r="DN56" t="s">
        <v>1432</v>
      </c>
      <c r="DO56" t="s">
        <v>1310</v>
      </c>
      <c r="DP56" t="s">
        <v>1309</v>
      </c>
      <c r="DQ56" t="s">
        <v>1309</v>
      </c>
      <c r="DR56" t="s">
        <v>1310</v>
      </c>
      <c r="DS56" t="s">
        <v>1309</v>
      </c>
      <c r="DT56" t="s">
        <v>1310</v>
      </c>
      <c r="DU56" t="s">
        <v>1309</v>
      </c>
      <c r="DV56" t="s">
        <v>1309</v>
      </c>
      <c r="DW56" t="s">
        <v>1309</v>
      </c>
      <c r="DY56" t="s">
        <v>1456</v>
      </c>
      <c r="DZ56">
        <v>330</v>
      </c>
      <c r="EA56" t="s">
        <v>1319</v>
      </c>
      <c r="EC56" t="s">
        <v>1457</v>
      </c>
      <c r="ED56">
        <v>1000</v>
      </c>
      <c r="EE56" t="s">
        <v>1319</v>
      </c>
      <c r="EG56" t="s">
        <v>5357</v>
      </c>
      <c r="ET56" t="s">
        <v>1307</v>
      </c>
      <c r="EV56" t="s">
        <v>1319</v>
      </c>
      <c r="EW56" t="s">
        <v>1529</v>
      </c>
      <c r="EX56" t="s">
        <v>1319</v>
      </c>
      <c r="EY56" t="s">
        <v>1319</v>
      </c>
      <c r="FA56" t="s">
        <v>1731</v>
      </c>
      <c r="FB56" t="s">
        <v>1310</v>
      </c>
      <c r="FC56" t="s">
        <v>1310</v>
      </c>
      <c r="FD56" t="s">
        <v>1309</v>
      </c>
      <c r="FE56" t="s">
        <v>1309</v>
      </c>
      <c r="FF56" t="s">
        <v>1309</v>
      </c>
      <c r="FG56" t="s">
        <v>1309</v>
      </c>
      <c r="FH56" t="s">
        <v>1309</v>
      </c>
      <c r="FI56" t="s">
        <v>1309</v>
      </c>
      <c r="FJ56" t="s">
        <v>1309</v>
      </c>
      <c r="FK56" t="s">
        <v>1309</v>
      </c>
      <c r="FL56" t="s">
        <v>1309</v>
      </c>
      <c r="FM56" t="s">
        <v>1309</v>
      </c>
      <c r="FN56" t="s">
        <v>1309</v>
      </c>
      <c r="FO56" t="s">
        <v>1309</v>
      </c>
      <c r="FP56" t="s">
        <v>1309</v>
      </c>
      <c r="FQ56" t="s">
        <v>1309</v>
      </c>
      <c r="FR56" t="s">
        <v>1309</v>
      </c>
      <c r="FT56" t="s">
        <v>1319</v>
      </c>
      <c r="FU56" t="s">
        <v>1435</v>
      </c>
      <c r="FV56" t="s">
        <v>1310</v>
      </c>
      <c r="FW56" t="s">
        <v>1309</v>
      </c>
      <c r="FX56" t="s">
        <v>1309</v>
      </c>
      <c r="FY56" t="s">
        <v>1309</v>
      </c>
      <c r="FZ56" t="s">
        <v>1309</v>
      </c>
      <c r="GA56" t="s">
        <v>1309</v>
      </c>
      <c r="GB56" t="s">
        <v>1309</v>
      </c>
      <c r="GC56" t="s">
        <v>1309</v>
      </c>
      <c r="GD56" t="s">
        <v>1309</v>
      </c>
      <c r="GE56" t="s">
        <v>1309</v>
      </c>
      <c r="GF56" t="s">
        <v>1309</v>
      </c>
      <c r="GG56" t="s">
        <v>1309</v>
      </c>
      <c r="GI56" t="s">
        <v>1448</v>
      </c>
      <c r="GJ56" t="s">
        <v>1324</v>
      </c>
      <c r="GT56" t="s">
        <v>1325</v>
      </c>
      <c r="GU56" t="s">
        <v>1310</v>
      </c>
      <c r="GV56" t="s">
        <v>1309</v>
      </c>
      <c r="GW56" t="s">
        <v>1309</v>
      </c>
      <c r="GX56" t="s">
        <v>1309</v>
      </c>
      <c r="GY56" t="s">
        <v>1309</v>
      </c>
      <c r="GZ56" t="s">
        <v>1309</v>
      </c>
      <c r="HA56" t="s">
        <v>1309</v>
      </c>
      <c r="HB56" t="s">
        <v>1309</v>
      </c>
      <c r="HC56" t="s">
        <v>1309</v>
      </c>
      <c r="HD56" t="s">
        <v>1309</v>
      </c>
      <c r="HE56" t="s">
        <v>1309</v>
      </c>
      <c r="HF56" t="s">
        <v>1309</v>
      </c>
      <c r="HH56" t="s">
        <v>1326</v>
      </c>
      <c r="HI56" t="s">
        <v>1390</v>
      </c>
      <c r="HJ56" t="s">
        <v>1326</v>
      </c>
      <c r="HK56" t="s">
        <v>1327</v>
      </c>
      <c r="HL56" t="s">
        <v>1364</v>
      </c>
      <c r="HM56" t="s">
        <v>1326</v>
      </c>
      <c r="IA56" t="s">
        <v>1319</v>
      </c>
      <c r="IB56" t="s">
        <v>1423</v>
      </c>
      <c r="IC56" t="s">
        <v>1309</v>
      </c>
      <c r="ID56" t="s">
        <v>1309</v>
      </c>
      <c r="IE56" t="s">
        <v>1309</v>
      </c>
      <c r="IF56" t="s">
        <v>1309</v>
      </c>
      <c r="IG56" t="s">
        <v>1310</v>
      </c>
      <c r="IH56" t="s">
        <v>1309</v>
      </c>
      <c r="II56" t="s">
        <v>1309</v>
      </c>
      <c r="IJ56" t="s">
        <v>1309</v>
      </c>
      <c r="IK56" t="s">
        <v>1309</v>
      </c>
      <c r="IL56" t="s">
        <v>1309</v>
      </c>
      <c r="IM56" t="s">
        <v>1309</v>
      </c>
      <c r="IN56" t="s">
        <v>1309</v>
      </c>
      <c r="IO56" t="s">
        <v>1309</v>
      </c>
      <c r="IQ56" t="s">
        <v>1365</v>
      </c>
      <c r="IS56" t="s">
        <v>1316</v>
      </c>
      <c r="JF56" t="s">
        <v>1316</v>
      </c>
      <c r="JG56" t="s">
        <v>1698</v>
      </c>
      <c r="JH56" t="s">
        <v>1309</v>
      </c>
      <c r="JI56" t="s">
        <v>1309</v>
      </c>
      <c r="JJ56" t="s">
        <v>1309</v>
      </c>
      <c r="JK56" t="s">
        <v>1309</v>
      </c>
      <c r="JL56" t="s">
        <v>1309</v>
      </c>
      <c r="JM56" t="s">
        <v>1310</v>
      </c>
      <c r="JN56" t="s">
        <v>1309</v>
      </c>
      <c r="JO56" t="s">
        <v>1309</v>
      </c>
      <c r="JP56" t="s">
        <v>1732</v>
      </c>
      <c r="JQ56" s="92" t="s">
        <v>1733</v>
      </c>
      <c r="JR56" s="92" t="s">
        <v>1734</v>
      </c>
      <c r="JS56" s="92">
        <v>30</v>
      </c>
      <c r="JT56" s="92" t="s">
        <v>1319</v>
      </c>
      <c r="JU56" s="92" t="s">
        <v>1335</v>
      </c>
      <c r="JV56" s="92" t="s">
        <v>1368</v>
      </c>
      <c r="JW56" s="92" t="s">
        <v>1296</v>
      </c>
      <c r="JX56" s="92" t="s">
        <v>71</v>
      </c>
      <c r="JY56" s="92" t="s">
        <v>5549</v>
      </c>
      <c r="JZ56" s="92" t="s">
        <v>1398</v>
      </c>
      <c r="KA56" s="92" t="s">
        <v>4845</v>
      </c>
      <c r="KB56" s="92" t="s">
        <v>1415</v>
      </c>
      <c r="KC56" s="92" t="s">
        <v>192</v>
      </c>
      <c r="KD56" s="92" t="s">
        <v>4847</v>
      </c>
      <c r="KE56" s="92" t="s">
        <v>1416</v>
      </c>
      <c r="KF56" s="92">
        <v>3700</v>
      </c>
      <c r="KG56" s="92" t="s">
        <v>4438</v>
      </c>
      <c r="KH56" s="92" t="s">
        <v>192</v>
      </c>
      <c r="KI56" s="92" t="s">
        <v>109</v>
      </c>
      <c r="KJ56" s="92" t="s">
        <v>192</v>
      </c>
      <c r="KK56" s="92" t="s">
        <v>109</v>
      </c>
      <c r="KL56" s="92" t="s">
        <v>1341</v>
      </c>
      <c r="KM56" s="92">
        <v>3900</v>
      </c>
      <c r="KN56" s="92" t="s">
        <v>4438</v>
      </c>
      <c r="KO56" s="92" t="s">
        <v>1341</v>
      </c>
      <c r="KP56" s="92" t="s">
        <v>1460</v>
      </c>
      <c r="KQ56" s="92" t="s">
        <v>192</v>
      </c>
      <c r="KR56" s="92">
        <v>9</v>
      </c>
      <c r="KS56" s="92" t="s">
        <v>1343</v>
      </c>
      <c r="KT56" s="92" t="s">
        <v>1344</v>
      </c>
      <c r="KU56" s="92">
        <v>26</v>
      </c>
      <c r="KV56" s="92" t="s">
        <v>1461</v>
      </c>
      <c r="KW56" s="92" t="s">
        <v>1344</v>
      </c>
      <c r="KX56" s="92" t="s">
        <v>1376</v>
      </c>
      <c r="KY56" s="92" t="s">
        <v>1377</v>
      </c>
      <c r="KZ56" s="92" t="s">
        <v>5795</v>
      </c>
      <c r="LA56" s="92" t="s">
        <v>192</v>
      </c>
      <c r="LB56" s="92" t="s">
        <v>192</v>
      </c>
      <c r="LC56" s="92" t="s">
        <v>4438</v>
      </c>
      <c r="LD56" s="92" t="s">
        <v>4438</v>
      </c>
      <c r="LE56" s="92" t="s">
        <v>109</v>
      </c>
      <c r="LF56" s="92" t="s">
        <v>109</v>
      </c>
    </row>
    <row r="57" spans="1:318" x14ac:dyDescent="0.25">
      <c r="A57" t="s">
        <v>1735</v>
      </c>
      <c r="B57" t="s">
        <v>1736</v>
      </c>
      <c r="C57" t="s">
        <v>1304</v>
      </c>
      <c r="D57" t="s">
        <v>1429</v>
      </c>
      <c r="E57" t="s">
        <v>1306</v>
      </c>
      <c r="G57" t="s">
        <v>1307</v>
      </c>
      <c r="H57">
        <v>1</v>
      </c>
      <c r="J57" t="s">
        <v>1430</v>
      </c>
      <c r="K57" t="s">
        <v>1309</v>
      </c>
      <c r="L57" t="s">
        <v>1309</v>
      </c>
      <c r="M57" t="s">
        <v>1310</v>
      </c>
      <c r="N57" t="s">
        <v>1309</v>
      </c>
      <c r="O57" t="s">
        <v>1309</v>
      </c>
      <c r="P57" t="s">
        <v>1309</v>
      </c>
      <c r="Q57" t="s">
        <v>1309</v>
      </c>
      <c r="R57" t="s">
        <v>1309</v>
      </c>
      <c r="T57">
        <v>1</v>
      </c>
      <c r="U57" t="s">
        <v>1311</v>
      </c>
      <c r="V57" t="s">
        <v>1312</v>
      </c>
      <c r="W57" t="s">
        <v>1311</v>
      </c>
      <c r="X57" t="s">
        <v>1312</v>
      </c>
      <c r="Y57" t="s">
        <v>1312</v>
      </c>
      <c r="Z57" t="s">
        <v>1312</v>
      </c>
      <c r="AC57">
        <v>1</v>
      </c>
      <c r="AD57">
        <v>2500</v>
      </c>
      <c r="AE57">
        <v>2000</v>
      </c>
      <c r="AF57" t="s">
        <v>1351</v>
      </c>
      <c r="AH57" t="s">
        <v>1314</v>
      </c>
      <c r="AJ57" t="s">
        <v>1315</v>
      </c>
      <c r="AL57" t="s">
        <v>1316</v>
      </c>
      <c r="BS57" t="s">
        <v>1307</v>
      </c>
      <c r="CE57" t="s">
        <v>1737</v>
      </c>
      <c r="CF57" t="s">
        <v>1309</v>
      </c>
      <c r="CG57" t="s">
        <v>1309</v>
      </c>
      <c r="CH57" t="s">
        <v>1309</v>
      </c>
      <c r="CI57" t="s">
        <v>1310</v>
      </c>
      <c r="CJ57" t="s">
        <v>1310</v>
      </c>
      <c r="CK57" t="s">
        <v>1309</v>
      </c>
      <c r="CL57" t="s">
        <v>1310</v>
      </c>
      <c r="CM57" t="s">
        <v>1309</v>
      </c>
      <c r="CN57" t="s">
        <v>1310</v>
      </c>
      <c r="CO57" t="s">
        <v>1310</v>
      </c>
      <c r="CP57" t="s">
        <v>1309</v>
      </c>
      <c r="CQ57" t="s">
        <v>1309</v>
      </c>
      <c r="CR57" t="s">
        <v>1309</v>
      </c>
      <c r="CT57" t="s">
        <v>4436</v>
      </c>
      <c r="CV57" t="s">
        <v>1308</v>
      </c>
      <c r="CW57" t="s">
        <v>1310</v>
      </c>
      <c r="CX57" t="s">
        <v>1309</v>
      </c>
      <c r="CY57" t="s">
        <v>1309</v>
      </c>
      <c r="CZ57" t="s">
        <v>1309</v>
      </c>
      <c r="DA57" t="s">
        <v>1309</v>
      </c>
      <c r="DB57" t="s">
        <v>1309</v>
      </c>
      <c r="DC57" t="s">
        <v>1309</v>
      </c>
      <c r="DE57" t="s">
        <v>1358</v>
      </c>
      <c r="DF57" t="s">
        <v>1319</v>
      </c>
      <c r="DG57">
        <v>200</v>
      </c>
      <c r="DI57">
        <v>200</v>
      </c>
      <c r="DJ57" t="s">
        <v>1358</v>
      </c>
      <c r="DK57">
        <v>200</v>
      </c>
      <c r="DM57">
        <v>200</v>
      </c>
      <c r="DN57" t="s">
        <v>1320</v>
      </c>
      <c r="DO57" t="s">
        <v>1310</v>
      </c>
      <c r="DP57" t="s">
        <v>1309</v>
      </c>
      <c r="DQ57" t="s">
        <v>1309</v>
      </c>
      <c r="DR57" t="s">
        <v>1309</v>
      </c>
      <c r="DS57" t="s">
        <v>1309</v>
      </c>
      <c r="DT57" t="s">
        <v>1310</v>
      </c>
      <c r="DU57" t="s">
        <v>1309</v>
      </c>
      <c r="DV57" t="s">
        <v>1309</v>
      </c>
      <c r="DW57" t="s">
        <v>1309</v>
      </c>
      <c r="DY57" t="s">
        <v>1696</v>
      </c>
      <c r="DZ57">
        <v>480</v>
      </c>
      <c r="EA57" t="s">
        <v>1386</v>
      </c>
      <c r="EC57" t="s">
        <v>1738</v>
      </c>
      <c r="ED57">
        <v>800</v>
      </c>
      <c r="EE57" t="s">
        <v>1386</v>
      </c>
      <c r="EG57" t="s">
        <v>5356</v>
      </c>
      <c r="EI57" t="s">
        <v>1307</v>
      </c>
      <c r="ET57" t="s">
        <v>1434</v>
      </c>
      <c r="EV57" t="s">
        <v>1319</v>
      </c>
      <c r="EW57" t="s">
        <v>1361</v>
      </c>
      <c r="EX57" t="s">
        <v>1319</v>
      </c>
      <c r="EY57" t="s">
        <v>1307</v>
      </c>
      <c r="EZ57" t="s">
        <v>1319</v>
      </c>
      <c r="FA57" t="s">
        <v>1739</v>
      </c>
      <c r="FB57" t="s">
        <v>1310</v>
      </c>
      <c r="FC57" t="s">
        <v>1310</v>
      </c>
      <c r="FD57" t="s">
        <v>1309</v>
      </c>
      <c r="FE57" t="s">
        <v>1309</v>
      </c>
      <c r="FF57" t="s">
        <v>1309</v>
      </c>
      <c r="FG57" t="s">
        <v>1309</v>
      </c>
      <c r="FH57" t="s">
        <v>1309</v>
      </c>
      <c r="FI57" t="s">
        <v>1310</v>
      </c>
      <c r="FJ57" t="s">
        <v>1309</v>
      </c>
      <c r="FK57" t="s">
        <v>1309</v>
      </c>
      <c r="FL57" t="s">
        <v>1309</v>
      </c>
      <c r="FM57" t="s">
        <v>1310</v>
      </c>
      <c r="FN57" t="s">
        <v>1309</v>
      </c>
      <c r="FO57" t="s">
        <v>1309</v>
      </c>
      <c r="FP57" t="s">
        <v>1309</v>
      </c>
      <c r="FQ57" t="s">
        <v>1309</v>
      </c>
      <c r="FR57" t="s">
        <v>1309</v>
      </c>
      <c r="FT57" t="s">
        <v>1307</v>
      </c>
      <c r="GI57" t="s">
        <v>1324</v>
      </c>
      <c r="GJ57" t="s">
        <v>1324</v>
      </c>
      <c r="GT57" t="s">
        <v>1325</v>
      </c>
      <c r="GU57" t="s">
        <v>1310</v>
      </c>
      <c r="GV57" t="s">
        <v>1309</v>
      </c>
      <c r="GW57" t="s">
        <v>1309</v>
      </c>
      <c r="GX57" t="s">
        <v>1309</v>
      </c>
      <c r="GY57" t="s">
        <v>1309</v>
      </c>
      <c r="GZ57" t="s">
        <v>1309</v>
      </c>
      <c r="HA57" t="s">
        <v>1309</v>
      </c>
      <c r="HB57" t="s">
        <v>1309</v>
      </c>
      <c r="HC57" t="s">
        <v>1309</v>
      </c>
      <c r="HD57" t="s">
        <v>1309</v>
      </c>
      <c r="HE57" t="s">
        <v>1309</v>
      </c>
      <c r="HF57" t="s">
        <v>1309</v>
      </c>
      <c r="HH57" t="s">
        <v>1390</v>
      </c>
      <c r="HI57" t="s">
        <v>1327</v>
      </c>
      <c r="HJ57" t="s">
        <v>1390</v>
      </c>
      <c r="HK57" t="s">
        <v>1327</v>
      </c>
      <c r="HL57" t="s">
        <v>1364</v>
      </c>
      <c r="HM57" t="s">
        <v>1390</v>
      </c>
      <c r="IA57" t="s">
        <v>1319</v>
      </c>
      <c r="IB57" t="s">
        <v>1740</v>
      </c>
      <c r="IC57" t="s">
        <v>1309</v>
      </c>
      <c r="ID57" t="s">
        <v>1310</v>
      </c>
      <c r="IE57" t="s">
        <v>1309</v>
      </c>
      <c r="IF57" t="s">
        <v>1309</v>
      </c>
      <c r="IG57" t="s">
        <v>1310</v>
      </c>
      <c r="IH57" t="s">
        <v>1309</v>
      </c>
      <c r="II57" t="s">
        <v>1310</v>
      </c>
      <c r="IJ57" t="s">
        <v>1310</v>
      </c>
      <c r="IK57" t="s">
        <v>1310</v>
      </c>
      <c r="IL57" t="s">
        <v>1310</v>
      </c>
      <c r="IM57" t="s">
        <v>1309</v>
      </c>
      <c r="IN57" t="s">
        <v>1309</v>
      </c>
      <c r="IO57" t="s">
        <v>1309</v>
      </c>
      <c r="IQ57" t="s">
        <v>1330</v>
      </c>
      <c r="IS57" t="s">
        <v>1316</v>
      </c>
      <c r="JF57" t="s">
        <v>1316</v>
      </c>
      <c r="JG57" t="s">
        <v>1332</v>
      </c>
      <c r="JH57" t="s">
        <v>1309</v>
      </c>
      <c r="JI57" t="s">
        <v>1309</v>
      </c>
      <c r="JJ57" t="s">
        <v>1309</v>
      </c>
      <c r="JK57" t="s">
        <v>1309</v>
      </c>
      <c r="JL57" t="s">
        <v>1310</v>
      </c>
      <c r="JM57" t="s">
        <v>1309</v>
      </c>
      <c r="JN57" t="s">
        <v>1309</v>
      </c>
      <c r="JO57" t="s">
        <v>1309</v>
      </c>
      <c r="JQ57" s="92" t="s">
        <v>1366</v>
      </c>
      <c r="JR57" s="92" t="s">
        <v>1741</v>
      </c>
      <c r="JS57" s="92">
        <v>66</v>
      </c>
      <c r="JT57" s="92" t="s">
        <v>1319</v>
      </c>
      <c r="JU57" s="92" t="s">
        <v>1335</v>
      </c>
      <c r="JV57" s="92" t="s">
        <v>1368</v>
      </c>
      <c r="JW57" s="92" t="s">
        <v>1296</v>
      </c>
      <c r="JX57" s="92" t="s">
        <v>70</v>
      </c>
      <c r="JY57" s="92" t="s">
        <v>5549</v>
      </c>
      <c r="JZ57" s="92" t="s">
        <v>1369</v>
      </c>
      <c r="KA57" s="92" t="s">
        <v>4844</v>
      </c>
      <c r="KB57" s="92" t="s">
        <v>1476</v>
      </c>
      <c r="KC57" s="92" t="s">
        <v>109</v>
      </c>
      <c r="KD57" s="92" t="s">
        <v>4844</v>
      </c>
      <c r="KE57" s="92" t="s">
        <v>5561</v>
      </c>
      <c r="KF57" s="92">
        <v>400</v>
      </c>
      <c r="KG57" s="92" t="s">
        <v>4438</v>
      </c>
      <c r="KH57" s="92" t="s">
        <v>192</v>
      </c>
      <c r="KI57" s="92" t="s">
        <v>109</v>
      </c>
      <c r="KJ57" s="92" t="s">
        <v>192</v>
      </c>
      <c r="KK57" s="92" t="s">
        <v>109</v>
      </c>
      <c r="KL57" s="92" t="s">
        <v>1373</v>
      </c>
      <c r="KM57" s="92">
        <v>400</v>
      </c>
      <c r="KN57" s="92" t="s">
        <v>4438</v>
      </c>
      <c r="KO57" s="92" t="s">
        <v>1373</v>
      </c>
      <c r="KP57" s="92" t="s">
        <v>1401</v>
      </c>
      <c r="KQ57" s="92" t="s">
        <v>192</v>
      </c>
      <c r="KR57" s="92"/>
      <c r="KS57" s="92" t="s">
        <v>1343</v>
      </c>
      <c r="KT57" s="92" t="s">
        <v>1402</v>
      </c>
      <c r="KU57" s="92"/>
      <c r="KV57" s="92" t="s">
        <v>1441</v>
      </c>
      <c r="KW57" s="92" t="s">
        <v>1402</v>
      </c>
      <c r="KX57" s="92" t="s">
        <v>1346</v>
      </c>
      <c r="KY57" s="92" t="s">
        <v>1347</v>
      </c>
      <c r="KZ57" s="92" t="s">
        <v>5795</v>
      </c>
      <c r="LA57" s="92" t="s">
        <v>109</v>
      </c>
      <c r="LB57" s="92" t="s">
        <v>109</v>
      </c>
      <c r="LC57" s="92" t="s">
        <v>4438</v>
      </c>
      <c r="LD57" s="92" t="s">
        <v>4438</v>
      </c>
      <c r="LE57" s="92" t="s">
        <v>109</v>
      </c>
      <c r="LF57" s="92" t="s">
        <v>109</v>
      </c>
    </row>
    <row r="58" spans="1:318" x14ac:dyDescent="0.25">
      <c r="A58" t="s">
        <v>1742</v>
      </c>
      <c r="B58" t="s">
        <v>1743</v>
      </c>
      <c r="C58" t="s">
        <v>1304</v>
      </c>
      <c r="D58" t="s">
        <v>1305</v>
      </c>
      <c r="E58" t="s">
        <v>1306</v>
      </c>
      <c r="G58" t="s">
        <v>1307</v>
      </c>
      <c r="H58">
        <v>3</v>
      </c>
      <c r="I58" t="s">
        <v>1307</v>
      </c>
      <c r="J58" t="s">
        <v>1406</v>
      </c>
      <c r="K58" t="s">
        <v>1309</v>
      </c>
      <c r="L58" t="s">
        <v>1310</v>
      </c>
      <c r="M58" t="s">
        <v>1309</v>
      </c>
      <c r="N58" t="s">
        <v>1309</v>
      </c>
      <c r="O58" t="s">
        <v>1309</v>
      </c>
      <c r="P58" t="s">
        <v>1309</v>
      </c>
      <c r="Q58" t="s">
        <v>1309</v>
      </c>
      <c r="R58" t="s">
        <v>1309</v>
      </c>
      <c r="S58">
        <v>1</v>
      </c>
      <c r="U58" t="s">
        <v>1312</v>
      </c>
      <c r="V58" t="s">
        <v>1312</v>
      </c>
      <c r="W58" t="s">
        <v>1312</v>
      </c>
      <c r="X58" t="s">
        <v>1312</v>
      </c>
      <c r="Y58" t="s">
        <v>1312</v>
      </c>
      <c r="Z58" t="s">
        <v>1312</v>
      </c>
      <c r="AC58">
        <v>1</v>
      </c>
      <c r="AD58">
        <v>9000</v>
      </c>
      <c r="AE58">
        <v>5000</v>
      </c>
      <c r="AF58" t="s">
        <v>1351</v>
      </c>
      <c r="AH58" t="s">
        <v>1383</v>
      </c>
      <c r="AJ58" t="s">
        <v>1353</v>
      </c>
      <c r="AL58" t="s">
        <v>1316</v>
      </c>
      <c r="BA58" t="s">
        <v>1316</v>
      </c>
      <c r="BS58" t="s">
        <v>1307</v>
      </c>
      <c r="CE58" t="s">
        <v>1744</v>
      </c>
      <c r="CF58" t="s">
        <v>1309</v>
      </c>
      <c r="CG58" t="s">
        <v>1309</v>
      </c>
      <c r="CH58" t="s">
        <v>1309</v>
      </c>
      <c r="CI58" t="s">
        <v>1309</v>
      </c>
      <c r="CJ58" t="s">
        <v>1310</v>
      </c>
      <c r="CK58" t="s">
        <v>1309</v>
      </c>
      <c r="CL58" t="s">
        <v>1309</v>
      </c>
      <c r="CM58" t="s">
        <v>1309</v>
      </c>
      <c r="CN58" t="s">
        <v>1310</v>
      </c>
      <c r="CO58" t="s">
        <v>1310</v>
      </c>
      <c r="CP58" t="s">
        <v>1309</v>
      </c>
      <c r="CQ58" t="s">
        <v>1309</v>
      </c>
      <c r="CR58" t="s">
        <v>1309</v>
      </c>
      <c r="CT58" t="s">
        <v>4436</v>
      </c>
      <c r="CV58" t="s">
        <v>1308</v>
      </c>
      <c r="CW58" t="s">
        <v>1310</v>
      </c>
      <c r="CX58" t="s">
        <v>1309</v>
      </c>
      <c r="CY58" t="s">
        <v>1309</v>
      </c>
      <c r="CZ58" t="s">
        <v>1309</v>
      </c>
      <c r="DA58" t="s">
        <v>1309</v>
      </c>
      <c r="DB58" t="s">
        <v>1309</v>
      </c>
      <c r="DC58" t="s">
        <v>1309</v>
      </c>
      <c r="DE58" t="s">
        <v>1358</v>
      </c>
      <c r="DF58" t="s">
        <v>1319</v>
      </c>
      <c r="DG58">
        <v>300</v>
      </c>
      <c r="DH58">
        <v>2500</v>
      </c>
      <c r="DI58">
        <v>300</v>
      </c>
      <c r="DJ58" t="s">
        <v>1358</v>
      </c>
      <c r="DK58">
        <v>300</v>
      </c>
      <c r="DL58">
        <v>3000</v>
      </c>
      <c r="DM58">
        <v>350</v>
      </c>
      <c r="DN58" t="s">
        <v>1320</v>
      </c>
      <c r="DO58" t="s">
        <v>1310</v>
      </c>
      <c r="DP58" t="s">
        <v>1309</v>
      </c>
      <c r="DQ58" t="s">
        <v>1309</v>
      </c>
      <c r="DR58" t="s">
        <v>1309</v>
      </c>
      <c r="DS58" t="s">
        <v>1309</v>
      </c>
      <c r="DT58" t="s">
        <v>1310</v>
      </c>
      <c r="DU58" t="s">
        <v>1309</v>
      </c>
      <c r="DV58" t="s">
        <v>1309</v>
      </c>
      <c r="DW58" t="s">
        <v>1309</v>
      </c>
      <c r="DY58" t="s">
        <v>1490</v>
      </c>
      <c r="DZ58">
        <v>300</v>
      </c>
      <c r="EA58" t="s">
        <v>1386</v>
      </c>
      <c r="EC58" t="s">
        <v>1387</v>
      </c>
      <c r="ED58">
        <v>500</v>
      </c>
      <c r="EE58" t="s">
        <v>1386</v>
      </c>
      <c r="EG58" t="s">
        <v>5356</v>
      </c>
      <c r="EI58" t="s">
        <v>1307</v>
      </c>
      <c r="ET58" t="s">
        <v>1544</v>
      </c>
      <c r="EV58" t="s">
        <v>1319</v>
      </c>
      <c r="EW58" t="s">
        <v>1529</v>
      </c>
      <c r="EX58" t="s">
        <v>1319</v>
      </c>
      <c r="EY58" t="s">
        <v>1319</v>
      </c>
      <c r="EZ58" t="s">
        <v>1319</v>
      </c>
      <c r="FA58" t="s">
        <v>1745</v>
      </c>
      <c r="FB58" t="s">
        <v>1310</v>
      </c>
      <c r="FC58" t="s">
        <v>1310</v>
      </c>
      <c r="FD58" t="s">
        <v>1309</v>
      </c>
      <c r="FE58" t="s">
        <v>1309</v>
      </c>
      <c r="FF58" t="s">
        <v>1310</v>
      </c>
      <c r="FG58" t="s">
        <v>1309</v>
      </c>
      <c r="FH58" t="s">
        <v>1310</v>
      </c>
      <c r="FI58" t="s">
        <v>1310</v>
      </c>
      <c r="FJ58" t="s">
        <v>1309</v>
      </c>
      <c r="FK58" t="s">
        <v>1309</v>
      </c>
      <c r="FL58" t="s">
        <v>1309</v>
      </c>
      <c r="FM58" t="s">
        <v>1309</v>
      </c>
      <c r="FN58" t="s">
        <v>1310</v>
      </c>
      <c r="FO58" t="s">
        <v>1310</v>
      </c>
      <c r="FP58" t="s">
        <v>1309</v>
      </c>
      <c r="FQ58" t="s">
        <v>1309</v>
      </c>
      <c r="FR58" t="s">
        <v>1309</v>
      </c>
      <c r="FT58" t="s">
        <v>1307</v>
      </c>
      <c r="GI58" t="s">
        <v>1448</v>
      </c>
      <c r="GJ58" t="s">
        <v>1448</v>
      </c>
      <c r="GT58" t="s">
        <v>1325</v>
      </c>
      <c r="GU58" t="s">
        <v>1310</v>
      </c>
      <c r="GV58" t="s">
        <v>1309</v>
      </c>
      <c r="GW58" t="s">
        <v>1309</v>
      </c>
      <c r="GX58" t="s">
        <v>1309</v>
      </c>
      <c r="GY58" t="s">
        <v>1309</v>
      </c>
      <c r="GZ58" t="s">
        <v>1309</v>
      </c>
      <c r="HA58" t="s">
        <v>1309</v>
      </c>
      <c r="HB58" t="s">
        <v>1309</v>
      </c>
      <c r="HC58" t="s">
        <v>1309</v>
      </c>
      <c r="HD58" t="s">
        <v>1309</v>
      </c>
      <c r="HE58" t="s">
        <v>1309</v>
      </c>
      <c r="HF58" t="s">
        <v>1309</v>
      </c>
      <c r="HH58" t="s">
        <v>1390</v>
      </c>
      <c r="HI58" t="s">
        <v>1390</v>
      </c>
      <c r="HJ58" t="s">
        <v>1390</v>
      </c>
      <c r="HK58" t="s">
        <v>1390</v>
      </c>
      <c r="HL58" t="s">
        <v>1364</v>
      </c>
      <c r="HM58" t="s">
        <v>1390</v>
      </c>
      <c r="IA58" t="s">
        <v>1319</v>
      </c>
      <c r="IB58" t="s">
        <v>1746</v>
      </c>
      <c r="IC58" t="s">
        <v>1310</v>
      </c>
      <c r="ID58" t="s">
        <v>1309</v>
      </c>
      <c r="IE58" t="s">
        <v>1309</v>
      </c>
      <c r="IF58" t="s">
        <v>1309</v>
      </c>
      <c r="IG58" t="s">
        <v>1310</v>
      </c>
      <c r="IH58" t="s">
        <v>1309</v>
      </c>
      <c r="II58" t="s">
        <v>1310</v>
      </c>
      <c r="IJ58" t="s">
        <v>1309</v>
      </c>
      <c r="IK58" t="s">
        <v>1310</v>
      </c>
      <c r="IL58" t="s">
        <v>1309</v>
      </c>
      <c r="IM58" t="s">
        <v>1309</v>
      </c>
      <c r="IN58" t="s">
        <v>1309</v>
      </c>
      <c r="IO58" t="s">
        <v>1309</v>
      </c>
      <c r="IQ58" t="s">
        <v>1330</v>
      </c>
      <c r="IS58" t="s">
        <v>1316</v>
      </c>
      <c r="JF58" t="s">
        <v>1316</v>
      </c>
      <c r="JG58" t="s">
        <v>1747</v>
      </c>
      <c r="JH58" t="s">
        <v>1310</v>
      </c>
      <c r="JI58" t="s">
        <v>1309</v>
      </c>
      <c r="JJ58" t="s">
        <v>1310</v>
      </c>
      <c r="JK58" t="s">
        <v>1310</v>
      </c>
      <c r="JL58" t="s">
        <v>1309</v>
      </c>
      <c r="JM58" t="s">
        <v>1309</v>
      </c>
      <c r="JN58" t="s">
        <v>1309</v>
      </c>
      <c r="JO58" t="s">
        <v>1309</v>
      </c>
      <c r="JQ58" s="92" t="s">
        <v>1366</v>
      </c>
      <c r="JR58" s="92" t="s">
        <v>1741</v>
      </c>
      <c r="JS58" s="92">
        <v>42</v>
      </c>
      <c r="JT58" s="92" t="s">
        <v>1319</v>
      </c>
      <c r="JU58" s="92" t="s">
        <v>1335</v>
      </c>
      <c r="JV58" s="92" t="s">
        <v>1368</v>
      </c>
      <c r="JW58" s="92" t="s">
        <v>1296</v>
      </c>
      <c r="JX58" s="92" t="s">
        <v>70</v>
      </c>
      <c r="JY58" s="92" t="s">
        <v>5549</v>
      </c>
      <c r="JZ58" s="92" t="s">
        <v>1337</v>
      </c>
      <c r="KA58" s="92" t="s">
        <v>4845</v>
      </c>
      <c r="KB58" s="92" t="s">
        <v>1415</v>
      </c>
      <c r="KC58" s="92" t="s">
        <v>109</v>
      </c>
      <c r="KD58" s="92" t="s">
        <v>4844</v>
      </c>
      <c r="KE58" s="92" t="s">
        <v>1424</v>
      </c>
      <c r="KF58" s="92">
        <v>3100</v>
      </c>
      <c r="KG58" s="92" t="s">
        <v>4439</v>
      </c>
      <c r="KH58" s="92" t="s">
        <v>192</v>
      </c>
      <c r="KI58" s="92" t="s">
        <v>192</v>
      </c>
      <c r="KJ58" s="92" t="s">
        <v>192</v>
      </c>
      <c r="KK58" s="92" t="s">
        <v>192</v>
      </c>
      <c r="KL58" s="92" t="s">
        <v>1341</v>
      </c>
      <c r="KM58" s="92">
        <v>3650</v>
      </c>
      <c r="KN58" s="92" t="s">
        <v>4439</v>
      </c>
      <c r="KO58" s="92" t="s">
        <v>1341</v>
      </c>
      <c r="KP58" s="92" t="s">
        <v>1401</v>
      </c>
      <c r="KQ58" s="92" t="s">
        <v>192</v>
      </c>
      <c r="KR58" s="92"/>
      <c r="KS58" s="92" t="s">
        <v>1343</v>
      </c>
      <c r="KT58" s="92" t="s">
        <v>1402</v>
      </c>
      <c r="KU58" s="92"/>
      <c r="KV58" s="92" t="s">
        <v>1345</v>
      </c>
      <c r="KW58" s="92" t="s">
        <v>1402</v>
      </c>
      <c r="KX58" s="92" t="s">
        <v>1346</v>
      </c>
      <c r="KY58" s="92" t="s">
        <v>1347</v>
      </c>
      <c r="KZ58" s="92" t="s">
        <v>5795</v>
      </c>
      <c r="LA58" s="92" t="s">
        <v>109</v>
      </c>
      <c r="LB58" s="92" t="s">
        <v>109</v>
      </c>
      <c r="LC58" s="92" t="s">
        <v>4439</v>
      </c>
      <c r="LD58" s="92" t="s">
        <v>4439</v>
      </c>
      <c r="LE58" s="92" t="s">
        <v>109</v>
      </c>
      <c r="LF58" s="92" t="s">
        <v>109</v>
      </c>
    </row>
    <row r="59" spans="1:318" x14ac:dyDescent="0.25">
      <c r="A59" t="s">
        <v>1748</v>
      </c>
      <c r="B59" t="s">
        <v>1749</v>
      </c>
      <c r="C59" t="s">
        <v>1304</v>
      </c>
      <c r="D59" t="s">
        <v>1305</v>
      </c>
      <c r="E59" t="s">
        <v>1306</v>
      </c>
      <c r="G59" t="s">
        <v>1307</v>
      </c>
      <c r="H59">
        <v>4</v>
      </c>
      <c r="I59" t="s">
        <v>1307</v>
      </c>
      <c r="J59" t="s">
        <v>1406</v>
      </c>
      <c r="K59" t="s">
        <v>1309</v>
      </c>
      <c r="L59" t="s">
        <v>1310</v>
      </c>
      <c r="M59" t="s">
        <v>1309</v>
      </c>
      <c r="N59" t="s">
        <v>1309</v>
      </c>
      <c r="O59" t="s">
        <v>1309</v>
      </c>
      <c r="P59" t="s">
        <v>1309</v>
      </c>
      <c r="Q59" t="s">
        <v>1309</v>
      </c>
      <c r="R59" t="s">
        <v>1309</v>
      </c>
      <c r="S59">
        <v>2</v>
      </c>
      <c r="U59" t="s">
        <v>1312</v>
      </c>
      <c r="V59" t="s">
        <v>1312</v>
      </c>
      <c r="W59" t="s">
        <v>1312</v>
      </c>
      <c r="X59" t="s">
        <v>1312</v>
      </c>
      <c r="Y59" t="s">
        <v>1312</v>
      </c>
      <c r="Z59" t="s">
        <v>1312</v>
      </c>
      <c r="AC59">
        <v>1</v>
      </c>
      <c r="AD59">
        <v>12000</v>
      </c>
      <c r="AE59">
        <v>8000</v>
      </c>
      <c r="AF59" t="s">
        <v>1351</v>
      </c>
      <c r="AH59" t="s">
        <v>1352</v>
      </c>
      <c r="AJ59" t="s">
        <v>1315</v>
      </c>
      <c r="AL59" t="s">
        <v>1316</v>
      </c>
      <c r="BS59" t="s">
        <v>1307</v>
      </c>
      <c r="CE59" t="s">
        <v>1317</v>
      </c>
      <c r="CF59" t="s">
        <v>1309</v>
      </c>
      <c r="CG59" t="s">
        <v>1309</v>
      </c>
      <c r="CH59" t="s">
        <v>1309</v>
      </c>
      <c r="CI59" t="s">
        <v>1309</v>
      </c>
      <c r="CJ59" t="s">
        <v>1309</v>
      </c>
      <c r="CK59" t="s">
        <v>1309</v>
      </c>
      <c r="CL59" t="s">
        <v>1309</v>
      </c>
      <c r="CM59" t="s">
        <v>1309</v>
      </c>
      <c r="CN59" t="s">
        <v>1310</v>
      </c>
      <c r="CO59" t="s">
        <v>1310</v>
      </c>
      <c r="CP59" t="s">
        <v>1309</v>
      </c>
      <c r="CQ59" t="s">
        <v>1309</v>
      </c>
      <c r="CR59" t="s">
        <v>1309</v>
      </c>
      <c r="CT59" t="s">
        <v>4436</v>
      </c>
      <c r="CV59" t="s">
        <v>1308</v>
      </c>
      <c r="CW59" t="s">
        <v>1310</v>
      </c>
      <c r="CX59" t="s">
        <v>1309</v>
      </c>
      <c r="CY59" t="s">
        <v>1309</v>
      </c>
      <c r="CZ59" t="s">
        <v>1309</v>
      </c>
      <c r="DA59" t="s">
        <v>1309</v>
      </c>
      <c r="DB59" t="s">
        <v>1309</v>
      </c>
      <c r="DC59" t="s">
        <v>1309</v>
      </c>
      <c r="DE59" t="s">
        <v>1358</v>
      </c>
      <c r="DF59" t="s">
        <v>1319</v>
      </c>
      <c r="DG59">
        <v>300</v>
      </c>
      <c r="DH59">
        <v>3000</v>
      </c>
      <c r="DI59">
        <v>300</v>
      </c>
      <c r="DJ59" t="s">
        <v>1358</v>
      </c>
      <c r="DK59">
        <v>300</v>
      </c>
      <c r="DL59">
        <v>3500</v>
      </c>
      <c r="DM59">
        <v>300</v>
      </c>
      <c r="DN59" t="s">
        <v>1320</v>
      </c>
      <c r="DO59" t="s">
        <v>1310</v>
      </c>
      <c r="DP59" t="s">
        <v>1309</v>
      </c>
      <c r="DQ59" t="s">
        <v>1309</v>
      </c>
      <c r="DR59" t="s">
        <v>1309</v>
      </c>
      <c r="DS59" t="s">
        <v>1309</v>
      </c>
      <c r="DT59" t="s">
        <v>1310</v>
      </c>
      <c r="DU59" t="s">
        <v>1309</v>
      </c>
      <c r="DV59" t="s">
        <v>1309</v>
      </c>
      <c r="DW59" t="s">
        <v>1309</v>
      </c>
      <c r="DY59" t="s">
        <v>1490</v>
      </c>
      <c r="DZ59">
        <v>300</v>
      </c>
      <c r="EA59" t="s">
        <v>1386</v>
      </c>
      <c r="EC59" t="s">
        <v>1738</v>
      </c>
      <c r="ED59">
        <v>500</v>
      </c>
      <c r="EE59" t="s">
        <v>1386</v>
      </c>
      <c r="EG59" t="s">
        <v>5356</v>
      </c>
      <c r="EI59" t="s">
        <v>1307</v>
      </c>
      <c r="ET59" t="s">
        <v>1307</v>
      </c>
      <c r="EV59" t="s">
        <v>1319</v>
      </c>
      <c r="EW59" t="s">
        <v>1361</v>
      </c>
      <c r="EX59" t="s">
        <v>1319</v>
      </c>
      <c r="EY59" t="s">
        <v>1319</v>
      </c>
      <c r="EZ59" t="s">
        <v>1319</v>
      </c>
      <c r="FA59" t="s">
        <v>1750</v>
      </c>
      <c r="FB59" t="s">
        <v>1309</v>
      </c>
      <c r="FC59" t="s">
        <v>1310</v>
      </c>
      <c r="FD59" t="s">
        <v>1309</v>
      </c>
      <c r="FE59" t="s">
        <v>1309</v>
      </c>
      <c r="FF59" t="s">
        <v>1309</v>
      </c>
      <c r="FG59" t="s">
        <v>1309</v>
      </c>
      <c r="FH59" t="s">
        <v>1310</v>
      </c>
      <c r="FI59" t="s">
        <v>1310</v>
      </c>
      <c r="FJ59" t="s">
        <v>1309</v>
      </c>
      <c r="FK59" t="s">
        <v>1310</v>
      </c>
      <c r="FL59" t="s">
        <v>1309</v>
      </c>
      <c r="FM59" t="s">
        <v>1309</v>
      </c>
      <c r="FN59" t="s">
        <v>1309</v>
      </c>
      <c r="FO59" t="s">
        <v>1310</v>
      </c>
      <c r="FP59" t="s">
        <v>1309</v>
      </c>
      <c r="FQ59" t="s">
        <v>1309</v>
      </c>
      <c r="FR59" t="s">
        <v>1309</v>
      </c>
      <c r="FT59" t="s">
        <v>1307</v>
      </c>
      <c r="GI59" t="s">
        <v>1324</v>
      </c>
      <c r="GJ59" t="s">
        <v>1324</v>
      </c>
      <c r="GT59" t="s">
        <v>1325</v>
      </c>
      <c r="GU59" t="s">
        <v>1310</v>
      </c>
      <c r="GV59" t="s">
        <v>1309</v>
      </c>
      <c r="GW59" t="s">
        <v>1309</v>
      </c>
      <c r="GX59" t="s">
        <v>1309</v>
      </c>
      <c r="GY59" t="s">
        <v>1309</v>
      </c>
      <c r="GZ59" t="s">
        <v>1309</v>
      </c>
      <c r="HA59" t="s">
        <v>1309</v>
      </c>
      <c r="HB59" t="s">
        <v>1309</v>
      </c>
      <c r="HC59" t="s">
        <v>1309</v>
      </c>
      <c r="HD59" t="s">
        <v>1309</v>
      </c>
      <c r="HE59" t="s">
        <v>1309</v>
      </c>
      <c r="HF59" t="s">
        <v>1309</v>
      </c>
      <c r="HH59" t="s">
        <v>1390</v>
      </c>
      <c r="HI59" t="s">
        <v>1308</v>
      </c>
      <c r="HJ59" t="s">
        <v>1390</v>
      </c>
      <c r="HK59" t="s">
        <v>1327</v>
      </c>
      <c r="HL59" t="s">
        <v>1364</v>
      </c>
      <c r="HM59" t="s">
        <v>1390</v>
      </c>
      <c r="IA59" t="s">
        <v>1319</v>
      </c>
      <c r="IB59" t="s">
        <v>1751</v>
      </c>
      <c r="IC59" t="s">
        <v>1310</v>
      </c>
      <c r="ID59" t="s">
        <v>1309</v>
      </c>
      <c r="IE59" t="s">
        <v>1309</v>
      </c>
      <c r="IF59" t="s">
        <v>1309</v>
      </c>
      <c r="IG59" t="s">
        <v>1310</v>
      </c>
      <c r="IH59" t="s">
        <v>1309</v>
      </c>
      <c r="II59" t="s">
        <v>1310</v>
      </c>
      <c r="IJ59" t="s">
        <v>1310</v>
      </c>
      <c r="IK59" t="s">
        <v>1310</v>
      </c>
      <c r="IL59" t="s">
        <v>1309</v>
      </c>
      <c r="IM59" t="s">
        <v>1309</v>
      </c>
      <c r="IN59" t="s">
        <v>1309</v>
      </c>
      <c r="IO59" t="s">
        <v>1309</v>
      </c>
      <c r="IQ59" t="s">
        <v>1330</v>
      </c>
      <c r="IS59" t="s">
        <v>1316</v>
      </c>
      <c r="JF59" t="s">
        <v>1316</v>
      </c>
      <c r="JG59" t="s">
        <v>1752</v>
      </c>
      <c r="JH59" t="s">
        <v>1310</v>
      </c>
      <c r="JI59" t="s">
        <v>1309</v>
      </c>
      <c r="JJ59" t="s">
        <v>1309</v>
      </c>
      <c r="JK59" t="s">
        <v>1310</v>
      </c>
      <c r="JL59" t="s">
        <v>1310</v>
      </c>
      <c r="JM59" t="s">
        <v>1309</v>
      </c>
      <c r="JN59" t="s">
        <v>1309</v>
      </c>
      <c r="JO59" t="s">
        <v>1309</v>
      </c>
      <c r="JQ59" s="92" t="s">
        <v>1366</v>
      </c>
      <c r="JR59" s="92" t="s">
        <v>1741</v>
      </c>
      <c r="JS59" s="92">
        <v>36</v>
      </c>
      <c r="JT59" s="92" t="s">
        <v>1319</v>
      </c>
      <c r="JU59" s="92" t="s">
        <v>1335</v>
      </c>
      <c r="JV59" s="92" t="s">
        <v>1368</v>
      </c>
      <c r="JW59" s="92" t="s">
        <v>1296</v>
      </c>
      <c r="JX59" s="92" t="s">
        <v>70</v>
      </c>
      <c r="JY59" s="92" t="s">
        <v>5549</v>
      </c>
      <c r="JZ59" s="92" t="s">
        <v>1337</v>
      </c>
      <c r="KA59" s="92" t="s">
        <v>4845</v>
      </c>
      <c r="KB59" s="92" t="s">
        <v>1415</v>
      </c>
      <c r="KC59" s="92" t="s">
        <v>109</v>
      </c>
      <c r="KD59" s="92" t="s">
        <v>4844</v>
      </c>
      <c r="KE59" s="92" t="s">
        <v>1371</v>
      </c>
      <c r="KF59" s="92">
        <v>3600</v>
      </c>
      <c r="KG59" s="92" t="s">
        <v>4439</v>
      </c>
      <c r="KH59" s="92" t="s">
        <v>192</v>
      </c>
      <c r="KI59" s="92" t="s">
        <v>192</v>
      </c>
      <c r="KJ59" s="92" t="s">
        <v>192</v>
      </c>
      <c r="KK59" s="92" t="s">
        <v>192</v>
      </c>
      <c r="KL59" s="92" t="s">
        <v>1341</v>
      </c>
      <c r="KM59" s="92">
        <v>4100</v>
      </c>
      <c r="KN59" s="92" t="s">
        <v>4439</v>
      </c>
      <c r="KO59" s="92" t="s">
        <v>1341</v>
      </c>
      <c r="KP59" s="92" t="s">
        <v>1401</v>
      </c>
      <c r="KQ59" s="92" t="s">
        <v>192</v>
      </c>
      <c r="KR59" s="92"/>
      <c r="KS59" s="92" t="s">
        <v>1343</v>
      </c>
      <c r="KT59" s="92" t="s">
        <v>1402</v>
      </c>
      <c r="KU59" s="92"/>
      <c r="KV59" s="92" t="s">
        <v>1345</v>
      </c>
      <c r="KW59" s="92" t="s">
        <v>1402</v>
      </c>
      <c r="KX59" s="92" t="s">
        <v>1346</v>
      </c>
      <c r="KY59" s="92" t="s">
        <v>1347</v>
      </c>
      <c r="KZ59" s="92" t="s">
        <v>5795</v>
      </c>
      <c r="LA59" s="92" t="s">
        <v>109</v>
      </c>
      <c r="LB59" s="92" t="s">
        <v>109</v>
      </c>
      <c r="LC59" s="92" t="s">
        <v>4439</v>
      </c>
      <c r="LD59" s="92" t="s">
        <v>4439</v>
      </c>
      <c r="LE59" s="92" t="s">
        <v>109</v>
      </c>
      <c r="LF59" s="92" t="s">
        <v>192</v>
      </c>
    </row>
    <row r="60" spans="1:318" x14ac:dyDescent="0.25">
      <c r="A60" t="s">
        <v>1753</v>
      </c>
      <c r="B60" t="s">
        <v>1754</v>
      </c>
      <c r="C60" t="s">
        <v>1304</v>
      </c>
      <c r="D60" t="s">
        <v>1305</v>
      </c>
      <c r="E60" t="s">
        <v>1306</v>
      </c>
      <c r="G60" t="s">
        <v>1307</v>
      </c>
      <c r="H60">
        <v>5</v>
      </c>
      <c r="I60" t="s">
        <v>1307</v>
      </c>
      <c r="J60" t="s">
        <v>1406</v>
      </c>
      <c r="K60" t="s">
        <v>1309</v>
      </c>
      <c r="L60" t="s">
        <v>1310</v>
      </c>
      <c r="M60" t="s">
        <v>1309</v>
      </c>
      <c r="N60" t="s">
        <v>1309</v>
      </c>
      <c r="O60" t="s">
        <v>1309</v>
      </c>
      <c r="P60" t="s">
        <v>1309</v>
      </c>
      <c r="Q60" t="s">
        <v>1309</v>
      </c>
      <c r="R60" t="s">
        <v>1309</v>
      </c>
      <c r="S60">
        <v>3</v>
      </c>
      <c r="U60" t="s">
        <v>1312</v>
      </c>
      <c r="V60" t="s">
        <v>1312</v>
      </c>
      <c r="W60" t="s">
        <v>1312</v>
      </c>
      <c r="X60" t="s">
        <v>1312</v>
      </c>
      <c r="Y60" t="s">
        <v>1312</v>
      </c>
      <c r="Z60" t="s">
        <v>1312</v>
      </c>
      <c r="AC60">
        <v>1</v>
      </c>
      <c r="AD60">
        <v>3000</v>
      </c>
      <c r="AE60">
        <v>500</v>
      </c>
      <c r="AF60" t="s">
        <v>1351</v>
      </c>
      <c r="AH60" t="s">
        <v>1314</v>
      </c>
      <c r="AJ60" t="s">
        <v>1353</v>
      </c>
      <c r="AL60" t="s">
        <v>1316</v>
      </c>
      <c r="BA60" t="s">
        <v>1316</v>
      </c>
      <c r="BS60" t="s">
        <v>1307</v>
      </c>
      <c r="CE60" t="s">
        <v>1355</v>
      </c>
      <c r="CF60" t="s">
        <v>1309</v>
      </c>
      <c r="CG60" t="s">
        <v>1309</v>
      </c>
      <c r="CH60" t="s">
        <v>1309</v>
      </c>
      <c r="CI60" t="s">
        <v>1309</v>
      </c>
      <c r="CJ60" t="s">
        <v>1309</v>
      </c>
      <c r="CK60" t="s">
        <v>1309</v>
      </c>
      <c r="CL60" t="s">
        <v>1309</v>
      </c>
      <c r="CM60" t="s">
        <v>1309</v>
      </c>
      <c r="CN60" t="s">
        <v>1310</v>
      </c>
      <c r="CO60" t="s">
        <v>1309</v>
      </c>
      <c r="CP60" t="s">
        <v>1309</v>
      </c>
      <c r="CQ60" t="s">
        <v>1309</v>
      </c>
      <c r="CR60" t="s">
        <v>1309</v>
      </c>
      <c r="CT60" t="s">
        <v>4436</v>
      </c>
      <c r="CV60" t="s">
        <v>1308</v>
      </c>
      <c r="CW60" t="s">
        <v>1310</v>
      </c>
      <c r="CX60" t="s">
        <v>1309</v>
      </c>
      <c r="CY60" t="s">
        <v>1309</v>
      </c>
      <c r="CZ60" t="s">
        <v>1309</v>
      </c>
      <c r="DA60" t="s">
        <v>1309</v>
      </c>
      <c r="DB60" t="s">
        <v>1309</v>
      </c>
      <c r="DC60" t="s">
        <v>1309</v>
      </c>
      <c r="DE60" t="s">
        <v>1318</v>
      </c>
      <c r="DF60" t="s">
        <v>1307</v>
      </c>
      <c r="DI60">
        <v>400</v>
      </c>
      <c r="DJ60" t="s">
        <v>1318</v>
      </c>
      <c r="DM60">
        <v>500</v>
      </c>
      <c r="DN60" t="s">
        <v>1320</v>
      </c>
      <c r="DO60" t="s">
        <v>1310</v>
      </c>
      <c r="DP60" t="s">
        <v>1309</v>
      </c>
      <c r="DQ60" t="s">
        <v>1309</v>
      </c>
      <c r="DR60" t="s">
        <v>1309</v>
      </c>
      <c r="DS60" t="s">
        <v>1309</v>
      </c>
      <c r="DT60" t="s">
        <v>1310</v>
      </c>
      <c r="DU60" t="s">
        <v>1309</v>
      </c>
      <c r="DV60" t="s">
        <v>1309</v>
      </c>
      <c r="DW60" t="s">
        <v>1309</v>
      </c>
      <c r="DY60" t="s">
        <v>1456</v>
      </c>
      <c r="DZ60">
        <v>800</v>
      </c>
      <c r="EA60" t="s">
        <v>1319</v>
      </c>
      <c r="EC60" t="s">
        <v>1457</v>
      </c>
      <c r="ED60">
        <v>800</v>
      </c>
      <c r="EE60" t="s">
        <v>1319</v>
      </c>
      <c r="EG60" t="s">
        <v>5357</v>
      </c>
      <c r="ET60" t="s">
        <v>1307</v>
      </c>
      <c r="EV60" t="s">
        <v>1307</v>
      </c>
      <c r="EX60" t="s">
        <v>1319</v>
      </c>
      <c r="EZ60" t="s">
        <v>1307</v>
      </c>
      <c r="FA60" t="s">
        <v>1697</v>
      </c>
      <c r="FB60" t="s">
        <v>1309</v>
      </c>
      <c r="FC60" t="s">
        <v>1309</v>
      </c>
      <c r="FD60" t="s">
        <v>1309</v>
      </c>
      <c r="FE60" t="s">
        <v>1309</v>
      </c>
      <c r="FF60" t="s">
        <v>1309</v>
      </c>
      <c r="FG60" t="s">
        <v>1309</v>
      </c>
      <c r="FH60" t="s">
        <v>1309</v>
      </c>
      <c r="FI60" t="s">
        <v>1310</v>
      </c>
      <c r="FJ60" t="s">
        <v>1309</v>
      </c>
      <c r="FK60" t="s">
        <v>1309</v>
      </c>
      <c r="FL60" t="s">
        <v>1309</v>
      </c>
      <c r="FM60" t="s">
        <v>1309</v>
      </c>
      <c r="FN60" t="s">
        <v>1309</v>
      </c>
      <c r="FO60" t="s">
        <v>1309</v>
      </c>
      <c r="FP60" t="s">
        <v>1309</v>
      </c>
      <c r="FQ60" t="s">
        <v>1309</v>
      </c>
      <c r="FR60" t="s">
        <v>1309</v>
      </c>
      <c r="FT60" t="s">
        <v>1307</v>
      </c>
      <c r="GI60" t="s">
        <v>1324</v>
      </c>
      <c r="GJ60" t="s">
        <v>1324</v>
      </c>
      <c r="GT60" t="s">
        <v>1325</v>
      </c>
      <c r="GU60" t="s">
        <v>1310</v>
      </c>
      <c r="GV60" t="s">
        <v>1309</v>
      </c>
      <c r="GW60" t="s">
        <v>1309</v>
      </c>
      <c r="GX60" t="s">
        <v>1309</v>
      </c>
      <c r="GY60" t="s">
        <v>1309</v>
      </c>
      <c r="GZ60" t="s">
        <v>1309</v>
      </c>
      <c r="HA60" t="s">
        <v>1309</v>
      </c>
      <c r="HB60" t="s">
        <v>1309</v>
      </c>
      <c r="HC60" t="s">
        <v>1309</v>
      </c>
      <c r="HD60" t="s">
        <v>1309</v>
      </c>
      <c r="HE60" t="s">
        <v>1309</v>
      </c>
      <c r="HF60" t="s">
        <v>1309</v>
      </c>
      <c r="HH60" t="s">
        <v>1390</v>
      </c>
      <c r="HI60" t="s">
        <v>1390</v>
      </c>
      <c r="HJ60" t="s">
        <v>1390</v>
      </c>
      <c r="HK60" t="s">
        <v>1327</v>
      </c>
      <c r="HL60" t="s">
        <v>1328</v>
      </c>
      <c r="HM60" t="s">
        <v>1390</v>
      </c>
      <c r="HN60" t="s">
        <v>1414</v>
      </c>
      <c r="HO60" t="s">
        <v>1309</v>
      </c>
      <c r="HP60" t="s">
        <v>1309</v>
      </c>
      <c r="HQ60" t="s">
        <v>1309</v>
      </c>
      <c r="HR60" t="s">
        <v>1309</v>
      </c>
      <c r="HS60" t="s">
        <v>1309</v>
      </c>
      <c r="HT60" t="s">
        <v>1309</v>
      </c>
      <c r="HU60" t="s">
        <v>1309</v>
      </c>
      <c r="HV60" t="s">
        <v>1309</v>
      </c>
      <c r="HW60" t="s">
        <v>1309</v>
      </c>
      <c r="HX60" t="s">
        <v>1310</v>
      </c>
      <c r="HY60" t="s">
        <v>1309</v>
      </c>
      <c r="IA60" t="s">
        <v>1307</v>
      </c>
      <c r="IQ60" t="s">
        <v>1330</v>
      </c>
      <c r="IS60" t="s">
        <v>1316</v>
      </c>
      <c r="JF60" t="s">
        <v>1331</v>
      </c>
      <c r="JG60" t="s">
        <v>1755</v>
      </c>
      <c r="JH60" t="s">
        <v>1309</v>
      </c>
      <c r="JI60" t="s">
        <v>1309</v>
      </c>
      <c r="JJ60" t="s">
        <v>1309</v>
      </c>
      <c r="JK60" t="s">
        <v>1309</v>
      </c>
      <c r="JL60" t="s">
        <v>1310</v>
      </c>
      <c r="JM60" t="s">
        <v>1310</v>
      </c>
      <c r="JN60" t="s">
        <v>1309</v>
      </c>
      <c r="JO60" t="s">
        <v>1309</v>
      </c>
      <c r="JP60" t="s">
        <v>1756</v>
      </c>
      <c r="JQ60" s="92" t="s">
        <v>1757</v>
      </c>
      <c r="JR60" s="92" t="s">
        <v>1758</v>
      </c>
      <c r="JS60" s="92">
        <v>37</v>
      </c>
      <c r="JT60" s="92" t="s">
        <v>1319</v>
      </c>
      <c r="JU60" s="92" t="s">
        <v>1335</v>
      </c>
      <c r="JV60" s="92" t="s">
        <v>1526</v>
      </c>
      <c r="JW60" s="92" t="s">
        <v>1296</v>
      </c>
      <c r="JX60" s="92" t="s">
        <v>70</v>
      </c>
      <c r="JY60" s="92" t="s">
        <v>5549</v>
      </c>
      <c r="JZ60" s="92" t="s">
        <v>1337</v>
      </c>
      <c r="KA60" s="92" t="s">
        <v>4846</v>
      </c>
      <c r="KB60" s="92" t="s">
        <v>1415</v>
      </c>
      <c r="KC60" s="92" t="s">
        <v>109</v>
      </c>
      <c r="KD60" s="92" t="s">
        <v>4844</v>
      </c>
      <c r="KE60" s="92" t="s">
        <v>5560</v>
      </c>
      <c r="KF60" s="92">
        <v>400</v>
      </c>
      <c r="KG60" s="92" t="s">
        <v>4438</v>
      </c>
      <c r="KH60" s="92" t="s">
        <v>109</v>
      </c>
      <c r="KI60" s="92" t="s">
        <v>109</v>
      </c>
      <c r="KJ60" s="92" t="s">
        <v>109</v>
      </c>
      <c r="KK60" s="92" t="s">
        <v>109</v>
      </c>
      <c r="KL60" s="92" t="s">
        <v>1373</v>
      </c>
      <c r="KM60" s="92">
        <v>500</v>
      </c>
      <c r="KN60" s="92" t="s">
        <v>4438</v>
      </c>
      <c r="KO60" s="92" t="s">
        <v>1373</v>
      </c>
      <c r="KP60" s="92" t="s">
        <v>1401</v>
      </c>
      <c r="KQ60" s="92" t="s">
        <v>109</v>
      </c>
      <c r="KR60" s="92"/>
      <c r="KS60" s="92" t="s">
        <v>1466</v>
      </c>
      <c r="KT60" s="92" t="s">
        <v>1344</v>
      </c>
      <c r="KU60" s="92"/>
      <c r="KV60" s="92" t="s">
        <v>1441</v>
      </c>
      <c r="KW60" s="92" t="s">
        <v>1344</v>
      </c>
      <c r="KX60" s="92" t="s">
        <v>1376</v>
      </c>
      <c r="KY60" s="92" t="s">
        <v>1377</v>
      </c>
      <c r="KZ60" s="92" t="s">
        <v>5795</v>
      </c>
      <c r="LA60" s="92" t="s">
        <v>109</v>
      </c>
      <c r="LB60" s="92" t="s">
        <v>109</v>
      </c>
      <c r="LC60" s="92" t="s">
        <v>4439</v>
      </c>
      <c r="LD60" s="92" t="s">
        <v>4439</v>
      </c>
      <c r="LE60" s="92" t="s">
        <v>109</v>
      </c>
      <c r="LF60" s="92" t="s">
        <v>109</v>
      </c>
    </row>
    <row r="61" spans="1:318" x14ac:dyDescent="0.25">
      <c r="A61" t="s">
        <v>1759</v>
      </c>
      <c r="B61" t="s">
        <v>1760</v>
      </c>
      <c r="C61" t="s">
        <v>1304</v>
      </c>
      <c r="D61" t="s">
        <v>1305</v>
      </c>
      <c r="E61" t="s">
        <v>1381</v>
      </c>
      <c r="G61" t="s">
        <v>1319</v>
      </c>
      <c r="H61">
        <v>2</v>
      </c>
      <c r="I61" t="s">
        <v>1358</v>
      </c>
      <c r="J61" t="s">
        <v>1382</v>
      </c>
      <c r="K61" t="s">
        <v>1309</v>
      </c>
      <c r="L61" t="s">
        <v>1310</v>
      </c>
      <c r="M61" t="s">
        <v>1309</v>
      </c>
      <c r="N61" t="s">
        <v>1309</v>
      </c>
      <c r="O61" t="s">
        <v>1309</v>
      </c>
      <c r="P61" t="s">
        <v>1310</v>
      </c>
      <c r="Q61" t="s">
        <v>1309</v>
      </c>
      <c r="R61" t="s">
        <v>1309</v>
      </c>
      <c r="S61">
        <v>1</v>
      </c>
      <c r="U61" t="s">
        <v>1312</v>
      </c>
      <c r="V61" t="s">
        <v>1311</v>
      </c>
      <c r="W61" t="s">
        <v>1312</v>
      </c>
      <c r="X61" t="s">
        <v>1312</v>
      </c>
      <c r="Y61" t="s">
        <v>1312</v>
      </c>
      <c r="Z61" t="s">
        <v>1312</v>
      </c>
      <c r="AC61">
        <v>0</v>
      </c>
      <c r="AE61">
        <v>16500</v>
      </c>
      <c r="AF61" t="s">
        <v>1313</v>
      </c>
      <c r="AH61" t="s">
        <v>1383</v>
      </c>
      <c r="AJ61" t="s">
        <v>1315</v>
      </c>
      <c r="AL61" t="s">
        <v>1354</v>
      </c>
      <c r="BS61" t="s">
        <v>1307</v>
      </c>
      <c r="CE61" t="s">
        <v>1761</v>
      </c>
      <c r="CF61" t="s">
        <v>1309</v>
      </c>
      <c r="CG61" t="s">
        <v>1309</v>
      </c>
      <c r="CH61" t="s">
        <v>1309</v>
      </c>
      <c r="CI61" t="s">
        <v>1309</v>
      </c>
      <c r="CJ61" t="s">
        <v>1310</v>
      </c>
      <c r="CK61" t="s">
        <v>1309</v>
      </c>
      <c r="CL61" t="s">
        <v>1309</v>
      </c>
      <c r="CM61" t="s">
        <v>1310</v>
      </c>
      <c r="CN61" t="s">
        <v>1310</v>
      </c>
      <c r="CO61" t="s">
        <v>1310</v>
      </c>
      <c r="CP61" t="s">
        <v>1309</v>
      </c>
      <c r="CQ61" t="s">
        <v>1309</v>
      </c>
      <c r="CR61" t="s">
        <v>1309</v>
      </c>
      <c r="CT61" t="s">
        <v>4435</v>
      </c>
      <c r="CV61" t="s">
        <v>1308</v>
      </c>
      <c r="CW61" t="s">
        <v>1310</v>
      </c>
      <c r="CX61" t="s">
        <v>1309</v>
      </c>
      <c r="CY61" t="s">
        <v>1309</v>
      </c>
      <c r="CZ61" t="s">
        <v>1309</v>
      </c>
      <c r="DA61" t="s">
        <v>1309</v>
      </c>
      <c r="DB61" t="s">
        <v>1309</v>
      </c>
      <c r="DC61" t="s">
        <v>1309</v>
      </c>
      <c r="DE61" t="s">
        <v>1358</v>
      </c>
      <c r="DF61" t="s">
        <v>1307</v>
      </c>
      <c r="DH61">
        <v>2400</v>
      </c>
      <c r="DI61">
        <v>450</v>
      </c>
      <c r="DJ61" t="s">
        <v>1358</v>
      </c>
      <c r="DL61">
        <v>3800</v>
      </c>
      <c r="DM61">
        <v>800</v>
      </c>
      <c r="DN61" t="s">
        <v>1521</v>
      </c>
      <c r="DO61" t="s">
        <v>1309</v>
      </c>
      <c r="DP61" t="s">
        <v>1310</v>
      </c>
      <c r="DQ61" t="s">
        <v>1309</v>
      </c>
      <c r="DR61" t="s">
        <v>1309</v>
      </c>
      <c r="DS61" t="s">
        <v>1309</v>
      </c>
      <c r="DT61" t="s">
        <v>1310</v>
      </c>
      <c r="DU61" t="s">
        <v>1309</v>
      </c>
      <c r="DV61" t="s">
        <v>1309</v>
      </c>
      <c r="DW61" t="s">
        <v>1309</v>
      </c>
      <c r="DY61" t="s">
        <v>1446</v>
      </c>
      <c r="DZ61">
        <v>360</v>
      </c>
      <c r="EA61" t="s">
        <v>1386</v>
      </c>
      <c r="EC61" t="s">
        <v>1387</v>
      </c>
      <c r="ED61">
        <v>500</v>
      </c>
      <c r="EE61" t="s">
        <v>1386</v>
      </c>
      <c r="EG61" t="s">
        <v>5356</v>
      </c>
      <c r="EI61" t="s">
        <v>1307</v>
      </c>
      <c r="ET61" t="s">
        <v>1307</v>
      </c>
      <c r="EV61" t="s">
        <v>1319</v>
      </c>
      <c r="EW61" t="s">
        <v>1409</v>
      </c>
      <c r="EX61" t="s">
        <v>1319</v>
      </c>
      <c r="FA61" t="s">
        <v>1323</v>
      </c>
      <c r="FB61" t="s">
        <v>1310</v>
      </c>
      <c r="FC61" t="s">
        <v>1309</v>
      </c>
      <c r="FD61" t="s">
        <v>1309</v>
      </c>
      <c r="FE61" t="s">
        <v>1309</v>
      </c>
      <c r="FF61" t="s">
        <v>1309</v>
      </c>
      <c r="FG61" t="s">
        <v>1309</v>
      </c>
      <c r="FH61" t="s">
        <v>1309</v>
      </c>
      <c r="FI61" t="s">
        <v>1309</v>
      </c>
      <c r="FJ61" t="s">
        <v>1309</v>
      </c>
      <c r="FK61" t="s">
        <v>1309</v>
      </c>
      <c r="FL61" t="s">
        <v>1309</v>
      </c>
      <c r="FM61" t="s">
        <v>1309</v>
      </c>
      <c r="FN61" t="s">
        <v>1309</v>
      </c>
      <c r="FO61" t="s">
        <v>1309</v>
      </c>
      <c r="FP61" t="s">
        <v>1309</v>
      </c>
      <c r="FQ61" t="s">
        <v>1309</v>
      </c>
      <c r="FR61" t="s">
        <v>1309</v>
      </c>
      <c r="FT61" t="s">
        <v>1307</v>
      </c>
      <c r="GI61" t="s">
        <v>1324</v>
      </c>
      <c r="GJ61" t="s">
        <v>1324</v>
      </c>
      <c r="GT61" t="s">
        <v>1325</v>
      </c>
      <c r="GU61" t="s">
        <v>1310</v>
      </c>
      <c r="GV61" t="s">
        <v>1309</v>
      </c>
      <c r="GW61" t="s">
        <v>1309</v>
      </c>
      <c r="GX61" t="s">
        <v>1309</v>
      </c>
      <c r="GY61" t="s">
        <v>1309</v>
      </c>
      <c r="GZ61" t="s">
        <v>1309</v>
      </c>
      <c r="HA61" t="s">
        <v>1309</v>
      </c>
      <c r="HB61" t="s">
        <v>1309</v>
      </c>
      <c r="HC61" t="s">
        <v>1309</v>
      </c>
      <c r="HD61" t="s">
        <v>1309</v>
      </c>
      <c r="HE61" t="s">
        <v>1309</v>
      </c>
      <c r="HF61" t="s">
        <v>1309</v>
      </c>
      <c r="HH61" t="s">
        <v>1326</v>
      </c>
      <c r="HI61" t="s">
        <v>1327</v>
      </c>
      <c r="HJ61" t="s">
        <v>1308</v>
      </c>
      <c r="HK61" t="s">
        <v>1327</v>
      </c>
      <c r="HL61" t="s">
        <v>1437</v>
      </c>
      <c r="HM61" t="s">
        <v>1308</v>
      </c>
      <c r="HN61" t="s">
        <v>1726</v>
      </c>
      <c r="HO61" t="s">
        <v>1310</v>
      </c>
      <c r="HP61" t="s">
        <v>1310</v>
      </c>
      <c r="HQ61" t="s">
        <v>1309</v>
      </c>
      <c r="HR61" t="s">
        <v>1309</v>
      </c>
      <c r="HS61" t="s">
        <v>1310</v>
      </c>
      <c r="HT61" t="s">
        <v>1309</v>
      </c>
      <c r="HU61" t="s">
        <v>1309</v>
      </c>
      <c r="HV61" t="s">
        <v>1309</v>
      </c>
      <c r="HW61" t="s">
        <v>1309</v>
      </c>
      <c r="HX61" t="s">
        <v>1309</v>
      </c>
      <c r="HY61" t="s">
        <v>1309</v>
      </c>
      <c r="IA61" t="s">
        <v>1307</v>
      </c>
      <c r="IQ61" t="s">
        <v>1365</v>
      </c>
      <c r="IS61" t="s">
        <v>1316</v>
      </c>
      <c r="JF61" t="s">
        <v>1450</v>
      </c>
      <c r="JG61" t="s">
        <v>1414</v>
      </c>
      <c r="JH61" t="s">
        <v>1309</v>
      </c>
      <c r="JI61" t="s">
        <v>1309</v>
      </c>
      <c r="JJ61" t="s">
        <v>1309</v>
      </c>
      <c r="JK61" t="s">
        <v>1309</v>
      </c>
      <c r="JL61" t="s">
        <v>1309</v>
      </c>
      <c r="JM61" t="s">
        <v>1309</v>
      </c>
      <c r="JN61" t="s">
        <v>1310</v>
      </c>
      <c r="JO61" t="s">
        <v>1309</v>
      </c>
      <c r="JQ61" s="92" t="s">
        <v>1333</v>
      </c>
      <c r="JR61" s="92" t="s">
        <v>1334</v>
      </c>
      <c r="JS61" s="92">
        <v>38</v>
      </c>
      <c r="JT61" s="92" t="s">
        <v>1319</v>
      </c>
      <c r="JU61" s="92" t="s">
        <v>1396</v>
      </c>
      <c r="JV61" s="92" t="s">
        <v>1336</v>
      </c>
      <c r="JW61" s="92" t="s">
        <v>1296</v>
      </c>
      <c r="JX61" s="92" t="s">
        <v>71</v>
      </c>
      <c r="JY61" s="92" t="s">
        <v>1397</v>
      </c>
      <c r="JZ61" s="92" t="s">
        <v>1337</v>
      </c>
      <c r="KA61" s="92" t="s">
        <v>4845</v>
      </c>
      <c r="KB61" s="92" t="s">
        <v>1399</v>
      </c>
      <c r="KC61" s="92" t="s">
        <v>109</v>
      </c>
      <c r="KD61" s="92" t="s">
        <v>1309</v>
      </c>
      <c r="KE61" s="92" t="s">
        <v>1340</v>
      </c>
      <c r="KF61" s="92">
        <v>2850</v>
      </c>
      <c r="KG61" s="92" t="s">
        <v>1340</v>
      </c>
      <c r="KH61" s="92" t="s">
        <v>109</v>
      </c>
      <c r="KI61" s="92" t="s">
        <v>192</v>
      </c>
      <c r="KJ61" s="92" t="s">
        <v>109</v>
      </c>
      <c r="KK61" s="92" t="s">
        <v>192</v>
      </c>
      <c r="KL61" s="92" t="s">
        <v>1425</v>
      </c>
      <c r="KM61" s="92">
        <v>4600</v>
      </c>
      <c r="KN61" s="92" t="s">
        <v>1340</v>
      </c>
      <c r="KO61" s="92" t="s">
        <v>1341</v>
      </c>
      <c r="KP61" s="92" t="s">
        <v>1342</v>
      </c>
      <c r="KQ61" s="92" t="s">
        <v>109</v>
      </c>
      <c r="KR61" s="92">
        <v>13</v>
      </c>
      <c r="KS61" s="92" t="s">
        <v>1343</v>
      </c>
      <c r="KT61" s="92" t="s">
        <v>1402</v>
      </c>
      <c r="KU61" s="92">
        <v>11</v>
      </c>
      <c r="KV61" s="92" t="s">
        <v>1345</v>
      </c>
      <c r="KW61" s="92" t="s">
        <v>1402</v>
      </c>
      <c r="KX61" s="92" t="s">
        <v>1376</v>
      </c>
      <c r="KY61" s="92" t="s">
        <v>1347</v>
      </c>
      <c r="KZ61" s="92" t="s">
        <v>1403</v>
      </c>
      <c r="LA61" s="92" t="s">
        <v>109</v>
      </c>
      <c r="LB61" s="92" t="s">
        <v>109</v>
      </c>
      <c r="LC61" s="92" t="s">
        <v>5566</v>
      </c>
      <c r="LD61" s="92" t="s">
        <v>5566</v>
      </c>
      <c r="LE61" s="92"/>
      <c r="LF61" s="92"/>
    </row>
    <row r="62" spans="1:318" x14ac:dyDescent="0.25">
      <c r="A62" t="s">
        <v>1762</v>
      </c>
      <c r="B62" t="s">
        <v>1763</v>
      </c>
      <c r="C62" t="s">
        <v>1304</v>
      </c>
      <c r="D62" t="s">
        <v>1305</v>
      </c>
      <c r="E62" t="s">
        <v>1306</v>
      </c>
      <c r="G62" t="s">
        <v>1307</v>
      </c>
      <c r="H62">
        <v>3</v>
      </c>
      <c r="I62" t="s">
        <v>1307</v>
      </c>
      <c r="J62" t="s">
        <v>1308</v>
      </c>
      <c r="K62" t="s">
        <v>1309</v>
      </c>
      <c r="L62" t="s">
        <v>1309</v>
      </c>
      <c r="M62" t="s">
        <v>1309</v>
      </c>
      <c r="N62" t="s">
        <v>1309</v>
      </c>
      <c r="O62" t="s">
        <v>1309</v>
      </c>
      <c r="P62" t="s">
        <v>1309</v>
      </c>
      <c r="Q62" t="s">
        <v>1310</v>
      </c>
      <c r="R62" t="s">
        <v>1309</v>
      </c>
      <c r="U62" t="s">
        <v>1312</v>
      </c>
      <c r="V62" t="s">
        <v>1312</v>
      </c>
      <c r="W62" t="s">
        <v>1312</v>
      </c>
      <c r="X62" t="s">
        <v>1312</v>
      </c>
      <c r="Y62" t="s">
        <v>1312</v>
      </c>
      <c r="Z62" t="s">
        <v>1312</v>
      </c>
      <c r="AC62">
        <v>3</v>
      </c>
      <c r="AD62">
        <v>10000</v>
      </c>
      <c r="AE62">
        <v>10000</v>
      </c>
      <c r="AF62" t="s">
        <v>1351</v>
      </c>
      <c r="AH62" t="s">
        <v>1383</v>
      </c>
      <c r="AJ62" t="s">
        <v>1353</v>
      </c>
      <c r="AL62" t="s">
        <v>1316</v>
      </c>
      <c r="BA62" t="s">
        <v>1354</v>
      </c>
      <c r="BS62" t="s">
        <v>1307</v>
      </c>
      <c r="CE62" t="s">
        <v>1414</v>
      </c>
      <c r="CF62" t="s">
        <v>1309</v>
      </c>
      <c r="CG62" t="s">
        <v>1309</v>
      </c>
      <c r="CH62" t="s">
        <v>1309</v>
      </c>
      <c r="CI62" t="s">
        <v>1309</v>
      </c>
      <c r="CJ62" t="s">
        <v>1309</v>
      </c>
      <c r="CK62" t="s">
        <v>1309</v>
      </c>
      <c r="CL62" t="s">
        <v>1309</v>
      </c>
      <c r="CM62" t="s">
        <v>1309</v>
      </c>
      <c r="CN62" t="s">
        <v>1309</v>
      </c>
      <c r="CO62" t="s">
        <v>1309</v>
      </c>
      <c r="CP62" t="s">
        <v>1309</v>
      </c>
      <c r="CQ62" t="s">
        <v>1310</v>
      </c>
      <c r="CR62" t="s">
        <v>1309</v>
      </c>
      <c r="CT62" t="s">
        <v>4434</v>
      </c>
      <c r="CV62" t="s">
        <v>1356</v>
      </c>
      <c r="CW62" t="s">
        <v>1309</v>
      </c>
      <c r="CX62" t="s">
        <v>1309</v>
      </c>
      <c r="CY62" t="s">
        <v>1309</v>
      </c>
      <c r="CZ62" t="s">
        <v>1310</v>
      </c>
      <c r="DA62" t="s">
        <v>1309</v>
      </c>
      <c r="DB62" t="s">
        <v>1309</v>
      </c>
      <c r="DC62" t="s">
        <v>1309</v>
      </c>
      <c r="DE62" t="s">
        <v>1358</v>
      </c>
      <c r="DG62">
        <v>250</v>
      </c>
      <c r="DH62">
        <v>2500</v>
      </c>
      <c r="DI62">
        <v>600</v>
      </c>
      <c r="DJ62" t="s">
        <v>1358</v>
      </c>
      <c r="DK62">
        <v>300</v>
      </c>
      <c r="DL62">
        <v>3800</v>
      </c>
      <c r="DM62">
        <v>800</v>
      </c>
      <c r="DN62" t="s">
        <v>1320</v>
      </c>
      <c r="DO62" t="s">
        <v>1310</v>
      </c>
      <c r="DP62" t="s">
        <v>1309</v>
      </c>
      <c r="DQ62" t="s">
        <v>1309</v>
      </c>
      <c r="DR62" t="s">
        <v>1309</v>
      </c>
      <c r="DS62" t="s">
        <v>1309</v>
      </c>
      <c r="DT62" t="s">
        <v>1310</v>
      </c>
      <c r="DU62" t="s">
        <v>1309</v>
      </c>
      <c r="DV62" t="s">
        <v>1309</v>
      </c>
      <c r="DW62" t="s">
        <v>1309</v>
      </c>
      <c r="DY62" t="s">
        <v>1456</v>
      </c>
      <c r="DZ62">
        <v>800</v>
      </c>
      <c r="EA62" t="s">
        <v>1319</v>
      </c>
      <c r="EC62" t="s">
        <v>1360</v>
      </c>
      <c r="ED62">
        <v>1000</v>
      </c>
      <c r="EE62" t="s">
        <v>1319</v>
      </c>
      <c r="EG62" t="s">
        <v>5356</v>
      </c>
      <c r="EI62" t="s">
        <v>1307</v>
      </c>
      <c r="ET62" t="s">
        <v>1307</v>
      </c>
      <c r="EV62" t="s">
        <v>1319</v>
      </c>
      <c r="EW62" t="s">
        <v>1409</v>
      </c>
      <c r="EX62" t="s">
        <v>1307</v>
      </c>
      <c r="EY62" t="s">
        <v>1307</v>
      </c>
      <c r="EZ62" t="s">
        <v>1307</v>
      </c>
      <c r="FT62" t="s">
        <v>1307</v>
      </c>
      <c r="GI62" t="s">
        <v>1324</v>
      </c>
      <c r="GJ62" t="s">
        <v>1324</v>
      </c>
      <c r="GT62" t="s">
        <v>1325</v>
      </c>
      <c r="GU62" t="s">
        <v>1310</v>
      </c>
      <c r="GV62" t="s">
        <v>1309</v>
      </c>
      <c r="GW62" t="s">
        <v>1309</v>
      </c>
      <c r="GX62" t="s">
        <v>1309</v>
      </c>
      <c r="GY62" t="s">
        <v>1309</v>
      </c>
      <c r="GZ62" t="s">
        <v>1309</v>
      </c>
      <c r="HA62" t="s">
        <v>1309</v>
      </c>
      <c r="HB62" t="s">
        <v>1309</v>
      </c>
      <c r="HC62" t="s">
        <v>1309</v>
      </c>
      <c r="HD62" t="s">
        <v>1309</v>
      </c>
      <c r="HE62" t="s">
        <v>1309</v>
      </c>
      <c r="HF62" t="s">
        <v>1309</v>
      </c>
      <c r="HH62" t="s">
        <v>1326</v>
      </c>
      <c r="HI62" t="s">
        <v>1327</v>
      </c>
      <c r="HJ62" t="s">
        <v>1390</v>
      </c>
      <c r="HK62" t="s">
        <v>1327</v>
      </c>
      <c r="HL62" t="s">
        <v>1437</v>
      </c>
      <c r="HM62" t="s">
        <v>1390</v>
      </c>
      <c r="HN62" t="s">
        <v>1329</v>
      </c>
      <c r="HO62" t="s">
        <v>1309</v>
      </c>
      <c r="HP62" t="s">
        <v>1309</v>
      </c>
      <c r="HQ62" t="s">
        <v>1309</v>
      </c>
      <c r="HR62" t="s">
        <v>1310</v>
      </c>
      <c r="HS62" t="s">
        <v>1309</v>
      </c>
      <c r="HT62" t="s">
        <v>1309</v>
      </c>
      <c r="HU62" t="s">
        <v>1309</v>
      </c>
      <c r="HV62" t="s">
        <v>1309</v>
      </c>
      <c r="HW62" t="s">
        <v>1309</v>
      </c>
      <c r="HX62" t="s">
        <v>1309</v>
      </c>
      <c r="HY62" t="s">
        <v>1309</v>
      </c>
      <c r="IA62" t="s">
        <v>1307</v>
      </c>
      <c r="IQ62" t="s">
        <v>1365</v>
      </c>
      <c r="IS62" t="s">
        <v>1331</v>
      </c>
      <c r="JF62" t="s">
        <v>1331</v>
      </c>
      <c r="JG62" t="s">
        <v>1764</v>
      </c>
      <c r="JH62" t="s">
        <v>1309</v>
      </c>
      <c r="JI62" t="s">
        <v>1310</v>
      </c>
      <c r="JJ62" t="s">
        <v>1309</v>
      </c>
      <c r="JK62" t="s">
        <v>1310</v>
      </c>
      <c r="JL62" t="s">
        <v>1309</v>
      </c>
      <c r="JM62" t="s">
        <v>1309</v>
      </c>
      <c r="JN62" t="s">
        <v>1309</v>
      </c>
      <c r="JO62" t="s">
        <v>1309</v>
      </c>
      <c r="JQ62" s="92" t="s">
        <v>1711</v>
      </c>
      <c r="JR62" s="92" t="s">
        <v>1712</v>
      </c>
      <c r="JS62" s="92">
        <v>49</v>
      </c>
      <c r="JT62" s="92" t="s">
        <v>1319</v>
      </c>
      <c r="JU62" s="92" t="s">
        <v>1335</v>
      </c>
      <c r="JV62" s="92" t="s">
        <v>1368</v>
      </c>
      <c r="JW62" s="92" t="s">
        <v>1296</v>
      </c>
      <c r="JX62" s="92" t="s">
        <v>71</v>
      </c>
      <c r="JY62" s="92" t="s">
        <v>5549</v>
      </c>
      <c r="JZ62" s="92" t="s">
        <v>1337</v>
      </c>
      <c r="KA62" s="92" t="s">
        <v>4845</v>
      </c>
      <c r="KB62" s="92" t="s">
        <v>1338</v>
      </c>
      <c r="KC62" s="92" t="s">
        <v>109</v>
      </c>
      <c r="KD62" s="92" t="s">
        <v>4848</v>
      </c>
      <c r="KE62" s="92" t="s">
        <v>1424</v>
      </c>
      <c r="KF62" s="92">
        <v>3350</v>
      </c>
      <c r="KG62" s="92" t="s">
        <v>4439</v>
      </c>
      <c r="KH62" s="92" t="s">
        <v>192</v>
      </c>
      <c r="KI62" s="92" t="s">
        <v>192</v>
      </c>
      <c r="KJ62" s="92" t="s">
        <v>192</v>
      </c>
      <c r="KK62" s="92" t="s">
        <v>192</v>
      </c>
      <c r="KL62" s="92" t="s">
        <v>1341</v>
      </c>
      <c r="KM62" s="92">
        <v>4900</v>
      </c>
      <c r="KN62" s="92" t="s">
        <v>4439</v>
      </c>
      <c r="KO62" s="92" t="s">
        <v>1341</v>
      </c>
      <c r="KP62" s="92" t="s">
        <v>1375</v>
      </c>
      <c r="KQ62" s="92" t="s">
        <v>192</v>
      </c>
      <c r="KR62" s="92">
        <v>24</v>
      </c>
      <c r="KS62" s="92" t="s">
        <v>1466</v>
      </c>
      <c r="KT62" s="92" t="s">
        <v>1344</v>
      </c>
      <c r="KU62" s="92">
        <v>20</v>
      </c>
      <c r="KV62" s="92" t="s">
        <v>1461</v>
      </c>
      <c r="KW62" s="92" t="s">
        <v>1344</v>
      </c>
      <c r="KX62" s="92" t="s">
        <v>1376</v>
      </c>
      <c r="KY62" s="92" t="s">
        <v>1377</v>
      </c>
      <c r="KZ62" s="92" t="s">
        <v>5795</v>
      </c>
      <c r="LA62" s="92" t="s">
        <v>109</v>
      </c>
      <c r="LB62" s="92" t="s">
        <v>109</v>
      </c>
      <c r="LC62" s="92" t="s">
        <v>4438</v>
      </c>
      <c r="LD62" s="92" t="s">
        <v>4439</v>
      </c>
      <c r="LE62" s="92" t="s">
        <v>192</v>
      </c>
      <c r="LF62" s="92" t="s">
        <v>192</v>
      </c>
    </row>
    <row r="63" spans="1:318" x14ac:dyDescent="0.25">
      <c r="A63" t="s">
        <v>1765</v>
      </c>
      <c r="B63" t="s">
        <v>1766</v>
      </c>
      <c r="C63" t="s">
        <v>1304</v>
      </c>
      <c r="D63" t="s">
        <v>1305</v>
      </c>
      <c r="E63" t="s">
        <v>1306</v>
      </c>
      <c r="G63" t="s">
        <v>1307</v>
      </c>
      <c r="H63">
        <v>3</v>
      </c>
      <c r="I63" t="s">
        <v>1307</v>
      </c>
      <c r="J63" t="s">
        <v>1406</v>
      </c>
      <c r="K63" t="s">
        <v>1309</v>
      </c>
      <c r="L63" t="s">
        <v>1310</v>
      </c>
      <c r="M63" t="s">
        <v>1309</v>
      </c>
      <c r="N63" t="s">
        <v>1309</v>
      </c>
      <c r="O63" t="s">
        <v>1309</v>
      </c>
      <c r="P63" t="s">
        <v>1309</v>
      </c>
      <c r="Q63" t="s">
        <v>1309</v>
      </c>
      <c r="R63" t="s">
        <v>1309</v>
      </c>
      <c r="S63">
        <v>1</v>
      </c>
      <c r="U63" t="s">
        <v>1312</v>
      </c>
      <c r="V63" t="s">
        <v>1312</v>
      </c>
      <c r="W63" t="s">
        <v>1312</v>
      </c>
      <c r="X63" t="s">
        <v>1312</v>
      </c>
      <c r="Y63" t="s">
        <v>1312</v>
      </c>
      <c r="Z63" t="s">
        <v>1312</v>
      </c>
      <c r="AC63">
        <v>2</v>
      </c>
      <c r="AD63">
        <v>12000</v>
      </c>
      <c r="AE63">
        <v>8000</v>
      </c>
      <c r="AF63" t="s">
        <v>1351</v>
      </c>
      <c r="AH63" t="s">
        <v>1352</v>
      </c>
      <c r="AJ63" t="s">
        <v>1315</v>
      </c>
      <c r="AL63" t="s">
        <v>1316</v>
      </c>
      <c r="BS63" t="s">
        <v>1307</v>
      </c>
      <c r="CE63" t="s">
        <v>1767</v>
      </c>
      <c r="CF63" t="s">
        <v>1309</v>
      </c>
      <c r="CG63" t="s">
        <v>1309</v>
      </c>
      <c r="CH63" t="s">
        <v>1309</v>
      </c>
      <c r="CI63" t="s">
        <v>1309</v>
      </c>
      <c r="CJ63" t="s">
        <v>1310</v>
      </c>
      <c r="CK63" t="s">
        <v>1309</v>
      </c>
      <c r="CL63" t="s">
        <v>1309</v>
      </c>
      <c r="CM63" t="s">
        <v>1309</v>
      </c>
      <c r="CN63" t="s">
        <v>1309</v>
      </c>
      <c r="CO63" t="s">
        <v>1309</v>
      </c>
      <c r="CP63" t="s">
        <v>1309</v>
      </c>
      <c r="CQ63" t="s">
        <v>1309</v>
      </c>
      <c r="CR63" t="s">
        <v>1309</v>
      </c>
      <c r="CT63" t="s">
        <v>4436</v>
      </c>
      <c r="CV63" t="s">
        <v>1308</v>
      </c>
      <c r="CW63" t="s">
        <v>1310</v>
      </c>
      <c r="CX63" t="s">
        <v>1309</v>
      </c>
      <c r="CY63" t="s">
        <v>1309</v>
      </c>
      <c r="CZ63" t="s">
        <v>1309</v>
      </c>
      <c r="DA63" t="s">
        <v>1309</v>
      </c>
      <c r="DB63" t="s">
        <v>1309</v>
      </c>
      <c r="DC63" t="s">
        <v>1309</v>
      </c>
      <c r="DE63" t="s">
        <v>1358</v>
      </c>
      <c r="DF63" t="s">
        <v>1319</v>
      </c>
      <c r="DI63">
        <v>500</v>
      </c>
      <c r="DJ63" t="s">
        <v>1358</v>
      </c>
      <c r="DM63">
        <v>650</v>
      </c>
      <c r="DN63" t="s">
        <v>1320</v>
      </c>
      <c r="DO63" t="s">
        <v>1310</v>
      </c>
      <c r="DP63" t="s">
        <v>1309</v>
      </c>
      <c r="DQ63" t="s">
        <v>1309</v>
      </c>
      <c r="DR63" t="s">
        <v>1309</v>
      </c>
      <c r="DS63" t="s">
        <v>1309</v>
      </c>
      <c r="DT63" t="s">
        <v>1310</v>
      </c>
      <c r="DU63" t="s">
        <v>1309</v>
      </c>
      <c r="DV63" t="s">
        <v>1309</v>
      </c>
      <c r="DW63" t="s">
        <v>1309</v>
      </c>
      <c r="DY63" t="s">
        <v>1456</v>
      </c>
      <c r="DZ63">
        <v>400</v>
      </c>
      <c r="EA63" t="s">
        <v>1319</v>
      </c>
      <c r="EC63" t="s">
        <v>1457</v>
      </c>
      <c r="ED63">
        <v>600</v>
      </c>
      <c r="EE63" t="s">
        <v>1319</v>
      </c>
      <c r="EG63" t="s">
        <v>5357</v>
      </c>
      <c r="ET63" t="s">
        <v>1307</v>
      </c>
      <c r="EV63" t="s">
        <v>1319</v>
      </c>
      <c r="EW63" t="s">
        <v>1361</v>
      </c>
      <c r="EX63" t="s">
        <v>1319</v>
      </c>
      <c r="EY63" t="s">
        <v>1307</v>
      </c>
      <c r="EZ63" t="s">
        <v>1307</v>
      </c>
      <c r="FA63" t="s">
        <v>1768</v>
      </c>
      <c r="FB63" t="s">
        <v>1309</v>
      </c>
      <c r="FC63" t="s">
        <v>1309</v>
      </c>
      <c r="FD63" t="s">
        <v>1309</v>
      </c>
      <c r="FE63" t="s">
        <v>1309</v>
      </c>
      <c r="FF63" t="s">
        <v>1309</v>
      </c>
      <c r="FG63" t="s">
        <v>1310</v>
      </c>
      <c r="FH63" t="s">
        <v>1310</v>
      </c>
      <c r="FI63" t="s">
        <v>1309</v>
      </c>
      <c r="FJ63" t="s">
        <v>1309</v>
      </c>
      <c r="FK63" t="s">
        <v>1309</v>
      </c>
      <c r="FL63" t="s">
        <v>1309</v>
      </c>
      <c r="FM63" t="s">
        <v>1309</v>
      </c>
      <c r="FN63" t="s">
        <v>1309</v>
      </c>
      <c r="FO63" t="s">
        <v>1309</v>
      </c>
      <c r="FP63" t="s">
        <v>1309</v>
      </c>
      <c r="FQ63" t="s">
        <v>1309</v>
      </c>
      <c r="FR63" t="s">
        <v>1309</v>
      </c>
      <c r="FT63" t="s">
        <v>1307</v>
      </c>
      <c r="GI63" t="s">
        <v>1324</v>
      </c>
      <c r="GJ63" t="s">
        <v>1324</v>
      </c>
      <c r="GT63" t="s">
        <v>1325</v>
      </c>
      <c r="GU63" t="s">
        <v>1310</v>
      </c>
      <c r="GV63" t="s">
        <v>1309</v>
      </c>
      <c r="GW63" t="s">
        <v>1309</v>
      </c>
      <c r="GX63" t="s">
        <v>1309</v>
      </c>
      <c r="GY63" t="s">
        <v>1309</v>
      </c>
      <c r="GZ63" t="s">
        <v>1309</v>
      </c>
      <c r="HA63" t="s">
        <v>1309</v>
      </c>
      <c r="HB63" t="s">
        <v>1309</v>
      </c>
      <c r="HC63" t="s">
        <v>1309</v>
      </c>
      <c r="HD63" t="s">
        <v>1309</v>
      </c>
      <c r="HE63" t="s">
        <v>1309</v>
      </c>
      <c r="HF63" t="s">
        <v>1309</v>
      </c>
      <c r="HH63" t="s">
        <v>1390</v>
      </c>
      <c r="HI63" t="s">
        <v>1390</v>
      </c>
      <c r="HJ63" t="s">
        <v>1363</v>
      </c>
      <c r="HK63" t="s">
        <v>1327</v>
      </c>
      <c r="HL63" t="s">
        <v>1328</v>
      </c>
      <c r="HM63" t="s">
        <v>1390</v>
      </c>
      <c r="HN63" t="s">
        <v>1626</v>
      </c>
      <c r="HO63" t="s">
        <v>1310</v>
      </c>
      <c r="HP63" t="s">
        <v>1309</v>
      </c>
      <c r="HQ63" t="s">
        <v>1309</v>
      </c>
      <c r="HR63" t="s">
        <v>1309</v>
      </c>
      <c r="HS63" t="s">
        <v>1309</v>
      </c>
      <c r="HT63" t="s">
        <v>1309</v>
      </c>
      <c r="HU63" t="s">
        <v>1309</v>
      </c>
      <c r="HV63" t="s">
        <v>1309</v>
      </c>
      <c r="HW63" t="s">
        <v>1309</v>
      </c>
      <c r="HX63" t="s">
        <v>1309</v>
      </c>
      <c r="HY63" t="s">
        <v>1309</v>
      </c>
      <c r="IA63" t="s">
        <v>1319</v>
      </c>
      <c r="IB63" t="s">
        <v>1769</v>
      </c>
      <c r="IC63" t="s">
        <v>1310</v>
      </c>
      <c r="ID63" t="s">
        <v>1309</v>
      </c>
      <c r="IE63" t="s">
        <v>1309</v>
      </c>
      <c r="IF63" t="s">
        <v>1309</v>
      </c>
      <c r="IG63" t="s">
        <v>1310</v>
      </c>
      <c r="IH63" t="s">
        <v>1309</v>
      </c>
      <c r="II63" t="s">
        <v>1310</v>
      </c>
      <c r="IJ63" t="s">
        <v>1309</v>
      </c>
      <c r="IK63" t="s">
        <v>1309</v>
      </c>
      <c r="IL63" t="s">
        <v>1309</v>
      </c>
      <c r="IM63" t="s">
        <v>1309</v>
      </c>
      <c r="IN63" t="s">
        <v>1309</v>
      </c>
      <c r="IO63" t="s">
        <v>1309</v>
      </c>
      <c r="IQ63" t="s">
        <v>1365</v>
      </c>
      <c r="IS63" t="s">
        <v>1316</v>
      </c>
      <c r="JF63" t="s">
        <v>1316</v>
      </c>
      <c r="JG63" t="s">
        <v>1332</v>
      </c>
      <c r="JH63" t="s">
        <v>1309</v>
      </c>
      <c r="JI63" t="s">
        <v>1309</v>
      </c>
      <c r="JJ63" t="s">
        <v>1309</v>
      </c>
      <c r="JK63" t="s">
        <v>1309</v>
      </c>
      <c r="JL63" t="s">
        <v>1310</v>
      </c>
      <c r="JM63" t="s">
        <v>1309</v>
      </c>
      <c r="JN63" t="s">
        <v>1309</v>
      </c>
      <c r="JO63" t="s">
        <v>1309</v>
      </c>
      <c r="JQ63" s="92" t="s">
        <v>1711</v>
      </c>
      <c r="JR63" s="92" t="s">
        <v>1712</v>
      </c>
      <c r="JS63" s="92">
        <v>41</v>
      </c>
      <c r="JT63" s="92" t="s">
        <v>1319</v>
      </c>
      <c r="JU63" s="92" t="s">
        <v>1335</v>
      </c>
      <c r="JV63" s="92" t="s">
        <v>1368</v>
      </c>
      <c r="JW63" s="92" t="s">
        <v>1296</v>
      </c>
      <c r="JX63" s="92" t="s">
        <v>71</v>
      </c>
      <c r="JY63" s="92" t="s">
        <v>5549</v>
      </c>
      <c r="JZ63" s="92" t="s">
        <v>1337</v>
      </c>
      <c r="KA63" s="92" t="s">
        <v>4845</v>
      </c>
      <c r="KB63" s="92" t="s">
        <v>1415</v>
      </c>
      <c r="KC63" s="92" t="s">
        <v>109</v>
      </c>
      <c r="KD63" s="92" t="s">
        <v>4847</v>
      </c>
      <c r="KE63" s="92" t="s">
        <v>1371</v>
      </c>
      <c r="KF63" s="92">
        <v>500</v>
      </c>
      <c r="KG63" s="92" t="s">
        <v>1372</v>
      </c>
      <c r="KH63" s="92" t="s">
        <v>109</v>
      </c>
      <c r="KI63" s="92" t="s">
        <v>109</v>
      </c>
      <c r="KJ63" s="92" t="s">
        <v>109</v>
      </c>
      <c r="KK63" s="92" t="s">
        <v>109</v>
      </c>
      <c r="KL63" s="92" t="s">
        <v>1373</v>
      </c>
      <c r="KM63" s="92">
        <v>650</v>
      </c>
      <c r="KN63" s="92" t="s">
        <v>1372</v>
      </c>
      <c r="KO63" s="92" t="s">
        <v>1374</v>
      </c>
      <c r="KP63" s="92" t="s">
        <v>1401</v>
      </c>
      <c r="KQ63" s="92" t="s">
        <v>192</v>
      </c>
      <c r="KR63" s="92"/>
      <c r="KS63" s="92" t="s">
        <v>1343</v>
      </c>
      <c r="KT63" s="92" t="s">
        <v>1344</v>
      </c>
      <c r="KU63" s="92"/>
      <c r="KV63" s="92" t="s">
        <v>1345</v>
      </c>
      <c r="KW63" s="92" t="s">
        <v>1344</v>
      </c>
      <c r="KX63" s="92" t="s">
        <v>1376</v>
      </c>
      <c r="KY63" s="92" t="s">
        <v>1377</v>
      </c>
      <c r="KZ63" s="92" t="s">
        <v>5795</v>
      </c>
      <c r="LA63" s="92" t="s">
        <v>109</v>
      </c>
      <c r="LB63" s="92" t="s">
        <v>109</v>
      </c>
      <c r="LC63" s="92" t="s">
        <v>1372</v>
      </c>
      <c r="LD63" s="92" t="s">
        <v>1372</v>
      </c>
      <c r="LE63" s="92" t="s">
        <v>109</v>
      </c>
      <c r="LF63" s="92" t="s">
        <v>109</v>
      </c>
    </row>
    <row r="64" spans="1:318" x14ac:dyDescent="0.25">
      <c r="A64" t="s">
        <v>1770</v>
      </c>
      <c r="B64" t="s">
        <v>1771</v>
      </c>
      <c r="C64" t="s">
        <v>1304</v>
      </c>
      <c r="D64" t="s">
        <v>1305</v>
      </c>
      <c r="E64" t="s">
        <v>1306</v>
      </c>
      <c r="G64" t="s">
        <v>1307</v>
      </c>
      <c r="H64">
        <v>2</v>
      </c>
      <c r="I64" t="s">
        <v>1307</v>
      </c>
      <c r="J64" t="s">
        <v>1308</v>
      </c>
      <c r="K64" t="s">
        <v>1309</v>
      </c>
      <c r="L64" t="s">
        <v>1309</v>
      </c>
      <c r="M64" t="s">
        <v>1309</v>
      </c>
      <c r="N64" t="s">
        <v>1309</v>
      </c>
      <c r="O64" t="s">
        <v>1309</v>
      </c>
      <c r="P64" t="s">
        <v>1309</v>
      </c>
      <c r="Q64" t="s">
        <v>1310</v>
      </c>
      <c r="R64" t="s">
        <v>1309</v>
      </c>
      <c r="U64" t="s">
        <v>1312</v>
      </c>
      <c r="V64" t="s">
        <v>1312</v>
      </c>
      <c r="W64" t="s">
        <v>1312</v>
      </c>
      <c r="X64" t="s">
        <v>1312</v>
      </c>
      <c r="Y64" t="s">
        <v>1312</v>
      </c>
      <c r="Z64" t="s">
        <v>1312</v>
      </c>
      <c r="AC64">
        <v>1</v>
      </c>
      <c r="AD64">
        <v>7000</v>
      </c>
      <c r="AE64">
        <v>6500</v>
      </c>
      <c r="AF64" t="s">
        <v>1351</v>
      </c>
      <c r="AH64" t="s">
        <v>1314</v>
      </c>
      <c r="AJ64" t="s">
        <v>1353</v>
      </c>
      <c r="AL64" t="s">
        <v>1316</v>
      </c>
      <c r="BA64" t="s">
        <v>1354</v>
      </c>
      <c r="BS64" t="s">
        <v>1307</v>
      </c>
      <c r="CE64" t="s">
        <v>1355</v>
      </c>
      <c r="CF64" t="s">
        <v>1309</v>
      </c>
      <c r="CG64" t="s">
        <v>1309</v>
      </c>
      <c r="CH64" t="s">
        <v>1309</v>
      </c>
      <c r="CI64" t="s">
        <v>1309</v>
      </c>
      <c r="CJ64" t="s">
        <v>1309</v>
      </c>
      <c r="CK64" t="s">
        <v>1309</v>
      </c>
      <c r="CL64" t="s">
        <v>1309</v>
      </c>
      <c r="CM64" t="s">
        <v>1309</v>
      </c>
      <c r="CN64" t="s">
        <v>1310</v>
      </c>
      <c r="CO64" t="s">
        <v>1309</v>
      </c>
      <c r="CP64" t="s">
        <v>1309</v>
      </c>
      <c r="CQ64" t="s">
        <v>1309</v>
      </c>
      <c r="CR64" t="s">
        <v>1309</v>
      </c>
      <c r="CT64" t="s">
        <v>4436</v>
      </c>
      <c r="CV64" t="s">
        <v>1308</v>
      </c>
      <c r="CW64" t="s">
        <v>1310</v>
      </c>
      <c r="CX64" t="s">
        <v>1309</v>
      </c>
      <c r="CY64" t="s">
        <v>1309</v>
      </c>
      <c r="CZ64" t="s">
        <v>1309</v>
      </c>
      <c r="DA64" t="s">
        <v>1309</v>
      </c>
      <c r="DB64" t="s">
        <v>1309</v>
      </c>
      <c r="DC64" t="s">
        <v>1309</v>
      </c>
      <c r="DE64" t="s">
        <v>1358</v>
      </c>
      <c r="DF64" t="s">
        <v>1319</v>
      </c>
      <c r="DG64">
        <v>200</v>
      </c>
      <c r="DI64">
        <v>300</v>
      </c>
      <c r="DJ64" t="s">
        <v>1358</v>
      </c>
      <c r="DK64">
        <v>200</v>
      </c>
      <c r="DM64">
        <v>400</v>
      </c>
      <c r="DN64" t="s">
        <v>1320</v>
      </c>
      <c r="DO64" t="s">
        <v>1310</v>
      </c>
      <c r="DP64" t="s">
        <v>1309</v>
      </c>
      <c r="DQ64" t="s">
        <v>1309</v>
      </c>
      <c r="DR64" t="s">
        <v>1309</v>
      </c>
      <c r="DS64" t="s">
        <v>1309</v>
      </c>
      <c r="DT64" t="s">
        <v>1310</v>
      </c>
      <c r="DU64" t="s">
        <v>1309</v>
      </c>
      <c r="DV64" t="s">
        <v>1309</v>
      </c>
      <c r="DW64" t="s">
        <v>1309</v>
      </c>
      <c r="DY64" t="s">
        <v>1481</v>
      </c>
      <c r="DZ64">
        <v>500</v>
      </c>
      <c r="EA64" t="s">
        <v>1319</v>
      </c>
      <c r="EC64" t="s">
        <v>1457</v>
      </c>
      <c r="ED64">
        <v>600</v>
      </c>
      <c r="EE64" t="s">
        <v>1319</v>
      </c>
      <c r="EG64" t="s">
        <v>5356</v>
      </c>
      <c r="EI64" t="s">
        <v>1307</v>
      </c>
      <c r="ET64" t="s">
        <v>1544</v>
      </c>
      <c r="EV64" t="s">
        <v>1319</v>
      </c>
      <c r="EW64" t="s">
        <v>1421</v>
      </c>
      <c r="EX64" t="s">
        <v>1319</v>
      </c>
      <c r="EY64" t="s">
        <v>1307</v>
      </c>
      <c r="EZ64" t="s">
        <v>1319</v>
      </c>
      <c r="FA64" t="s">
        <v>1772</v>
      </c>
      <c r="FB64" t="s">
        <v>1309</v>
      </c>
      <c r="FC64" t="s">
        <v>1309</v>
      </c>
      <c r="FD64" t="s">
        <v>1310</v>
      </c>
      <c r="FE64" t="s">
        <v>1309</v>
      </c>
      <c r="FF64" t="s">
        <v>1309</v>
      </c>
      <c r="FG64" t="s">
        <v>1309</v>
      </c>
      <c r="FH64" t="s">
        <v>1310</v>
      </c>
      <c r="FI64" t="s">
        <v>1309</v>
      </c>
      <c r="FJ64" t="s">
        <v>1309</v>
      </c>
      <c r="FK64" t="s">
        <v>1309</v>
      </c>
      <c r="FL64" t="s">
        <v>1309</v>
      </c>
      <c r="FM64" t="s">
        <v>1309</v>
      </c>
      <c r="FN64" t="s">
        <v>1309</v>
      </c>
      <c r="FO64" t="s">
        <v>1309</v>
      </c>
      <c r="FP64" t="s">
        <v>1309</v>
      </c>
      <c r="FQ64" t="s">
        <v>1309</v>
      </c>
      <c r="FR64" t="s">
        <v>1309</v>
      </c>
      <c r="FT64" t="s">
        <v>1307</v>
      </c>
      <c r="GI64" t="s">
        <v>1324</v>
      </c>
      <c r="GJ64" t="s">
        <v>1324</v>
      </c>
      <c r="GT64" t="s">
        <v>1325</v>
      </c>
      <c r="GU64" t="s">
        <v>1310</v>
      </c>
      <c r="GV64" t="s">
        <v>1309</v>
      </c>
      <c r="GW64" t="s">
        <v>1309</v>
      </c>
      <c r="GX64" t="s">
        <v>1309</v>
      </c>
      <c r="GY64" t="s">
        <v>1309</v>
      </c>
      <c r="GZ64" t="s">
        <v>1309</v>
      </c>
      <c r="HA64" t="s">
        <v>1309</v>
      </c>
      <c r="HB64" t="s">
        <v>1309</v>
      </c>
      <c r="HC64" t="s">
        <v>1309</v>
      </c>
      <c r="HD64" t="s">
        <v>1309</v>
      </c>
      <c r="HE64" t="s">
        <v>1309</v>
      </c>
      <c r="HF64" t="s">
        <v>1309</v>
      </c>
      <c r="HH64" t="s">
        <v>1390</v>
      </c>
      <c r="HI64" t="s">
        <v>1390</v>
      </c>
      <c r="HJ64" t="s">
        <v>1363</v>
      </c>
      <c r="HK64" t="s">
        <v>1327</v>
      </c>
      <c r="HL64" t="s">
        <v>1328</v>
      </c>
      <c r="HM64" t="s">
        <v>1390</v>
      </c>
      <c r="HN64" t="s">
        <v>1773</v>
      </c>
      <c r="HO64" t="s">
        <v>1309</v>
      </c>
      <c r="HP64" t="s">
        <v>1309</v>
      </c>
      <c r="HQ64" t="s">
        <v>1309</v>
      </c>
      <c r="HR64" t="s">
        <v>1309</v>
      </c>
      <c r="HS64" t="s">
        <v>1310</v>
      </c>
      <c r="HT64" t="s">
        <v>1310</v>
      </c>
      <c r="HU64" t="s">
        <v>1309</v>
      </c>
      <c r="HV64" t="s">
        <v>1309</v>
      </c>
      <c r="HW64" t="s">
        <v>1309</v>
      </c>
      <c r="HX64" t="s">
        <v>1309</v>
      </c>
      <c r="HY64" t="s">
        <v>1309</v>
      </c>
      <c r="IA64" t="s">
        <v>1307</v>
      </c>
      <c r="IQ64" t="s">
        <v>1365</v>
      </c>
      <c r="IS64" t="s">
        <v>1316</v>
      </c>
      <c r="JF64" t="s">
        <v>1316</v>
      </c>
      <c r="JG64" t="s">
        <v>1332</v>
      </c>
      <c r="JH64" t="s">
        <v>1309</v>
      </c>
      <c r="JI64" t="s">
        <v>1309</v>
      </c>
      <c r="JJ64" t="s">
        <v>1309</v>
      </c>
      <c r="JK64" t="s">
        <v>1309</v>
      </c>
      <c r="JL64" t="s">
        <v>1310</v>
      </c>
      <c r="JM64" t="s">
        <v>1309</v>
      </c>
      <c r="JN64" t="s">
        <v>1309</v>
      </c>
      <c r="JO64" t="s">
        <v>1309</v>
      </c>
      <c r="JQ64" s="92" t="s">
        <v>1711</v>
      </c>
      <c r="JR64" s="92" t="s">
        <v>1712</v>
      </c>
      <c r="JS64" s="92">
        <v>45</v>
      </c>
      <c r="JT64" s="92" t="s">
        <v>1319</v>
      </c>
      <c r="JU64" s="92" t="s">
        <v>1335</v>
      </c>
      <c r="JV64" s="92" t="s">
        <v>1368</v>
      </c>
      <c r="JW64" s="92" t="s">
        <v>1296</v>
      </c>
      <c r="JX64" s="92" t="s">
        <v>71</v>
      </c>
      <c r="JY64" s="92" t="s">
        <v>5549</v>
      </c>
      <c r="JZ64" s="92" t="s">
        <v>1337</v>
      </c>
      <c r="KA64" s="92" t="s">
        <v>4845</v>
      </c>
      <c r="KB64" s="92" t="s">
        <v>1338</v>
      </c>
      <c r="KC64" s="92" t="s">
        <v>109</v>
      </c>
      <c r="KD64" s="92" t="s">
        <v>4844</v>
      </c>
      <c r="KE64" s="92" t="s">
        <v>1424</v>
      </c>
      <c r="KF64" s="92">
        <v>500</v>
      </c>
      <c r="KG64" s="92" t="s">
        <v>1372</v>
      </c>
      <c r="KH64" s="92" t="s">
        <v>192</v>
      </c>
      <c r="KI64" s="92" t="s">
        <v>109</v>
      </c>
      <c r="KJ64" s="92" t="s">
        <v>192</v>
      </c>
      <c r="KK64" s="92" t="s">
        <v>109</v>
      </c>
      <c r="KL64" s="92" t="s">
        <v>1373</v>
      </c>
      <c r="KM64" s="92">
        <v>600</v>
      </c>
      <c r="KN64" s="92" t="s">
        <v>1372</v>
      </c>
      <c r="KO64" s="92" t="s">
        <v>1374</v>
      </c>
      <c r="KP64" s="92" t="s">
        <v>1401</v>
      </c>
      <c r="KQ64" s="92" t="s">
        <v>192</v>
      </c>
      <c r="KR64" s="92"/>
      <c r="KS64" s="92" t="s">
        <v>1345</v>
      </c>
      <c r="KT64" s="92" t="s">
        <v>1344</v>
      </c>
      <c r="KU64" s="92"/>
      <c r="KV64" s="92" t="s">
        <v>1345</v>
      </c>
      <c r="KW64" s="92" t="s">
        <v>1344</v>
      </c>
      <c r="KX64" s="92" t="s">
        <v>1376</v>
      </c>
      <c r="KY64" s="92" t="s">
        <v>1377</v>
      </c>
      <c r="KZ64" s="92" t="s">
        <v>5795</v>
      </c>
      <c r="LA64" s="92" t="s">
        <v>109</v>
      </c>
      <c r="LB64" s="92" t="s">
        <v>109</v>
      </c>
      <c r="LC64" s="92" t="s">
        <v>1372</v>
      </c>
      <c r="LD64" s="92" t="s">
        <v>1372</v>
      </c>
      <c r="LE64" s="92" t="s">
        <v>109</v>
      </c>
      <c r="LF64" s="92" t="s">
        <v>192</v>
      </c>
    </row>
    <row r="65" spans="1:318" x14ac:dyDescent="0.25">
      <c r="A65" t="s">
        <v>1774</v>
      </c>
      <c r="B65" t="s">
        <v>1775</v>
      </c>
      <c r="C65" t="s">
        <v>1304</v>
      </c>
      <c r="D65" t="s">
        <v>1305</v>
      </c>
      <c r="E65" t="s">
        <v>1381</v>
      </c>
      <c r="G65" t="s">
        <v>1319</v>
      </c>
      <c r="H65">
        <v>3</v>
      </c>
      <c r="I65" t="s">
        <v>1358</v>
      </c>
      <c r="J65" t="s">
        <v>1382</v>
      </c>
      <c r="K65" t="s">
        <v>1309</v>
      </c>
      <c r="L65" t="s">
        <v>1310</v>
      </c>
      <c r="M65" t="s">
        <v>1309</v>
      </c>
      <c r="N65" t="s">
        <v>1309</v>
      </c>
      <c r="O65" t="s">
        <v>1309</v>
      </c>
      <c r="P65" t="s">
        <v>1310</v>
      </c>
      <c r="Q65" t="s">
        <v>1309</v>
      </c>
      <c r="R65" t="s">
        <v>1309</v>
      </c>
      <c r="S65">
        <v>2</v>
      </c>
      <c r="U65" t="s">
        <v>1311</v>
      </c>
      <c r="V65" t="s">
        <v>1312</v>
      </c>
      <c r="W65" t="s">
        <v>1312</v>
      </c>
      <c r="X65" t="s">
        <v>1312</v>
      </c>
      <c r="Y65" t="s">
        <v>1312</v>
      </c>
      <c r="Z65" t="s">
        <v>1311</v>
      </c>
      <c r="AC65">
        <v>3</v>
      </c>
      <c r="AD65">
        <v>8000</v>
      </c>
      <c r="AE65">
        <v>6000</v>
      </c>
      <c r="AF65" t="s">
        <v>1351</v>
      </c>
      <c r="AH65" t="s">
        <v>1383</v>
      </c>
      <c r="AJ65" t="s">
        <v>1353</v>
      </c>
      <c r="AL65" t="s">
        <v>1316</v>
      </c>
      <c r="BA65" t="s">
        <v>1316</v>
      </c>
      <c r="BS65" t="s">
        <v>1307</v>
      </c>
      <c r="CE65" t="s">
        <v>1776</v>
      </c>
      <c r="CF65" t="s">
        <v>1309</v>
      </c>
      <c r="CG65" t="s">
        <v>1309</v>
      </c>
      <c r="CH65" t="s">
        <v>1309</v>
      </c>
      <c r="CI65" t="s">
        <v>1309</v>
      </c>
      <c r="CJ65" t="s">
        <v>1310</v>
      </c>
      <c r="CK65" t="s">
        <v>1309</v>
      </c>
      <c r="CL65" t="s">
        <v>1309</v>
      </c>
      <c r="CM65" t="s">
        <v>1309</v>
      </c>
      <c r="CN65" t="s">
        <v>1310</v>
      </c>
      <c r="CO65" t="s">
        <v>1309</v>
      </c>
      <c r="CP65" t="s">
        <v>1309</v>
      </c>
      <c r="CQ65" t="s">
        <v>1309</v>
      </c>
      <c r="CR65" t="s">
        <v>1309</v>
      </c>
      <c r="CT65" t="s">
        <v>4436</v>
      </c>
      <c r="CV65" t="s">
        <v>1308</v>
      </c>
      <c r="CW65" t="s">
        <v>1310</v>
      </c>
      <c r="CX65" t="s">
        <v>1309</v>
      </c>
      <c r="CY65" t="s">
        <v>1309</v>
      </c>
      <c r="CZ65" t="s">
        <v>1309</v>
      </c>
      <c r="DA65" t="s">
        <v>1309</v>
      </c>
      <c r="DB65" t="s">
        <v>1309</v>
      </c>
      <c r="DC65" t="s">
        <v>1309</v>
      </c>
      <c r="DE65" t="s">
        <v>1358</v>
      </c>
      <c r="DF65" t="s">
        <v>1319</v>
      </c>
      <c r="DG65">
        <v>200</v>
      </c>
      <c r="DH65">
        <v>1300</v>
      </c>
      <c r="DI65">
        <v>250</v>
      </c>
      <c r="DJ65" t="s">
        <v>1358</v>
      </c>
      <c r="DK65">
        <v>200</v>
      </c>
      <c r="DL65">
        <v>1500</v>
      </c>
      <c r="DM65">
        <v>200</v>
      </c>
      <c r="DN65" t="s">
        <v>1564</v>
      </c>
      <c r="DO65" t="s">
        <v>1309</v>
      </c>
      <c r="DP65" t="s">
        <v>1309</v>
      </c>
      <c r="DQ65" t="s">
        <v>1309</v>
      </c>
      <c r="DR65" t="s">
        <v>1310</v>
      </c>
      <c r="DS65" t="s">
        <v>1310</v>
      </c>
      <c r="DT65" t="s">
        <v>1310</v>
      </c>
      <c r="DU65" t="s">
        <v>1309</v>
      </c>
      <c r="DV65" t="s">
        <v>1309</v>
      </c>
      <c r="DW65" t="s">
        <v>1309</v>
      </c>
      <c r="DY65" t="s">
        <v>1359</v>
      </c>
      <c r="DZ65">
        <v>800</v>
      </c>
      <c r="EA65" t="s">
        <v>1386</v>
      </c>
      <c r="EC65" t="s">
        <v>1585</v>
      </c>
      <c r="ED65">
        <v>800</v>
      </c>
      <c r="EE65" t="s">
        <v>1386</v>
      </c>
      <c r="EG65" t="s">
        <v>5356</v>
      </c>
      <c r="EI65" t="s">
        <v>1307</v>
      </c>
      <c r="ET65" t="s">
        <v>1544</v>
      </c>
      <c r="EV65" t="s">
        <v>1307</v>
      </c>
      <c r="EX65" t="s">
        <v>1319</v>
      </c>
      <c r="EY65" t="s">
        <v>1319</v>
      </c>
      <c r="EZ65" t="s">
        <v>1319</v>
      </c>
      <c r="FA65" t="s">
        <v>1777</v>
      </c>
      <c r="FB65" t="s">
        <v>1309</v>
      </c>
      <c r="FC65" t="s">
        <v>1310</v>
      </c>
      <c r="FD65" t="s">
        <v>1309</v>
      </c>
      <c r="FE65" t="s">
        <v>1309</v>
      </c>
      <c r="FF65" t="s">
        <v>1310</v>
      </c>
      <c r="FG65" t="s">
        <v>1309</v>
      </c>
      <c r="FH65" t="s">
        <v>1309</v>
      </c>
      <c r="FI65" t="s">
        <v>1309</v>
      </c>
      <c r="FJ65" t="s">
        <v>1310</v>
      </c>
      <c r="FK65" t="s">
        <v>1310</v>
      </c>
      <c r="FL65" t="s">
        <v>1309</v>
      </c>
      <c r="FM65" t="s">
        <v>1310</v>
      </c>
      <c r="FN65" t="s">
        <v>1309</v>
      </c>
      <c r="FO65" t="s">
        <v>1309</v>
      </c>
      <c r="FP65" t="s">
        <v>1309</v>
      </c>
      <c r="FQ65" t="s">
        <v>1309</v>
      </c>
      <c r="FR65" t="s">
        <v>1309</v>
      </c>
      <c r="FT65" t="s">
        <v>1307</v>
      </c>
      <c r="GI65" t="s">
        <v>1324</v>
      </c>
      <c r="GJ65" t="s">
        <v>1324</v>
      </c>
      <c r="GT65" t="s">
        <v>1325</v>
      </c>
      <c r="GU65" t="s">
        <v>1310</v>
      </c>
      <c r="GV65" t="s">
        <v>1309</v>
      </c>
      <c r="GW65" t="s">
        <v>1309</v>
      </c>
      <c r="GX65" t="s">
        <v>1309</v>
      </c>
      <c r="GY65" t="s">
        <v>1309</v>
      </c>
      <c r="GZ65" t="s">
        <v>1309</v>
      </c>
      <c r="HA65" t="s">
        <v>1309</v>
      </c>
      <c r="HB65" t="s">
        <v>1309</v>
      </c>
      <c r="HC65" t="s">
        <v>1309</v>
      </c>
      <c r="HD65" t="s">
        <v>1309</v>
      </c>
      <c r="HE65" t="s">
        <v>1309</v>
      </c>
      <c r="HF65" t="s">
        <v>1309</v>
      </c>
      <c r="HH65" t="s">
        <v>1390</v>
      </c>
      <c r="HI65" t="s">
        <v>1327</v>
      </c>
      <c r="HJ65" t="s">
        <v>1390</v>
      </c>
      <c r="HK65" t="s">
        <v>1327</v>
      </c>
      <c r="HL65" t="s">
        <v>1364</v>
      </c>
      <c r="HM65" t="s">
        <v>1390</v>
      </c>
      <c r="IA65" t="s">
        <v>1319</v>
      </c>
      <c r="IB65" t="s">
        <v>1532</v>
      </c>
      <c r="IC65" t="s">
        <v>1309</v>
      </c>
      <c r="ID65" t="s">
        <v>1309</v>
      </c>
      <c r="IE65" t="s">
        <v>1309</v>
      </c>
      <c r="IF65" t="s">
        <v>1309</v>
      </c>
      <c r="IG65" t="s">
        <v>1310</v>
      </c>
      <c r="IH65" t="s">
        <v>1309</v>
      </c>
      <c r="II65" t="s">
        <v>1310</v>
      </c>
      <c r="IJ65" t="s">
        <v>1309</v>
      </c>
      <c r="IK65" t="s">
        <v>1309</v>
      </c>
      <c r="IL65" t="s">
        <v>1309</v>
      </c>
      <c r="IM65" t="s">
        <v>1309</v>
      </c>
      <c r="IN65" t="s">
        <v>1309</v>
      </c>
      <c r="IO65" t="s">
        <v>1309</v>
      </c>
      <c r="IQ65" t="s">
        <v>1330</v>
      </c>
      <c r="IS65" t="s">
        <v>1316</v>
      </c>
      <c r="JF65" t="s">
        <v>1316</v>
      </c>
      <c r="JG65" t="s">
        <v>1778</v>
      </c>
      <c r="JH65" t="s">
        <v>1309</v>
      </c>
      <c r="JI65" t="s">
        <v>1309</v>
      </c>
      <c r="JJ65" t="s">
        <v>1309</v>
      </c>
      <c r="JK65" t="s">
        <v>1310</v>
      </c>
      <c r="JL65" t="s">
        <v>1310</v>
      </c>
      <c r="JM65" t="s">
        <v>1309</v>
      </c>
      <c r="JN65" t="s">
        <v>1309</v>
      </c>
      <c r="JO65" t="s">
        <v>1309</v>
      </c>
      <c r="JQ65" s="92" t="s">
        <v>1516</v>
      </c>
      <c r="JR65" s="92" t="s">
        <v>1779</v>
      </c>
      <c r="JS65" s="92">
        <v>49</v>
      </c>
      <c r="JT65" s="92" t="s">
        <v>1319</v>
      </c>
      <c r="JU65" s="92" t="s">
        <v>1780</v>
      </c>
      <c r="JV65" s="92" t="s">
        <v>1336</v>
      </c>
      <c r="JW65" s="92" t="s">
        <v>1296</v>
      </c>
      <c r="JX65" s="92" t="s">
        <v>70</v>
      </c>
      <c r="JY65" s="92" t="s">
        <v>1397</v>
      </c>
      <c r="JZ65" s="92" t="s">
        <v>1337</v>
      </c>
      <c r="KA65" s="92" t="s">
        <v>4845</v>
      </c>
      <c r="KB65" s="92" t="s">
        <v>1399</v>
      </c>
      <c r="KC65" s="92" t="s">
        <v>109</v>
      </c>
      <c r="KD65" s="92" t="s">
        <v>4848</v>
      </c>
      <c r="KE65" s="92" t="s">
        <v>1424</v>
      </c>
      <c r="KF65" s="92">
        <v>1750</v>
      </c>
      <c r="KG65" s="92" t="s">
        <v>4438</v>
      </c>
      <c r="KH65" s="92" t="s">
        <v>192</v>
      </c>
      <c r="KI65" s="92" t="s">
        <v>192</v>
      </c>
      <c r="KJ65" s="92" t="s">
        <v>192</v>
      </c>
      <c r="KK65" s="92" t="s">
        <v>192</v>
      </c>
      <c r="KL65" s="92" t="s">
        <v>1440</v>
      </c>
      <c r="KM65" s="92">
        <v>1900</v>
      </c>
      <c r="KN65" s="92" t="s">
        <v>4438</v>
      </c>
      <c r="KO65" s="92" t="s">
        <v>1440</v>
      </c>
      <c r="KP65" s="92" t="s">
        <v>1401</v>
      </c>
      <c r="KQ65" s="92" t="s">
        <v>192</v>
      </c>
      <c r="KR65" s="92"/>
      <c r="KS65" s="92" t="s">
        <v>1466</v>
      </c>
      <c r="KT65" s="92" t="s">
        <v>1402</v>
      </c>
      <c r="KU65" s="92"/>
      <c r="KV65" s="92" t="s">
        <v>1441</v>
      </c>
      <c r="KW65" s="92" t="s">
        <v>1402</v>
      </c>
      <c r="KX65" s="92" t="s">
        <v>1376</v>
      </c>
      <c r="KY65" s="92" t="s">
        <v>1347</v>
      </c>
      <c r="KZ65" s="92" t="s">
        <v>1403</v>
      </c>
      <c r="LA65" s="92" t="s">
        <v>109</v>
      </c>
      <c r="LB65" s="92" t="s">
        <v>109</v>
      </c>
      <c r="LC65" s="92" t="s">
        <v>4438</v>
      </c>
      <c r="LD65" s="92" t="s">
        <v>4438</v>
      </c>
      <c r="LE65" s="92" t="s">
        <v>109</v>
      </c>
      <c r="LF65" s="92" t="s">
        <v>109</v>
      </c>
    </row>
    <row r="66" spans="1:318" x14ac:dyDescent="0.25">
      <c r="A66" t="s">
        <v>1781</v>
      </c>
      <c r="B66" t="s">
        <v>1782</v>
      </c>
      <c r="C66" t="s">
        <v>1304</v>
      </c>
      <c r="D66" t="s">
        <v>1305</v>
      </c>
      <c r="E66" t="s">
        <v>1381</v>
      </c>
      <c r="G66" t="s">
        <v>1319</v>
      </c>
      <c r="H66">
        <v>6</v>
      </c>
      <c r="I66" t="s">
        <v>1358</v>
      </c>
      <c r="J66" t="s">
        <v>1382</v>
      </c>
      <c r="K66" t="s">
        <v>1309</v>
      </c>
      <c r="L66" t="s">
        <v>1310</v>
      </c>
      <c r="M66" t="s">
        <v>1309</v>
      </c>
      <c r="N66" t="s">
        <v>1309</v>
      </c>
      <c r="O66" t="s">
        <v>1309</v>
      </c>
      <c r="P66" t="s">
        <v>1310</v>
      </c>
      <c r="Q66" t="s">
        <v>1309</v>
      </c>
      <c r="R66" t="s">
        <v>1309</v>
      </c>
      <c r="S66">
        <v>5</v>
      </c>
      <c r="U66" t="s">
        <v>1312</v>
      </c>
      <c r="V66" t="s">
        <v>1312</v>
      </c>
      <c r="W66" t="s">
        <v>1312</v>
      </c>
      <c r="X66" t="s">
        <v>1312</v>
      </c>
      <c r="Y66" t="s">
        <v>1312</v>
      </c>
      <c r="Z66" t="s">
        <v>1312</v>
      </c>
      <c r="AC66">
        <v>1</v>
      </c>
      <c r="AD66">
        <v>13500</v>
      </c>
      <c r="AE66">
        <v>9000</v>
      </c>
      <c r="AF66" t="s">
        <v>1351</v>
      </c>
      <c r="AH66" t="s">
        <v>1383</v>
      </c>
      <c r="AJ66" t="s">
        <v>1315</v>
      </c>
      <c r="AL66" t="s">
        <v>1354</v>
      </c>
      <c r="BS66" t="s">
        <v>1307</v>
      </c>
      <c r="CE66" t="s">
        <v>1414</v>
      </c>
      <c r="CF66" t="s">
        <v>1309</v>
      </c>
      <c r="CG66" t="s">
        <v>1309</v>
      </c>
      <c r="CH66" t="s">
        <v>1309</v>
      </c>
      <c r="CI66" t="s">
        <v>1309</v>
      </c>
      <c r="CJ66" t="s">
        <v>1309</v>
      </c>
      <c r="CK66" t="s">
        <v>1309</v>
      </c>
      <c r="CL66" t="s">
        <v>1309</v>
      </c>
      <c r="CM66" t="s">
        <v>1309</v>
      </c>
      <c r="CN66" t="s">
        <v>1309</v>
      </c>
      <c r="CO66" t="s">
        <v>1309</v>
      </c>
      <c r="CP66" t="s">
        <v>1309</v>
      </c>
      <c r="CQ66" t="s">
        <v>1310</v>
      </c>
      <c r="CR66" t="s">
        <v>1309</v>
      </c>
      <c r="CT66" t="s">
        <v>4436</v>
      </c>
      <c r="CV66" t="s">
        <v>1357</v>
      </c>
      <c r="CW66" t="s">
        <v>1309</v>
      </c>
      <c r="CX66" t="s">
        <v>1309</v>
      </c>
      <c r="CY66" t="s">
        <v>1309</v>
      </c>
      <c r="CZ66" t="s">
        <v>1309</v>
      </c>
      <c r="DA66" t="s">
        <v>1310</v>
      </c>
      <c r="DB66" t="s">
        <v>1309</v>
      </c>
      <c r="DC66" t="s">
        <v>1309</v>
      </c>
      <c r="DE66" t="s">
        <v>1358</v>
      </c>
      <c r="DF66" t="s">
        <v>1319</v>
      </c>
      <c r="DG66">
        <v>250</v>
      </c>
      <c r="DI66">
        <v>1200</v>
      </c>
      <c r="DJ66" t="s">
        <v>1307</v>
      </c>
      <c r="DK66">
        <v>250</v>
      </c>
      <c r="DN66" t="s">
        <v>1676</v>
      </c>
      <c r="DO66" t="s">
        <v>1309</v>
      </c>
      <c r="DP66" t="s">
        <v>1309</v>
      </c>
      <c r="DQ66" t="s">
        <v>1309</v>
      </c>
      <c r="DR66" t="s">
        <v>1309</v>
      </c>
      <c r="DS66" t="s">
        <v>1310</v>
      </c>
      <c r="DT66" t="s">
        <v>1310</v>
      </c>
      <c r="DU66" t="s">
        <v>1309</v>
      </c>
      <c r="DV66" t="s">
        <v>1309</v>
      </c>
      <c r="DW66" t="s">
        <v>1309</v>
      </c>
      <c r="DY66" t="s">
        <v>1490</v>
      </c>
      <c r="DZ66">
        <v>800</v>
      </c>
      <c r="EA66" t="s">
        <v>1319</v>
      </c>
      <c r="EC66" t="s">
        <v>1420</v>
      </c>
      <c r="ED66">
        <v>1000</v>
      </c>
      <c r="EE66" t="s">
        <v>1319</v>
      </c>
      <c r="EG66" t="s">
        <v>5356</v>
      </c>
      <c r="EI66" t="s">
        <v>1307</v>
      </c>
      <c r="ET66" t="s">
        <v>1307</v>
      </c>
      <c r="EV66" t="s">
        <v>1307</v>
      </c>
      <c r="EX66" t="s">
        <v>1319</v>
      </c>
      <c r="EY66" t="s">
        <v>1307</v>
      </c>
      <c r="EZ66" t="s">
        <v>1319</v>
      </c>
      <c r="FA66" t="s">
        <v>1783</v>
      </c>
      <c r="FB66" t="s">
        <v>1309</v>
      </c>
      <c r="FC66" t="s">
        <v>1309</v>
      </c>
      <c r="FD66" t="s">
        <v>1309</v>
      </c>
      <c r="FE66" t="s">
        <v>1310</v>
      </c>
      <c r="FF66" t="s">
        <v>1309</v>
      </c>
      <c r="FG66" t="s">
        <v>1310</v>
      </c>
      <c r="FH66" t="s">
        <v>1309</v>
      </c>
      <c r="FI66" t="s">
        <v>1310</v>
      </c>
      <c r="FJ66" t="s">
        <v>1309</v>
      </c>
      <c r="FK66" t="s">
        <v>1309</v>
      </c>
      <c r="FL66" t="s">
        <v>1309</v>
      </c>
      <c r="FM66" t="s">
        <v>1309</v>
      </c>
      <c r="FN66" t="s">
        <v>1309</v>
      </c>
      <c r="FO66" t="s">
        <v>1310</v>
      </c>
      <c r="FP66" t="s">
        <v>1309</v>
      </c>
      <c r="FQ66" t="s">
        <v>1309</v>
      </c>
      <c r="FR66" t="s">
        <v>1309</v>
      </c>
      <c r="FT66" t="s">
        <v>1319</v>
      </c>
      <c r="FU66" t="s">
        <v>1635</v>
      </c>
      <c r="FV66" t="s">
        <v>1310</v>
      </c>
      <c r="FW66" t="s">
        <v>1309</v>
      </c>
      <c r="FX66" t="s">
        <v>1309</v>
      </c>
      <c r="FY66" t="s">
        <v>1309</v>
      </c>
      <c r="FZ66" t="s">
        <v>1309</v>
      </c>
      <c r="GA66" t="s">
        <v>1310</v>
      </c>
      <c r="GB66" t="s">
        <v>1309</v>
      </c>
      <c r="GC66" t="s">
        <v>1309</v>
      </c>
      <c r="GD66" t="s">
        <v>1309</v>
      </c>
      <c r="GE66" t="s">
        <v>1309</v>
      </c>
      <c r="GF66" t="s">
        <v>1309</v>
      </c>
      <c r="GG66" t="s">
        <v>1309</v>
      </c>
      <c r="GI66" t="s">
        <v>1436</v>
      </c>
      <c r="GJ66" t="s">
        <v>1436</v>
      </c>
      <c r="GK66" t="s">
        <v>1319</v>
      </c>
      <c r="GL66" t="s">
        <v>1619</v>
      </c>
      <c r="GM66" t="s">
        <v>1310</v>
      </c>
      <c r="GN66" t="s">
        <v>1309</v>
      </c>
      <c r="GO66" t="s">
        <v>1309</v>
      </c>
      <c r="GP66" t="s">
        <v>1309</v>
      </c>
      <c r="GQ66" t="s">
        <v>1309</v>
      </c>
      <c r="GR66" t="s">
        <v>1309</v>
      </c>
      <c r="GT66" t="s">
        <v>1325</v>
      </c>
      <c r="GU66" t="s">
        <v>1310</v>
      </c>
      <c r="GV66" t="s">
        <v>1309</v>
      </c>
      <c r="GW66" t="s">
        <v>1309</v>
      </c>
      <c r="GX66" t="s">
        <v>1309</v>
      </c>
      <c r="GY66" t="s">
        <v>1309</v>
      </c>
      <c r="GZ66" t="s">
        <v>1309</v>
      </c>
      <c r="HA66" t="s">
        <v>1309</v>
      </c>
      <c r="HB66" t="s">
        <v>1309</v>
      </c>
      <c r="HC66" t="s">
        <v>1309</v>
      </c>
      <c r="HD66" t="s">
        <v>1309</v>
      </c>
      <c r="HE66" t="s">
        <v>1309</v>
      </c>
      <c r="HF66" t="s">
        <v>1309</v>
      </c>
      <c r="HH66" t="s">
        <v>1363</v>
      </c>
      <c r="HI66" t="s">
        <v>1363</v>
      </c>
      <c r="HJ66" t="s">
        <v>1363</v>
      </c>
      <c r="HK66" t="s">
        <v>1327</v>
      </c>
      <c r="HL66" t="s">
        <v>1364</v>
      </c>
      <c r="HM66" t="s">
        <v>1363</v>
      </c>
      <c r="IA66" t="s">
        <v>1319</v>
      </c>
      <c r="IB66" t="s">
        <v>1784</v>
      </c>
      <c r="IC66" t="s">
        <v>1309</v>
      </c>
      <c r="ID66" t="s">
        <v>1310</v>
      </c>
      <c r="IE66" t="s">
        <v>1309</v>
      </c>
      <c r="IF66" t="s">
        <v>1309</v>
      </c>
      <c r="IG66" t="s">
        <v>1309</v>
      </c>
      <c r="IH66" t="s">
        <v>1309</v>
      </c>
      <c r="II66" t="s">
        <v>1309</v>
      </c>
      <c r="IJ66" t="s">
        <v>1309</v>
      </c>
      <c r="IK66" t="s">
        <v>1309</v>
      </c>
      <c r="IL66" t="s">
        <v>1309</v>
      </c>
      <c r="IM66" t="s">
        <v>1309</v>
      </c>
      <c r="IN66" t="s">
        <v>1309</v>
      </c>
      <c r="IO66" t="s">
        <v>1309</v>
      </c>
      <c r="IQ66" t="s">
        <v>1330</v>
      </c>
      <c r="IS66" t="s">
        <v>1354</v>
      </c>
      <c r="JF66" t="s">
        <v>1354</v>
      </c>
      <c r="JG66" t="s">
        <v>1332</v>
      </c>
      <c r="JH66" t="s">
        <v>1309</v>
      </c>
      <c r="JI66" t="s">
        <v>1309</v>
      </c>
      <c r="JJ66" t="s">
        <v>1309</v>
      </c>
      <c r="JK66" t="s">
        <v>1309</v>
      </c>
      <c r="JL66" t="s">
        <v>1310</v>
      </c>
      <c r="JM66" t="s">
        <v>1309</v>
      </c>
      <c r="JN66" t="s">
        <v>1309</v>
      </c>
      <c r="JO66" t="s">
        <v>1309</v>
      </c>
      <c r="JQ66" s="92" t="s">
        <v>1516</v>
      </c>
      <c r="JR66" s="92" t="s">
        <v>1785</v>
      </c>
      <c r="JS66" s="92">
        <v>37</v>
      </c>
      <c r="JT66" s="92" t="s">
        <v>1319</v>
      </c>
      <c r="JU66" s="92" t="s">
        <v>1575</v>
      </c>
      <c r="JV66" s="92" t="s">
        <v>1336</v>
      </c>
      <c r="JW66" s="92" t="s">
        <v>1296</v>
      </c>
      <c r="JX66" s="92" t="s">
        <v>70</v>
      </c>
      <c r="JY66" s="92" t="s">
        <v>1397</v>
      </c>
      <c r="JZ66" s="92" t="s">
        <v>1337</v>
      </c>
      <c r="KA66" s="92" t="s">
        <v>4846</v>
      </c>
      <c r="KB66" s="92" t="s">
        <v>1399</v>
      </c>
      <c r="KC66" s="92" t="s">
        <v>109</v>
      </c>
      <c r="KD66" s="92" t="s">
        <v>4844</v>
      </c>
      <c r="KE66" s="92" t="s">
        <v>1371</v>
      </c>
      <c r="KF66" s="92">
        <v>1450</v>
      </c>
      <c r="KG66" s="92" t="s">
        <v>4438</v>
      </c>
      <c r="KH66" s="92" t="s">
        <v>192</v>
      </c>
      <c r="KI66" s="92" t="s">
        <v>109</v>
      </c>
      <c r="KJ66" s="92" t="s">
        <v>192</v>
      </c>
      <c r="KK66" s="92" t="s">
        <v>109</v>
      </c>
      <c r="KL66" s="92" t="s">
        <v>1440</v>
      </c>
      <c r="KM66" s="92">
        <v>250</v>
      </c>
      <c r="KN66" s="92" t="s">
        <v>1372</v>
      </c>
      <c r="KO66" s="92" t="s">
        <v>1373</v>
      </c>
      <c r="KP66" s="92" t="s">
        <v>1375</v>
      </c>
      <c r="KQ66" s="92" t="s">
        <v>192</v>
      </c>
      <c r="KR66" s="92"/>
      <c r="KS66" s="92" t="s">
        <v>1466</v>
      </c>
      <c r="KT66" s="92" t="s">
        <v>1344</v>
      </c>
      <c r="KU66" s="92"/>
      <c r="KV66" s="92" t="s">
        <v>1461</v>
      </c>
      <c r="KW66" s="92" t="s">
        <v>1344</v>
      </c>
      <c r="KX66" s="92" t="s">
        <v>1346</v>
      </c>
      <c r="KY66" s="92" t="s">
        <v>1377</v>
      </c>
      <c r="KZ66" s="92" t="s">
        <v>1403</v>
      </c>
      <c r="LA66" s="92" t="s">
        <v>109</v>
      </c>
      <c r="LB66" s="92" t="s">
        <v>109</v>
      </c>
      <c r="LC66" s="92" t="s">
        <v>4438</v>
      </c>
      <c r="LD66" s="92" t="s">
        <v>1372</v>
      </c>
      <c r="LE66" s="92" t="s">
        <v>109</v>
      </c>
      <c r="LF66" s="92" t="s">
        <v>109</v>
      </c>
    </row>
    <row r="67" spans="1:318" x14ac:dyDescent="0.25">
      <c r="A67" t="s">
        <v>1786</v>
      </c>
      <c r="B67" t="s">
        <v>1787</v>
      </c>
      <c r="C67" t="s">
        <v>1304</v>
      </c>
      <c r="D67" t="s">
        <v>1305</v>
      </c>
      <c r="E67" t="s">
        <v>1306</v>
      </c>
      <c r="G67" t="s">
        <v>1307</v>
      </c>
      <c r="H67">
        <v>6</v>
      </c>
      <c r="I67" t="s">
        <v>1318</v>
      </c>
      <c r="J67" t="s">
        <v>1485</v>
      </c>
      <c r="K67" t="s">
        <v>1309</v>
      </c>
      <c r="L67" t="s">
        <v>1310</v>
      </c>
      <c r="M67" t="s">
        <v>1310</v>
      </c>
      <c r="N67" t="s">
        <v>1310</v>
      </c>
      <c r="O67" t="s">
        <v>1309</v>
      </c>
      <c r="P67" t="s">
        <v>1309</v>
      </c>
      <c r="Q67" t="s">
        <v>1309</v>
      </c>
      <c r="R67" t="s">
        <v>1309</v>
      </c>
      <c r="S67">
        <v>2</v>
      </c>
      <c r="T67">
        <v>1</v>
      </c>
      <c r="U67" t="s">
        <v>1311</v>
      </c>
      <c r="V67" t="s">
        <v>1312</v>
      </c>
      <c r="W67" t="s">
        <v>1486</v>
      </c>
      <c r="X67" t="s">
        <v>1312</v>
      </c>
      <c r="Y67" t="s">
        <v>1312</v>
      </c>
      <c r="Z67" t="s">
        <v>1312</v>
      </c>
      <c r="AA67">
        <v>1</v>
      </c>
      <c r="AB67">
        <v>1</v>
      </c>
      <c r="AC67">
        <v>3</v>
      </c>
      <c r="AD67">
        <v>19000</v>
      </c>
      <c r="AE67">
        <v>10000</v>
      </c>
      <c r="AF67" t="s">
        <v>1351</v>
      </c>
      <c r="AH67" t="s">
        <v>1383</v>
      </c>
      <c r="AJ67" t="s">
        <v>1315</v>
      </c>
      <c r="AL67" t="s">
        <v>1354</v>
      </c>
      <c r="BS67" t="s">
        <v>1307</v>
      </c>
      <c r="CE67" t="s">
        <v>1611</v>
      </c>
      <c r="CF67" t="s">
        <v>1310</v>
      </c>
      <c r="CG67" t="s">
        <v>1309</v>
      </c>
      <c r="CH67" t="s">
        <v>1309</v>
      </c>
      <c r="CI67" t="s">
        <v>1309</v>
      </c>
      <c r="CJ67" t="s">
        <v>1309</v>
      </c>
      <c r="CK67" t="s">
        <v>1309</v>
      </c>
      <c r="CL67" t="s">
        <v>1309</v>
      </c>
      <c r="CM67" t="s">
        <v>1309</v>
      </c>
      <c r="CN67" t="s">
        <v>1310</v>
      </c>
      <c r="CO67" t="s">
        <v>1310</v>
      </c>
      <c r="CP67" t="s">
        <v>1309</v>
      </c>
      <c r="CQ67" t="s">
        <v>1309</v>
      </c>
      <c r="CR67" t="s">
        <v>1309</v>
      </c>
      <c r="CT67" t="s">
        <v>4437</v>
      </c>
      <c r="CV67" t="s">
        <v>1444</v>
      </c>
      <c r="CW67" t="s">
        <v>1309</v>
      </c>
      <c r="CX67" t="s">
        <v>1310</v>
      </c>
      <c r="CY67" t="s">
        <v>1309</v>
      </c>
      <c r="CZ67" t="s">
        <v>1309</v>
      </c>
      <c r="DA67" t="s">
        <v>1309</v>
      </c>
      <c r="DB67" t="s">
        <v>1309</v>
      </c>
      <c r="DC67" t="s">
        <v>1309</v>
      </c>
      <c r="DE67" t="s">
        <v>1358</v>
      </c>
      <c r="DG67">
        <v>1200</v>
      </c>
      <c r="DI67">
        <v>2700</v>
      </c>
      <c r="DJ67" t="s">
        <v>1358</v>
      </c>
      <c r="DK67">
        <v>1800</v>
      </c>
      <c r="DM67">
        <v>2800</v>
      </c>
      <c r="DN67" t="s">
        <v>1320</v>
      </c>
      <c r="DO67" t="s">
        <v>1310</v>
      </c>
      <c r="DP67" t="s">
        <v>1309</v>
      </c>
      <c r="DQ67" t="s">
        <v>1309</v>
      </c>
      <c r="DR67" t="s">
        <v>1309</v>
      </c>
      <c r="DS67" t="s">
        <v>1309</v>
      </c>
      <c r="DT67" t="s">
        <v>1310</v>
      </c>
      <c r="DU67" t="s">
        <v>1309</v>
      </c>
      <c r="DV67" t="s">
        <v>1309</v>
      </c>
      <c r="DW67" t="s">
        <v>1309</v>
      </c>
      <c r="DY67" t="s">
        <v>1456</v>
      </c>
      <c r="DZ67">
        <v>300</v>
      </c>
      <c r="EA67" t="s">
        <v>1319</v>
      </c>
      <c r="EC67" t="s">
        <v>1624</v>
      </c>
      <c r="ED67">
        <v>1000</v>
      </c>
      <c r="EE67" t="s">
        <v>1319</v>
      </c>
      <c r="EG67" t="s">
        <v>5357</v>
      </c>
      <c r="ET67" t="s">
        <v>1307</v>
      </c>
      <c r="EV67" t="s">
        <v>1319</v>
      </c>
      <c r="EW67" t="s">
        <v>1414</v>
      </c>
      <c r="EX67" t="s">
        <v>1319</v>
      </c>
      <c r="EY67" t="s">
        <v>1319</v>
      </c>
      <c r="FA67" t="s">
        <v>1788</v>
      </c>
      <c r="FB67" t="s">
        <v>1310</v>
      </c>
      <c r="FC67" t="s">
        <v>1310</v>
      </c>
      <c r="FD67" t="s">
        <v>1309</v>
      </c>
      <c r="FE67" t="s">
        <v>1310</v>
      </c>
      <c r="FF67" t="s">
        <v>1309</v>
      </c>
      <c r="FG67" t="s">
        <v>1309</v>
      </c>
      <c r="FH67" t="s">
        <v>1309</v>
      </c>
      <c r="FI67" t="s">
        <v>1309</v>
      </c>
      <c r="FJ67" t="s">
        <v>1309</v>
      </c>
      <c r="FK67" t="s">
        <v>1309</v>
      </c>
      <c r="FL67" t="s">
        <v>1309</v>
      </c>
      <c r="FM67" t="s">
        <v>1309</v>
      </c>
      <c r="FN67" t="s">
        <v>1309</v>
      </c>
      <c r="FO67" t="s">
        <v>1309</v>
      </c>
      <c r="FP67" t="s">
        <v>1309</v>
      </c>
      <c r="FQ67" t="s">
        <v>1309</v>
      </c>
      <c r="FR67" t="s">
        <v>1309</v>
      </c>
      <c r="FT67" t="s">
        <v>1319</v>
      </c>
      <c r="FU67" t="s">
        <v>1435</v>
      </c>
      <c r="FV67" t="s">
        <v>1310</v>
      </c>
      <c r="FW67" t="s">
        <v>1309</v>
      </c>
      <c r="FX67" t="s">
        <v>1309</v>
      </c>
      <c r="FY67" t="s">
        <v>1309</v>
      </c>
      <c r="FZ67" t="s">
        <v>1309</v>
      </c>
      <c r="GA67" t="s">
        <v>1309</v>
      </c>
      <c r="GB67" t="s">
        <v>1309</v>
      </c>
      <c r="GC67" t="s">
        <v>1309</v>
      </c>
      <c r="GD67" t="s">
        <v>1309</v>
      </c>
      <c r="GE67" t="s">
        <v>1309</v>
      </c>
      <c r="GF67" t="s">
        <v>1309</v>
      </c>
      <c r="GG67" t="s">
        <v>1309</v>
      </c>
      <c r="GI67" t="s">
        <v>1436</v>
      </c>
      <c r="GJ67" t="s">
        <v>1436</v>
      </c>
      <c r="GK67" t="s">
        <v>1319</v>
      </c>
      <c r="GL67" t="s">
        <v>1619</v>
      </c>
      <c r="GM67" t="s">
        <v>1310</v>
      </c>
      <c r="GN67" t="s">
        <v>1309</v>
      </c>
      <c r="GO67" t="s">
        <v>1309</v>
      </c>
      <c r="GP67" t="s">
        <v>1309</v>
      </c>
      <c r="GQ67" t="s">
        <v>1309</v>
      </c>
      <c r="GR67" t="s">
        <v>1309</v>
      </c>
      <c r="GT67" t="s">
        <v>1325</v>
      </c>
      <c r="GU67" t="s">
        <v>1310</v>
      </c>
      <c r="GV67" t="s">
        <v>1309</v>
      </c>
      <c r="GW67" t="s">
        <v>1309</v>
      </c>
      <c r="GX67" t="s">
        <v>1309</v>
      </c>
      <c r="GY67" t="s">
        <v>1309</v>
      </c>
      <c r="GZ67" t="s">
        <v>1309</v>
      </c>
      <c r="HA67" t="s">
        <v>1309</v>
      </c>
      <c r="HB67" t="s">
        <v>1309</v>
      </c>
      <c r="HC67" t="s">
        <v>1309</v>
      </c>
      <c r="HD67" t="s">
        <v>1309</v>
      </c>
      <c r="HE67" t="s">
        <v>1309</v>
      </c>
      <c r="HF67" t="s">
        <v>1309</v>
      </c>
      <c r="HH67" t="s">
        <v>1326</v>
      </c>
      <c r="HI67" t="s">
        <v>1327</v>
      </c>
      <c r="HJ67" t="s">
        <v>1326</v>
      </c>
      <c r="HK67" t="s">
        <v>1327</v>
      </c>
      <c r="HL67" t="s">
        <v>1328</v>
      </c>
      <c r="HM67" t="s">
        <v>1326</v>
      </c>
      <c r="HN67" t="s">
        <v>1549</v>
      </c>
      <c r="HO67" t="s">
        <v>1310</v>
      </c>
      <c r="HP67" t="s">
        <v>1310</v>
      </c>
      <c r="HQ67" t="s">
        <v>1309</v>
      </c>
      <c r="HR67" t="s">
        <v>1309</v>
      </c>
      <c r="HS67" t="s">
        <v>1309</v>
      </c>
      <c r="HT67" t="s">
        <v>1309</v>
      </c>
      <c r="HU67" t="s">
        <v>1309</v>
      </c>
      <c r="HV67" t="s">
        <v>1309</v>
      </c>
      <c r="HW67" t="s">
        <v>1309</v>
      </c>
      <c r="HX67" t="s">
        <v>1309</v>
      </c>
      <c r="HY67" t="s">
        <v>1309</v>
      </c>
      <c r="IA67" t="s">
        <v>1307</v>
      </c>
      <c r="IQ67" t="s">
        <v>1308</v>
      </c>
      <c r="IS67" t="s">
        <v>1354</v>
      </c>
      <c r="JF67" t="s">
        <v>1316</v>
      </c>
      <c r="JG67" t="s">
        <v>1414</v>
      </c>
      <c r="JH67" t="s">
        <v>1309</v>
      </c>
      <c r="JI67" t="s">
        <v>1309</v>
      </c>
      <c r="JJ67" t="s">
        <v>1309</v>
      </c>
      <c r="JK67" t="s">
        <v>1309</v>
      </c>
      <c r="JL67" t="s">
        <v>1309</v>
      </c>
      <c r="JM67" t="s">
        <v>1309</v>
      </c>
      <c r="JN67" t="s">
        <v>1310</v>
      </c>
      <c r="JO67" t="s">
        <v>1309</v>
      </c>
      <c r="JQ67" s="92" t="s">
        <v>1516</v>
      </c>
      <c r="JR67" s="92" t="s">
        <v>1660</v>
      </c>
      <c r="JS67" s="92">
        <v>55</v>
      </c>
      <c r="JT67" s="92" t="s">
        <v>1319</v>
      </c>
      <c r="JU67" s="92" t="s">
        <v>1789</v>
      </c>
      <c r="JV67" s="92" t="s">
        <v>1336</v>
      </c>
      <c r="JW67" s="92" t="s">
        <v>1296</v>
      </c>
      <c r="JX67" s="92" t="s">
        <v>71</v>
      </c>
      <c r="JY67" s="92" t="s">
        <v>5549</v>
      </c>
      <c r="JZ67" s="92" t="s">
        <v>1337</v>
      </c>
      <c r="KA67" s="92" t="s">
        <v>4846</v>
      </c>
      <c r="KB67" s="92" t="s">
        <v>1370</v>
      </c>
      <c r="KC67" s="92" t="s">
        <v>192</v>
      </c>
      <c r="KD67" s="92" t="s">
        <v>4848</v>
      </c>
      <c r="KE67" s="92" t="s">
        <v>1452</v>
      </c>
      <c r="KF67" s="92">
        <v>3900</v>
      </c>
      <c r="KG67" s="92" t="s">
        <v>4438</v>
      </c>
      <c r="KH67" s="92" t="s">
        <v>192</v>
      </c>
      <c r="KI67" s="92" t="s">
        <v>109</v>
      </c>
      <c r="KJ67" s="92" t="s">
        <v>192</v>
      </c>
      <c r="KK67" s="92" t="s">
        <v>109</v>
      </c>
      <c r="KL67" s="92" t="s">
        <v>1341</v>
      </c>
      <c r="KM67" s="92">
        <v>4600</v>
      </c>
      <c r="KN67" s="92" t="s">
        <v>4438</v>
      </c>
      <c r="KO67" s="92" t="s">
        <v>1341</v>
      </c>
      <c r="KP67" s="92" t="s">
        <v>1375</v>
      </c>
      <c r="KQ67" s="92" t="s">
        <v>192</v>
      </c>
      <c r="KR67" s="92">
        <v>8</v>
      </c>
      <c r="KS67" s="92" t="s">
        <v>1343</v>
      </c>
      <c r="KT67" s="92" t="s">
        <v>1344</v>
      </c>
      <c r="KU67" s="92">
        <v>22</v>
      </c>
      <c r="KV67" s="92" t="s">
        <v>1461</v>
      </c>
      <c r="KW67" s="92" t="s">
        <v>1344</v>
      </c>
      <c r="KX67" s="92" t="s">
        <v>1376</v>
      </c>
      <c r="KY67" s="92" t="s">
        <v>1377</v>
      </c>
      <c r="KZ67" s="92" t="s">
        <v>1378</v>
      </c>
      <c r="LA67" s="92" t="s">
        <v>192</v>
      </c>
      <c r="LB67" s="92" t="s">
        <v>192</v>
      </c>
      <c r="LC67" s="92" t="s">
        <v>4439</v>
      </c>
      <c r="LD67" s="92" t="s">
        <v>4439</v>
      </c>
      <c r="LE67" s="92" t="s">
        <v>109</v>
      </c>
      <c r="LF67" s="92" t="s">
        <v>109</v>
      </c>
    </row>
    <row r="68" spans="1:318" x14ac:dyDescent="0.25">
      <c r="A68" t="s">
        <v>1790</v>
      </c>
      <c r="B68" t="s">
        <v>1791</v>
      </c>
      <c r="C68" t="s">
        <v>1304</v>
      </c>
      <c r="D68" t="s">
        <v>1305</v>
      </c>
      <c r="E68" t="s">
        <v>1381</v>
      </c>
      <c r="G68" t="s">
        <v>1319</v>
      </c>
      <c r="H68">
        <v>2</v>
      </c>
      <c r="I68" t="s">
        <v>1358</v>
      </c>
      <c r="J68" t="s">
        <v>1553</v>
      </c>
      <c r="K68" t="s">
        <v>1310</v>
      </c>
      <c r="L68" t="s">
        <v>1310</v>
      </c>
      <c r="M68" t="s">
        <v>1309</v>
      </c>
      <c r="N68" t="s">
        <v>1309</v>
      </c>
      <c r="O68" t="s">
        <v>1309</v>
      </c>
      <c r="P68" t="s">
        <v>1310</v>
      </c>
      <c r="Q68" t="s">
        <v>1309</v>
      </c>
      <c r="R68" t="s">
        <v>1309</v>
      </c>
      <c r="S68">
        <v>1</v>
      </c>
      <c r="U68" t="s">
        <v>1312</v>
      </c>
      <c r="V68" t="s">
        <v>1312</v>
      </c>
      <c r="W68" t="s">
        <v>1312</v>
      </c>
      <c r="X68" t="s">
        <v>1312</v>
      </c>
      <c r="Y68" t="s">
        <v>1312</v>
      </c>
      <c r="Z68" t="s">
        <v>1312</v>
      </c>
      <c r="AC68">
        <v>1</v>
      </c>
      <c r="AD68">
        <v>7000</v>
      </c>
      <c r="AE68">
        <v>7000</v>
      </c>
      <c r="AF68" t="s">
        <v>1313</v>
      </c>
      <c r="AH68" t="s">
        <v>1383</v>
      </c>
      <c r="AJ68" t="s">
        <v>1315</v>
      </c>
      <c r="AL68" t="s">
        <v>1354</v>
      </c>
      <c r="BS68" t="s">
        <v>1307</v>
      </c>
      <c r="CE68" t="s">
        <v>1414</v>
      </c>
      <c r="CF68" t="s">
        <v>1309</v>
      </c>
      <c r="CG68" t="s">
        <v>1309</v>
      </c>
      <c r="CH68" t="s">
        <v>1309</v>
      </c>
      <c r="CI68" t="s">
        <v>1309</v>
      </c>
      <c r="CJ68" t="s">
        <v>1309</v>
      </c>
      <c r="CK68" t="s">
        <v>1309</v>
      </c>
      <c r="CL68" t="s">
        <v>1309</v>
      </c>
      <c r="CM68" t="s">
        <v>1309</v>
      </c>
      <c r="CN68" t="s">
        <v>1309</v>
      </c>
      <c r="CO68" t="s">
        <v>1309</v>
      </c>
      <c r="CP68" t="s">
        <v>1309</v>
      </c>
      <c r="CQ68" t="s">
        <v>1310</v>
      </c>
      <c r="CR68" t="s">
        <v>1309</v>
      </c>
      <c r="CT68" t="s">
        <v>4435</v>
      </c>
      <c r="CV68" t="s">
        <v>1308</v>
      </c>
      <c r="CW68" t="s">
        <v>1310</v>
      </c>
      <c r="CX68" t="s">
        <v>1309</v>
      </c>
      <c r="CY68" t="s">
        <v>1309</v>
      </c>
      <c r="CZ68" t="s">
        <v>1309</v>
      </c>
      <c r="DA68" t="s">
        <v>1309</v>
      </c>
      <c r="DB68" t="s">
        <v>1309</v>
      </c>
      <c r="DC68" t="s">
        <v>1309</v>
      </c>
      <c r="DE68" t="s">
        <v>1358</v>
      </c>
      <c r="DF68" t="s">
        <v>1307</v>
      </c>
      <c r="DH68">
        <v>1200</v>
      </c>
      <c r="DI68">
        <v>450</v>
      </c>
      <c r="DJ68" t="s">
        <v>1358</v>
      </c>
      <c r="DL68">
        <v>1400</v>
      </c>
      <c r="DM68">
        <v>450</v>
      </c>
      <c r="DN68" t="s">
        <v>1320</v>
      </c>
      <c r="DO68" t="s">
        <v>1310</v>
      </c>
      <c r="DP68" t="s">
        <v>1309</v>
      </c>
      <c r="DQ68" t="s">
        <v>1309</v>
      </c>
      <c r="DR68" t="s">
        <v>1309</v>
      </c>
      <c r="DS68" t="s">
        <v>1309</v>
      </c>
      <c r="DT68" t="s">
        <v>1310</v>
      </c>
      <c r="DU68" t="s">
        <v>1309</v>
      </c>
      <c r="DV68" t="s">
        <v>1309</v>
      </c>
      <c r="DW68" t="s">
        <v>1309</v>
      </c>
      <c r="DY68" t="s">
        <v>1481</v>
      </c>
      <c r="DZ68">
        <v>530</v>
      </c>
      <c r="EA68" t="s">
        <v>1319</v>
      </c>
      <c r="EC68" t="s">
        <v>1624</v>
      </c>
      <c r="ED68">
        <v>800</v>
      </c>
      <c r="EE68" t="s">
        <v>1319</v>
      </c>
      <c r="EG68" t="s">
        <v>5356</v>
      </c>
      <c r="EI68" t="s">
        <v>1307</v>
      </c>
      <c r="ET68" t="s">
        <v>1544</v>
      </c>
      <c r="EV68" t="s">
        <v>1319</v>
      </c>
      <c r="EW68" t="s">
        <v>1421</v>
      </c>
      <c r="EX68" t="s">
        <v>1319</v>
      </c>
      <c r="FA68" t="s">
        <v>1792</v>
      </c>
      <c r="FB68" t="s">
        <v>1309</v>
      </c>
      <c r="FC68" t="s">
        <v>1309</v>
      </c>
      <c r="FD68" t="s">
        <v>1309</v>
      </c>
      <c r="FE68" t="s">
        <v>1309</v>
      </c>
      <c r="FF68" t="s">
        <v>1309</v>
      </c>
      <c r="FG68" t="s">
        <v>1309</v>
      </c>
      <c r="FH68" t="s">
        <v>1309</v>
      </c>
      <c r="FI68" t="s">
        <v>1310</v>
      </c>
      <c r="FJ68" t="s">
        <v>1309</v>
      </c>
      <c r="FK68" t="s">
        <v>1309</v>
      </c>
      <c r="FL68" t="s">
        <v>1310</v>
      </c>
      <c r="FM68" t="s">
        <v>1309</v>
      </c>
      <c r="FN68" t="s">
        <v>1309</v>
      </c>
      <c r="FO68" t="s">
        <v>1309</v>
      </c>
      <c r="FP68" t="s">
        <v>1309</v>
      </c>
      <c r="FQ68" t="s">
        <v>1309</v>
      </c>
      <c r="FR68" t="s">
        <v>1309</v>
      </c>
      <c r="FT68" t="s">
        <v>1319</v>
      </c>
      <c r="FU68" t="s">
        <v>1635</v>
      </c>
      <c r="FV68" t="s">
        <v>1310</v>
      </c>
      <c r="FW68" t="s">
        <v>1309</v>
      </c>
      <c r="FX68" t="s">
        <v>1309</v>
      </c>
      <c r="FY68" t="s">
        <v>1309</v>
      </c>
      <c r="FZ68" t="s">
        <v>1309</v>
      </c>
      <c r="GA68" t="s">
        <v>1310</v>
      </c>
      <c r="GB68" t="s">
        <v>1309</v>
      </c>
      <c r="GC68" t="s">
        <v>1309</v>
      </c>
      <c r="GD68" t="s">
        <v>1309</v>
      </c>
      <c r="GE68" t="s">
        <v>1309</v>
      </c>
      <c r="GF68" t="s">
        <v>1309</v>
      </c>
      <c r="GG68" t="s">
        <v>1309</v>
      </c>
      <c r="GI68" t="s">
        <v>1324</v>
      </c>
      <c r="GJ68" t="s">
        <v>1324</v>
      </c>
      <c r="GT68" t="s">
        <v>1325</v>
      </c>
      <c r="GU68" t="s">
        <v>1310</v>
      </c>
      <c r="GV68" t="s">
        <v>1309</v>
      </c>
      <c r="GW68" t="s">
        <v>1309</v>
      </c>
      <c r="GX68" t="s">
        <v>1309</v>
      </c>
      <c r="GY68" t="s">
        <v>1309</v>
      </c>
      <c r="GZ68" t="s">
        <v>1309</v>
      </c>
      <c r="HA68" t="s">
        <v>1309</v>
      </c>
      <c r="HB68" t="s">
        <v>1309</v>
      </c>
      <c r="HC68" t="s">
        <v>1309</v>
      </c>
      <c r="HD68" t="s">
        <v>1309</v>
      </c>
      <c r="HE68" t="s">
        <v>1309</v>
      </c>
      <c r="HF68" t="s">
        <v>1309</v>
      </c>
      <c r="HH68" t="s">
        <v>1326</v>
      </c>
      <c r="HI68" t="s">
        <v>1326</v>
      </c>
      <c r="HJ68" t="s">
        <v>1390</v>
      </c>
      <c r="HK68" t="s">
        <v>1326</v>
      </c>
      <c r="HL68" t="s">
        <v>1437</v>
      </c>
      <c r="HM68" t="s">
        <v>1326</v>
      </c>
      <c r="HN68" t="s">
        <v>1793</v>
      </c>
      <c r="HO68" t="s">
        <v>1309</v>
      </c>
      <c r="HP68" t="s">
        <v>1309</v>
      </c>
      <c r="HQ68" t="s">
        <v>1309</v>
      </c>
      <c r="HR68" t="s">
        <v>1309</v>
      </c>
      <c r="HS68" t="s">
        <v>1310</v>
      </c>
      <c r="HT68" t="s">
        <v>1309</v>
      </c>
      <c r="HU68" t="s">
        <v>1309</v>
      </c>
      <c r="HV68" t="s">
        <v>1310</v>
      </c>
      <c r="HW68" t="s">
        <v>1309</v>
      </c>
      <c r="HX68" t="s">
        <v>1309</v>
      </c>
      <c r="HY68" t="s">
        <v>1309</v>
      </c>
      <c r="IA68" t="s">
        <v>1319</v>
      </c>
      <c r="IB68" t="s">
        <v>1579</v>
      </c>
      <c r="IC68" t="s">
        <v>1309</v>
      </c>
      <c r="ID68" t="s">
        <v>1309</v>
      </c>
      <c r="IE68" t="s">
        <v>1309</v>
      </c>
      <c r="IF68" t="s">
        <v>1309</v>
      </c>
      <c r="IG68" t="s">
        <v>1310</v>
      </c>
      <c r="IH68" t="s">
        <v>1309</v>
      </c>
      <c r="II68" t="s">
        <v>1309</v>
      </c>
      <c r="IJ68" t="s">
        <v>1309</v>
      </c>
      <c r="IK68" t="s">
        <v>1310</v>
      </c>
      <c r="IL68" t="s">
        <v>1309</v>
      </c>
      <c r="IM68" t="s">
        <v>1309</v>
      </c>
      <c r="IN68" t="s">
        <v>1309</v>
      </c>
      <c r="IO68" t="s">
        <v>1309</v>
      </c>
      <c r="IQ68" t="s">
        <v>1365</v>
      </c>
      <c r="IS68" t="s">
        <v>1316</v>
      </c>
      <c r="JF68" t="s">
        <v>1316</v>
      </c>
      <c r="JG68" t="s">
        <v>1507</v>
      </c>
      <c r="JH68" t="s">
        <v>1309</v>
      </c>
      <c r="JI68" t="s">
        <v>1309</v>
      </c>
      <c r="JJ68" t="s">
        <v>1310</v>
      </c>
      <c r="JK68" t="s">
        <v>1310</v>
      </c>
      <c r="JL68" t="s">
        <v>1309</v>
      </c>
      <c r="JM68" t="s">
        <v>1309</v>
      </c>
      <c r="JN68" t="s">
        <v>1309</v>
      </c>
      <c r="JO68" t="s">
        <v>1309</v>
      </c>
      <c r="JQ68" s="92" t="s">
        <v>1524</v>
      </c>
      <c r="JR68" s="92" t="s">
        <v>1525</v>
      </c>
      <c r="JS68" s="92">
        <v>35</v>
      </c>
      <c r="JT68" s="92" t="s">
        <v>1319</v>
      </c>
      <c r="JU68" s="92" t="s">
        <v>1396</v>
      </c>
      <c r="JV68" s="92" t="s">
        <v>1526</v>
      </c>
      <c r="JW68" s="92" t="s">
        <v>1296</v>
      </c>
      <c r="JX68" s="92" t="s">
        <v>71</v>
      </c>
      <c r="JY68" s="92" t="s">
        <v>1397</v>
      </c>
      <c r="JZ68" s="92" t="s">
        <v>1337</v>
      </c>
      <c r="KA68" s="92" t="s">
        <v>4845</v>
      </c>
      <c r="KB68" s="92" t="s">
        <v>1399</v>
      </c>
      <c r="KC68" s="92" t="s">
        <v>109</v>
      </c>
      <c r="KD68" s="92" t="s">
        <v>4844</v>
      </c>
      <c r="KE68" s="92" t="s">
        <v>1424</v>
      </c>
      <c r="KF68" s="92">
        <v>1650</v>
      </c>
      <c r="KG68" s="92" t="s">
        <v>4438</v>
      </c>
      <c r="KH68" s="92" t="s">
        <v>109</v>
      </c>
      <c r="KI68" s="92" t="s">
        <v>192</v>
      </c>
      <c r="KJ68" s="92" t="s">
        <v>109</v>
      </c>
      <c r="KK68" s="92" t="s">
        <v>192</v>
      </c>
      <c r="KL68" s="92" t="s">
        <v>1440</v>
      </c>
      <c r="KM68" s="92">
        <v>1850</v>
      </c>
      <c r="KN68" s="92" t="s">
        <v>4439</v>
      </c>
      <c r="KO68" s="92" t="s">
        <v>1440</v>
      </c>
      <c r="KP68" s="92" t="s">
        <v>1342</v>
      </c>
      <c r="KQ68" s="92" t="s">
        <v>109</v>
      </c>
      <c r="KR68" s="92">
        <v>32</v>
      </c>
      <c r="KS68" s="92" t="s">
        <v>1345</v>
      </c>
      <c r="KT68" s="92" t="s">
        <v>1344</v>
      </c>
      <c r="KU68" s="92">
        <v>43</v>
      </c>
      <c r="KV68" s="92" t="s">
        <v>1441</v>
      </c>
      <c r="KW68" s="92" t="s">
        <v>1344</v>
      </c>
      <c r="KX68" s="92" t="s">
        <v>1376</v>
      </c>
      <c r="KY68" s="92" t="s">
        <v>1377</v>
      </c>
      <c r="KZ68" s="92" t="s">
        <v>1403</v>
      </c>
      <c r="LA68" s="92" t="s">
        <v>109</v>
      </c>
      <c r="LB68" s="92" t="s">
        <v>109</v>
      </c>
      <c r="LC68" s="92" t="s">
        <v>4438</v>
      </c>
      <c r="LD68" s="92" t="s">
        <v>4438</v>
      </c>
      <c r="LE68" s="92" t="s">
        <v>192</v>
      </c>
      <c r="LF68" s="92" t="s">
        <v>192</v>
      </c>
    </row>
    <row r="69" spans="1:318" x14ac:dyDescent="0.25">
      <c r="A69" t="s">
        <v>1794</v>
      </c>
      <c r="B69" t="s">
        <v>1795</v>
      </c>
      <c r="C69" t="s">
        <v>1304</v>
      </c>
      <c r="D69" t="s">
        <v>1305</v>
      </c>
      <c r="E69" t="s">
        <v>1381</v>
      </c>
      <c r="G69" t="s">
        <v>1319</v>
      </c>
      <c r="H69">
        <v>5</v>
      </c>
      <c r="I69" t="s">
        <v>1358</v>
      </c>
      <c r="J69" t="s">
        <v>1406</v>
      </c>
      <c r="K69" t="s">
        <v>1309</v>
      </c>
      <c r="L69" t="s">
        <v>1310</v>
      </c>
      <c r="M69" t="s">
        <v>1309</v>
      </c>
      <c r="N69" t="s">
        <v>1309</v>
      </c>
      <c r="O69" t="s">
        <v>1309</v>
      </c>
      <c r="P69" t="s">
        <v>1309</v>
      </c>
      <c r="Q69" t="s">
        <v>1309</v>
      </c>
      <c r="R69" t="s">
        <v>1309</v>
      </c>
      <c r="S69">
        <v>2</v>
      </c>
      <c r="U69" t="s">
        <v>1312</v>
      </c>
      <c r="V69" t="s">
        <v>1312</v>
      </c>
      <c r="W69" t="s">
        <v>1311</v>
      </c>
      <c r="X69" t="s">
        <v>1312</v>
      </c>
      <c r="Y69" t="s">
        <v>1312</v>
      </c>
      <c r="Z69" t="s">
        <v>1312</v>
      </c>
      <c r="AC69">
        <v>2</v>
      </c>
      <c r="AD69">
        <v>11000</v>
      </c>
      <c r="AE69">
        <v>11000</v>
      </c>
      <c r="AF69" t="s">
        <v>1313</v>
      </c>
      <c r="AH69" t="s">
        <v>1383</v>
      </c>
      <c r="AJ69" t="s">
        <v>1315</v>
      </c>
      <c r="AL69" t="s">
        <v>1316</v>
      </c>
      <c r="BS69" t="s">
        <v>1307</v>
      </c>
      <c r="CE69" t="s">
        <v>1355</v>
      </c>
      <c r="CF69" t="s">
        <v>1309</v>
      </c>
      <c r="CG69" t="s">
        <v>1309</v>
      </c>
      <c r="CH69" t="s">
        <v>1309</v>
      </c>
      <c r="CI69" t="s">
        <v>1309</v>
      </c>
      <c r="CJ69" t="s">
        <v>1309</v>
      </c>
      <c r="CK69" t="s">
        <v>1309</v>
      </c>
      <c r="CL69" t="s">
        <v>1309</v>
      </c>
      <c r="CM69" t="s">
        <v>1309</v>
      </c>
      <c r="CN69" t="s">
        <v>1310</v>
      </c>
      <c r="CO69" t="s">
        <v>1309</v>
      </c>
      <c r="CP69" t="s">
        <v>1309</v>
      </c>
      <c r="CQ69" t="s">
        <v>1309</v>
      </c>
      <c r="CR69" t="s">
        <v>1309</v>
      </c>
      <c r="CT69" t="s">
        <v>4435</v>
      </c>
      <c r="CV69" t="s">
        <v>1357</v>
      </c>
      <c r="CW69" t="s">
        <v>1309</v>
      </c>
      <c r="CX69" t="s">
        <v>1309</v>
      </c>
      <c r="CY69" t="s">
        <v>1309</v>
      </c>
      <c r="CZ69" t="s">
        <v>1309</v>
      </c>
      <c r="DA69" t="s">
        <v>1310</v>
      </c>
      <c r="DB69" t="s">
        <v>1309</v>
      </c>
      <c r="DC69" t="s">
        <v>1309</v>
      </c>
      <c r="DE69" t="s">
        <v>1318</v>
      </c>
      <c r="DF69" t="s">
        <v>1307</v>
      </c>
      <c r="DH69">
        <v>2000</v>
      </c>
      <c r="DI69">
        <v>1000</v>
      </c>
      <c r="DJ69" t="s">
        <v>1318</v>
      </c>
      <c r="DL69">
        <v>2500</v>
      </c>
      <c r="DM69">
        <v>1500</v>
      </c>
      <c r="DN69" t="s">
        <v>1432</v>
      </c>
      <c r="DO69" t="s">
        <v>1310</v>
      </c>
      <c r="DP69" t="s">
        <v>1309</v>
      </c>
      <c r="DQ69" t="s">
        <v>1309</v>
      </c>
      <c r="DR69" t="s">
        <v>1310</v>
      </c>
      <c r="DS69" t="s">
        <v>1309</v>
      </c>
      <c r="DT69" t="s">
        <v>1310</v>
      </c>
      <c r="DU69" t="s">
        <v>1309</v>
      </c>
      <c r="DV69" t="s">
        <v>1309</v>
      </c>
      <c r="DW69" t="s">
        <v>1309</v>
      </c>
      <c r="DY69" t="s">
        <v>1408</v>
      </c>
      <c r="DZ69">
        <v>500</v>
      </c>
      <c r="EA69" t="s">
        <v>1319</v>
      </c>
      <c r="EC69" t="s">
        <v>1624</v>
      </c>
      <c r="ED69">
        <v>800</v>
      </c>
      <c r="EE69" t="s">
        <v>1319</v>
      </c>
      <c r="EG69" t="s">
        <v>5356</v>
      </c>
      <c r="EI69" t="s">
        <v>1307</v>
      </c>
      <c r="ET69" t="s">
        <v>1307</v>
      </c>
      <c r="EV69" t="s">
        <v>1319</v>
      </c>
      <c r="EW69" t="s">
        <v>1409</v>
      </c>
      <c r="EX69" t="s">
        <v>1319</v>
      </c>
      <c r="FA69" t="s">
        <v>1796</v>
      </c>
      <c r="FB69" t="s">
        <v>1309</v>
      </c>
      <c r="FC69" t="s">
        <v>1309</v>
      </c>
      <c r="FD69" t="s">
        <v>1310</v>
      </c>
      <c r="FE69" t="s">
        <v>1309</v>
      </c>
      <c r="FF69" t="s">
        <v>1309</v>
      </c>
      <c r="FG69" t="s">
        <v>1309</v>
      </c>
      <c r="FH69" t="s">
        <v>1309</v>
      </c>
      <c r="FI69" t="s">
        <v>1309</v>
      </c>
      <c r="FJ69" t="s">
        <v>1309</v>
      </c>
      <c r="FK69" t="s">
        <v>1309</v>
      </c>
      <c r="FL69" t="s">
        <v>1309</v>
      </c>
      <c r="FM69" t="s">
        <v>1309</v>
      </c>
      <c r="FN69" t="s">
        <v>1309</v>
      </c>
      <c r="FO69" t="s">
        <v>1309</v>
      </c>
      <c r="FP69" t="s">
        <v>1309</v>
      </c>
      <c r="FQ69" t="s">
        <v>1309</v>
      </c>
      <c r="FR69" t="s">
        <v>1309</v>
      </c>
      <c r="FT69" t="s">
        <v>1319</v>
      </c>
      <c r="FU69" t="s">
        <v>1649</v>
      </c>
      <c r="FV69" t="s">
        <v>1310</v>
      </c>
      <c r="FW69" t="s">
        <v>1310</v>
      </c>
      <c r="FX69" t="s">
        <v>1309</v>
      </c>
      <c r="FY69" t="s">
        <v>1309</v>
      </c>
      <c r="FZ69" t="s">
        <v>1309</v>
      </c>
      <c r="GA69" t="s">
        <v>1309</v>
      </c>
      <c r="GB69" t="s">
        <v>1309</v>
      </c>
      <c r="GC69" t="s">
        <v>1309</v>
      </c>
      <c r="GD69" t="s">
        <v>1309</v>
      </c>
      <c r="GE69" t="s">
        <v>1309</v>
      </c>
      <c r="GF69" t="s">
        <v>1309</v>
      </c>
      <c r="GG69" t="s">
        <v>1309</v>
      </c>
      <c r="GI69" t="s">
        <v>1436</v>
      </c>
      <c r="GJ69" t="s">
        <v>1436</v>
      </c>
      <c r="GK69" t="s">
        <v>1307</v>
      </c>
      <c r="GT69" t="s">
        <v>1325</v>
      </c>
      <c r="GU69" t="s">
        <v>1310</v>
      </c>
      <c r="GV69" t="s">
        <v>1309</v>
      </c>
      <c r="GW69" t="s">
        <v>1309</v>
      </c>
      <c r="GX69" t="s">
        <v>1309</v>
      </c>
      <c r="GY69" t="s">
        <v>1309</v>
      </c>
      <c r="GZ69" t="s">
        <v>1309</v>
      </c>
      <c r="HA69" t="s">
        <v>1309</v>
      </c>
      <c r="HB69" t="s">
        <v>1309</v>
      </c>
      <c r="HC69" t="s">
        <v>1309</v>
      </c>
      <c r="HD69" t="s">
        <v>1309</v>
      </c>
      <c r="HE69" t="s">
        <v>1309</v>
      </c>
      <c r="HF69" t="s">
        <v>1309</v>
      </c>
      <c r="HH69" t="s">
        <v>1326</v>
      </c>
      <c r="HI69" t="s">
        <v>1326</v>
      </c>
      <c r="HJ69" t="s">
        <v>1326</v>
      </c>
      <c r="HK69" t="s">
        <v>1327</v>
      </c>
      <c r="HL69" t="s">
        <v>1437</v>
      </c>
      <c r="HM69" t="s">
        <v>1326</v>
      </c>
      <c r="HN69" t="s">
        <v>1549</v>
      </c>
      <c r="HO69" t="s">
        <v>1310</v>
      </c>
      <c r="HP69" t="s">
        <v>1310</v>
      </c>
      <c r="HQ69" t="s">
        <v>1309</v>
      </c>
      <c r="HR69" t="s">
        <v>1309</v>
      </c>
      <c r="HS69" t="s">
        <v>1309</v>
      </c>
      <c r="HT69" t="s">
        <v>1309</v>
      </c>
      <c r="HU69" t="s">
        <v>1309</v>
      </c>
      <c r="HV69" t="s">
        <v>1309</v>
      </c>
      <c r="HW69" t="s">
        <v>1309</v>
      </c>
      <c r="HX69" t="s">
        <v>1309</v>
      </c>
      <c r="HY69" t="s">
        <v>1309</v>
      </c>
      <c r="IA69" t="s">
        <v>1307</v>
      </c>
      <c r="IQ69" t="s">
        <v>1365</v>
      </c>
      <c r="IS69" t="s">
        <v>1331</v>
      </c>
      <c r="JF69" t="s">
        <v>1413</v>
      </c>
      <c r="JG69" t="s">
        <v>1393</v>
      </c>
      <c r="JH69" t="s">
        <v>1310</v>
      </c>
      <c r="JI69" t="s">
        <v>1309</v>
      </c>
      <c r="JJ69" t="s">
        <v>1309</v>
      </c>
      <c r="JK69" t="s">
        <v>1309</v>
      </c>
      <c r="JL69" t="s">
        <v>1309</v>
      </c>
      <c r="JM69" t="s">
        <v>1309</v>
      </c>
      <c r="JN69" t="s">
        <v>1309</v>
      </c>
      <c r="JO69" t="s">
        <v>1309</v>
      </c>
      <c r="JQ69" s="92" t="s">
        <v>1524</v>
      </c>
      <c r="JR69" s="92" t="s">
        <v>1525</v>
      </c>
      <c r="JS69" s="92">
        <v>45</v>
      </c>
      <c r="JT69" s="92" t="s">
        <v>1319</v>
      </c>
      <c r="JU69" s="92" t="s">
        <v>1396</v>
      </c>
      <c r="JV69" s="92" t="s">
        <v>1526</v>
      </c>
      <c r="JW69" s="92" t="s">
        <v>1296</v>
      </c>
      <c r="JX69" s="92" t="s">
        <v>71</v>
      </c>
      <c r="JY69" s="92" t="s">
        <v>1397</v>
      </c>
      <c r="JZ69" s="92" t="s">
        <v>1337</v>
      </c>
      <c r="KA69" s="92" t="s">
        <v>4846</v>
      </c>
      <c r="KB69" s="92" t="s">
        <v>1415</v>
      </c>
      <c r="KC69" s="92" t="s">
        <v>109</v>
      </c>
      <c r="KD69" s="92" t="s">
        <v>4847</v>
      </c>
      <c r="KE69" s="92" t="s">
        <v>1371</v>
      </c>
      <c r="KF69" s="92">
        <v>3000</v>
      </c>
      <c r="KG69" s="92" t="s">
        <v>4439</v>
      </c>
      <c r="KH69" s="92" t="s">
        <v>109</v>
      </c>
      <c r="KI69" s="92" t="s">
        <v>192</v>
      </c>
      <c r="KJ69" s="92" t="s">
        <v>109</v>
      </c>
      <c r="KK69" s="92" t="s">
        <v>192</v>
      </c>
      <c r="KL69" s="92" t="s">
        <v>1425</v>
      </c>
      <c r="KM69" s="92">
        <v>4000</v>
      </c>
      <c r="KN69" s="92" t="s">
        <v>4439</v>
      </c>
      <c r="KO69" s="92" t="s">
        <v>1341</v>
      </c>
      <c r="KP69" s="92" t="s">
        <v>1375</v>
      </c>
      <c r="KQ69" s="92" t="s">
        <v>109</v>
      </c>
      <c r="KR69" s="92">
        <v>17</v>
      </c>
      <c r="KS69" s="92" t="s">
        <v>1345</v>
      </c>
      <c r="KT69" s="92" t="s">
        <v>1344</v>
      </c>
      <c r="KU69" s="92">
        <v>20</v>
      </c>
      <c r="KV69" s="92" t="s">
        <v>1441</v>
      </c>
      <c r="KW69" s="92" t="s">
        <v>1344</v>
      </c>
      <c r="KX69" s="92" t="s">
        <v>1346</v>
      </c>
      <c r="KY69" s="92" t="s">
        <v>1377</v>
      </c>
      <c r="KZ69" s="92" t="s">
        <v>1403</v>
      </c>
      <c r="LA69" s="92" t="s">
        <v>109</v>
      </c>
      <c r="LB69" s="92" t="s">
        <v>109</v>
      </c>
      <c r="LC69" s="92" t="s">
        <v>4438</v>
      </c>
      <c r="LD69" s="92" t="s">
        <v>4439</v>
      </c>
      <c r="LE69" s="92" t="s">
        <v>192</v>
      </c>
      <c r="LF69" s="92" t="s">
        <v>192</v>
      </c>
    </row>
    <row r="70" spans="1:318" x14ac:dyDescent="0.25">
      <c r="A70" t="s">
        <v>1797</v>
      </c>
      <c r="B70" t="s">
        <v>1798</v>
      </c>
      <c r="C70" t="s">
        <v>1304</v>
      </c>
      <c r="D70" t="s">
        <v>1429</v>
      </c>
      <c r="E70" t="s">
        <v>1381</v>
      </c>
      <c r="G70" t="s">
        <v>1319</v>
      </c>
      <c r="H70">
        <v>3</v>
      </c>
      <c r="I70" t="s">
        <v>1358</v>
      </c>
      <c r="J70" t="s">
        <v>1502</v>
      </c>
      <c r="K70" t="s">
        <v>1310</v>
      </c>
      <c r="L70" t="s">
        <v>1310</v>
      </c>
      <c r="M70" t="s">
        <v>1309</v>
      </c>
      <c r="N70" t="s">
        <v>1309</v>
      </c>
      <c r="O70" t="s">
        <v>1309</v>
      </c>
      <c r="P70" t="s">
        <v>1309</v>
      </c>
      <c r="Q70" t="s">
        <v>1309</v>
      </c>
      <c r="R70" t="s">
        <v>1309</v>
      </c>
      <c r="S70">
        <v>1</v>
      </c>
      <c r="U70" t="s">
        <v>1312</v>
      </c>
      <c r="V70" t="s">
        <v>1312</v>
      </c>
      <c r="W70" t="s">
        <v>1312</v>
      </c>
      <c r="X70" t="s">
        <v>1312</v>
      </c>
      <c r="Y70" t="s">
        <v>1312</v>
      </c>
      <c r="Z70" t="s">
        <v>1312</v>
      </c>
      <c r="AC70">
        <v>2</v>
      </c>
      <c r="AD70">
        <v>6000</v>
      </c>
      <c r="AE70">
        <v>3000</v>
      </c>
      <c r="AF70" t="s">
        <v>1313</v>
      </c>
      <c r="AH70" t="s">
        <v>1383</v>
      </c>
      <c r="AJ70" t="s">
        <v>1315</v>
      </c>
      <c r="AL70" t="s">
        <v>1354</v>
      </c>
      <c r="BS70" t="s">
        <v>1307</v>
      </c>
      <c r="CE70" t="s">
        <v>1414</v>
      </c>
      <c r="CF70" t="s">
        <v>1309</v>
      </c>
      <c r="CG70" t="s">
        <v>1309</v>
      </c>
      <c r="CH70" t="s">
        <v>1309</v>
      </c>
      <c r="CI70" t="s">
        <v>1309</v>
      </c>
      <c r="CJ70" t="s">
        <v>1309</v>
      </c>
      <c r="CK70" t="s">
        <v>1309</v>
      </c>
      <c r="CL70" t="s">
        <v>1309</v>
      </c>
      <c r="CM70" t="s">
        <v>1309</v>
      </c>
      <c r="CN70" t="s">
        <v>1309</v>
      </c>
      <c r="CO70" t="s">
        <v>1309</v>
      </c>
      <c r="CP70" t="s">
        <v>1309</v>
      </c>
      <c r="CQ70" t="s">
        <v>1310</v>
      </c>
      <c r="CR70" t="s">
        <v>1309</v>
      </c>
      <c r="CT70" t="s">
        <v>4434</v>
      </c>
      <c r="CV70" t="s">
        <v>1308</v>
      </c>
      <c r="CW70" t="s">
        <v>1310</v>
      </c>
      <c r="CX70" t="s">
        <v>1309</v>
      </c>
      <c r="CY70" t="s">
        <v>1309</v>
      </c>
      <c r="CZ70" t="s">
        <v>1309</v>
      </c>
      <c r="DA70" t="s">
        <v>1309</v>
      </c>
      <c r="DB70" t="s">
        <v>1309</v>
      </c>
      <c r="DC70" t="s">
        <v>1309</v>
      </c>
      <c r="DE70" t="s">
        <v>1358</v>
      </c>
      <c r="DG70">
        <v>1000</v>
      </c>
      <c r="DI70">
        <v>500</v>
      </c>
      <c r="DJ70" t="s">
        <v>1358</v>
      </c>
      <c r="DK70">
        <v>2100</v>
      </c>
      <c r="DM70">
        <v>500</v>
      </c>
      <c r="DN70" t="s">
        <v>1521</v>
      </c>
      <c r="DO70" t="s">
        <v>1309</v>
      </c>
      <c r="DP70" t="s">
        <v>1310</v>
      </c>
      <c r="DQ70" t="s">
        <v>1309</v>
      </c>
      <c r="DR70" t="s">
        <v>1309</v>
      </c>
      <c r="DS70" t="s">
        <v>1309</v>
      </c>
      <c r="DT70" t="s">
        <v>1310</v>
      </c>
      <c r="DU70" t="s">
        <v>1309</v>
      </c>
      <c r="DV70" t="s">
        <v>1309</v>
      </c>
      <c r="DW70" t="s">
        <v>1309</v>
      </c>
      <c r="DY70" t="s">
        <v>1322</v>
      </c>
      <c r="DZ70">
        <v>340</v>
      </c>
      <c r="EA70" t="s">
        <v>1319</v>
      </c>
      <c r="EC70" t="s">
        <v>1322</v>
      </c>
      <c r="ED70">
        <v>1000</v>
      </c>
      <c r="EE70" t="s">
        <v>1319</v>
      </c>
      <c r="EG70" t="s">
        <v>5356</v>
      </c>
      <c r="EI70" t="s">
        <v>1307</v>
      </c>
      <c r="ET70" t="s">
        <v>1307</v>
      </c>
      <c r="EV70" t="s">
        <v>1307</v>
      </c>
      <c r="EX70" t="s">
        <v>1307</v>
      </c>
      <c r="EY70" t="s">
        <v>1319</v>
      </c>
      <c r="FA70" t="s">
        <v>1796</v>
      </c>
      <c r="FB70" t="s">
        <v>1309</v>
      </c>
      <c r="FC70" t="s">
        <v>1309</v>
      </c>
      <c r="FD70" t="s">
        <v>1310</v>
      </c>
      <c r="FE70" t="s">
        <v>1309</v>
      </c>
      <c r="FF70" t="s">
        <v>1309</v>
      </c>
      <c r="FG70" t="s">
        <v>1309</v>
      </c>
      <c r="FH70" t="s">
        <v>1309</v>
      </c>
      <c r="FI70" t="s">
        <v>1309</v>
      </c>
      <c r="FJ70" t="s">
        <v>1309</v>
      </c>
      <c r="FK70" t="s">
        <v>1309</v>
      </c>
      <c r="FL70" t="s">
        <v>1309</v>
      </c>
      <c r="FM70" t="s">
        <v>1309</v>
      </c>
      <c r="FN70" t="s">
        <v>1309</v>
      </c>
      <c r="FO70" t="s">
        <v>1309</v>
      </c>
      <c r="FP70" t="s">
        <v>1309</v>
      </c>
      <c r="FQ70" t="s">
        <v>1309</v>
      </c>
      <c r="FR70" t="s">
        <v>1309</v>
      </c>
      <c r="FT70" t="s">
        <v>1307</v>
      </c>
      <c r="GI70" t="s">
        <v>1324</v>
      </c>
      <c r="GJ70" t="s">
        <v>1324</v>
      </c>
      <c r="GT70" t="s">
        <v>1325</v>
      </c>
      <c r="GU70" t="s">
        <v>1310</v>
      </c>
      <c r="GV70" t="s">
        <v>1309</v>
      </c>
      <c r="GW70" t="s">
        <v>1309</v>
      </c>
      <c r="GX70" t="s">
        <v>1309</v>
      </c>
      <c r="GY70" t="s">
        <v>1309</v>
      </c>
      <c r="GZ70" t="s">
        <v>1309</v>
      </c>
      <c r="HA70" t="s">
        <v>1309</v>
      </c>
      <c r="HB70" t="s">
        <v>1309</v>
      </c>
      <c r="HC70" t="s">
        <v>1309</v>
      </c>
      <c r="HD70" t="s">
        <v>1309</v>
      </c>
      <c r="HE70" t="s">
        <v>1309</v>
      </c>
      <c r="HF70" t="s">
        <v>1309</v>
      </c>
      <c r="HH70" t="s">
        <v>1363</v>
      </c>
      <c r="HI70" t="s">
        <v>1363</v>
      </c>
      <c r="HJ70" t="s">
        <v>1363</v>
      </c>
      <c r="HK70" t="s">
        <v>1327</v>
      </c>
      <c r="HL70" t="s">
        <v>1364</v>
      </c>
      <c r="HM70" t="s">
        <v>1363</v>
      </c>
      <c r="IA70" t="s">
        <v>1307</v>
      </c>
      <c r="IQ70" t="s">
        <v>1308</v>
      </c>
      <c r="IS70" t="s">
        <v>1354</v>
      </c>
      <c r="JF70" t="s">
        <v>1354</v>
      </c>
      <c r="JG70" t="s">
        <v>1414</v>
      </c>
      <c r="JH70" t="s">
        <v>1309</v>
      </c>
      <c r="JI70" t="s">
        <v>1309</v>
      </c>
      <c r="JJ70" t="s">
        <v>1309</v>
      </c>
      <c r="JK70" t="s">
        <v>1309</v>
      </c>
      <c r="JL70" t="s">
        <v>1309</v>
      </c>
      <c r="JM70" t="s">
        <v>1309</v>
      </c>
      <c r="JN70" t="s">
        <v>1310</v>
      </c>
      <c r="JO70" t="s">
        <v>1309</v>
      </c>
      <c r="JQ70" s="92" t="s">
        <v>1333</v>
      </c>
      <c r="JR70" s="92" t="s">
        <v>1334</v>
      </c>
      <c r="JS70" s="92">
        <v>32</v>
      </c>
      <c r="JT70" s="92" t="s">
        <v>1319</v>
      </c>
      <c r="JU70" s="92" t="s">
        <v>1396</v>
      </c>
      <c r="JV70" s="92" t="s">
        <v>1336</v>
      </c>
      <c r="JW70" s="92" t="s">
        <v>1296</v>
      </c>
      <c r="JX70" s="92" t="s">
        <v>71</v>
      </c>
      <c r="JY70" s="92" t="s">
        <v>1397</v>
      </c>
      <c r="JZ70" s="92" t="s">
        <v>1398</v>
      </c>
      <c r="KA70" s="92" t="s">
        <v>4845</v>
      </c>
      <c r="KB70" s="92" t="s">
        <v>1415</v>
      </c>
      <c r="KC70" s="92" t="s">
        <v>109</v>
      </c>
      <c r="KD70" s="92" t="s">
        <v>4847</v>
      </c>
      <c r="KE70" s="92" t="s">
        <v>1424</v>
      </c>
      <c r="KF70" s="92">
        <v>1500</v>
      </c>
      <c r="KG70" s="92" t="s">
        <v>4438</v>
      </c>
      <c r="KH70" s="92" t="s">
        <v>192</v>
      </c>
      <c r="KI70" s="92" t="s">
        <v>109</v>
      </c>
      <c r="KJ70" s="92" t="s">
        <v>192</v>
      </c>
      <c r="KK70" s="92" t="s">
        <v>109</v>
      </c>
      <c r="KL70" s="92" t="s">
        <v>1440</v>
      </c>
      <c r="KM70" s="92">
        <v>2600</v>
      </c>
      <c r="KN70" s="92" t="s">
        <v>4439</v>
      </c>
      <c r="KO70" s="92" t="s">
        <v>1425</v>
      </c>
      <c r="KP70" s="92" t="s">
        <v>1460</v>
      </c>
      <c r="KQ70" s="92" t="s">
        <v>192</v>
      </c>
      <c r="KR70" s="92">
        <v>23</v>
      </c>
      <c r="KS70" s="92" t="s">
        <v>1343</v>
      </c>
      <c r="KT70" s="92" t="s">
        <v>1344</v>
      </c>
      <c r="KU70" s="92">
        <v>38</v>
      </c>
      <c r="KV70" s="92" t="s">
        <v>1461</v>
      </c>
      <c r="KW70" s="92" t="s">
        <v>1344</v>
      </c>
      <c r="KX70" s="92" t="s">
        <v>1799</v>
      </c>
      <c r="KY70" s="92" t="s">
        <v>1347</v>
      </c>
      <c r="KZ70" s="92" t="s">
        <v>1403</v>
      </c>
      <c r="LA70" s="92" t="s">
        <v>109</v>
      </c>
      <c r="LB70" s="92" t="s">
        <v>109</v>
      </c>
      <c r="LC70" s="92" t="s">
        <v>4439</v>
      </c>
      <c r="LD70" s="92" t="s">
        <v>4439</v>
      </c>
      <c r="LE70" s="92" t="s">
        <v>109</v>
      </c>
      <c r="LF70" s="92" t="s">
        <v>109</v>
      </c>
    </row>
    <row r="71" spans="1:318" x14ac:dyDescent="0.25">
      <c r="A71" t="s">
        <v>1800</v>
      </c>
      <c r="B71" t="s">
        <v>1801</v>
      </c>
      <c r="C71" t="s">
        <v>1304</v>
      </c>
      <c r="D71" t="s">
        <v>1305</v>
      </c>
      <c r="E71" t="s">
        <v>1306</v>
      </c>
      <c r="G71" t="s">
        <v>1319</v>
      </c>
      <c r="H71">
        <v>3</v>
      </c>
      <c r="I71" t="s">
        <v>1307</v>
      </c>
      <c r="J71" t="s">
        <v>1614</v>
      </c>
      <c r="K71" t="s">
        <v>1309</v>
      </c>
      <c r="L71" t="s">
        <v>1310</v>
      </c>
      <c r="M71" t="s">
        <v>1310</v>
      </c>
      <c r="N71" t="s">
        <v>1309</v>
      </c>
      <c r="O71" t="s">
        <v>1310</v>
      </c>
      <c r="P71" t="s">
        <v>1309</v>
      </c>
      <c r="Q71" t="s">
        <v>1309</v>
      </c>
      <c r="R71" t="s">
        <v>1309</v>
      </c>
      <c r="S71">
        <v>1</v>
      </c>
      <c r="T71">
        <v>1</v>
      </c>
      <c r="U71" t="s">
        <v>1311</v>
      </c>
      <c r="V71" t="s">
        <v>1311</v>
      </c>
      <c r="W71" t="s">
        <v>1311</v>
      </c>
      <c r="X71" t="s">
        <v>1311</v>
      </c>
      <c r="Y71" t="s">
        <v>1312</v>
      </c>
      <c r="Z71" t="s">
        <v>1312</v>
      </c>
      <c r="AC71">
        <v>2</v>
      </c>
      <c r="AF71" t="s">
        <v>1313</v>
      </c>
      <c r="AH71" t="s">
        <v>1352</v>
      </c>
      <c r="AJ71" t="s">
        <v>1315</v>
      </c>
      <c r="AL71" t="s">
        <v>1316</v>
      </c>
      <c r="BS71" t="s">
        <v>1307</v>
      </c>
      <c r="CE71" t="s">
        <v>1355</v>
      </c>
      <c r="CF71" t="s">
        <v>1309</v>
      </c>
      <c r="CG71" t="s">
        <v>1309</v>
      </c>
      <c r="CH71" t="s">
        <v>1309</v>
      </c>
      <c r="CI71" t="s">
        <v>1309</v>
      </c>
      <c r="CJ71" t="s">
        <v>1309</v>
      </c>
      <c r="CK71" t="s">
        <v>1309</v>
      </c>
      <c r="CL71" t="s">
        <v>1309</v>
      </c>
      <c r="CM71" t="s">
        <v>1309</v>
      </c>
      <c r="CN71" t="s">
        <v>1310</v>
      </c>
      <c r="CO71" t="s">
        <v>1309</v>
      </c>
      <c r="CP71" t="s">
        <v>1309</v>
      </c>
      <c r="CQ71" t="s">
        <v>1309</v>
      </c>
      <c r="CR71" t="s">
        <v>1309</v>
      </c>
      <c r="CT71" t="s">
        <v>4435</v>
      </c>
      <c r="CV71" t="s">
        <v>1308</v>
      </c>
      <c r="CW71" t="s">
        <v>1310</v>
      </c>
      <c r="CX71" t="s">
        <v>1309</v>
      </c>
      <c r="CY71" t="s">
        <v>1309</v>
      </c>
      <c r="CZ71" t="s">
        <v>1309</v>
      </c>
      <c r="DA71" t="s">
        <v>1309</v>
      </c>
      <c r="DB71" t="s">
        <v>1309</v>
      </c>
      <c r="DC71" t="s">
        <v>1309</v>
      </c>
      <c r="DE71" t="s">
        <v>1358</v>
      </c>
      <c r="DF71" t="s">
        <v>1319</v>
      </c>
      <c r="DG71">
        <v>50</v>
      </c>
      <c r="DH71">
        <v>1700</v>
      </c>
      <c r="DI71">
        <v>100</v>
      </c>
      <c r="DJ71" t="s">
        <v>1358</v>
      </c>
      <c r="DK71">
        <v>100</v>
      </c>
      <c r="DL71">
        <v>1800</v>
      </c>
      <c r="DM71">
        <v>200</v>
      </c>
      <c r="DN71" t="s">
        <v>1320</v>
      </c>
      <c r="DO71" t="s">
        <v>1310</v>
      </c>
      <c r="DP71" t="s">
        <v>1309</v>
      </c>
      <c r="DQ71" t="s">
        <v>1309</v>
      </c>
      <c r="DR71" t="s">
        <v>1309</v>
      </c>
      <c r="DS71" t="s">
        <v>1309</v>
      </c>
      <c r="DT71" t="s">
        <v>1310</v>
      </c>
      <c r="DU71" t="s">
        <v>1309</v>
      </c>
      <c r="DV71" t="s">
        <v>1309</v>
      </c>
      <c r="DW71" t="s">
        <v>1309</v>
      </c>
      <c r="DY71" t="s">
        <v>1321</v>
      </c>
      <c r="DZ71">
        <v>800</v>
      </c>
      <c r="EA71" t="s">
        <v>1319</v>
      </c>
      <c r="EC71" t="s">
        <v>1738</v>
      </c>
      <c r="ED71">
        <v>800</v>
      </c>
      <c r="EE71" t="s">
        <v>1319</v>
      </c>
      <c r="EG71" t="s">
        <v>5356</v>
      </c>
      <c r="EI71" t="s">
        <v>1307</v>
      </c>
      <c r="ET71" t="s">
        <v>1307</v>
      </c>
      <c r="EV71" t="s">
        <v>1319</v>
      </c>
      <c r="EW71" t="s">
        <v>1421</v>
      </c>
      <c r="EX71" t="s">
        <v>1319</v>
      </c>
      <c r="EY71" t="s">
        <v>1319</v>
      </c>
      <c r="FA71" t="s">
        <v>1802</v>
      </c>
      <c r="FB71" t="s">
        <v>1310</v>
      </c>
      <c r="FC71" t="s">
        <v>1309</v>
      </c>
      <c r="FD71" t="s">
        <v>1309</v>
      </c>
      <c r="FE71" t="s">
        <v>1309</v>
      </c>
      <c r="FF71" t="s">
        <v>1309</v>
      </c>
      <c r="FG71" t="s">
        <v>1309</v>
      </c>
      <c r="FH71" t="s">
        <v>1310</v>
      </c>
      <c r="FI71" t="s">
        <v>1309</v>
      </c>
      <c r="FJ71" t="s">
        <v>1309</v>
      </c>
      <c r="FK71" t="s">
        <v>1309</v>
      </c>
      <c r="FL71" t="s">
        <v>1309</v>
      </c>
      <c r="FM71" t="s">
        <v>1310</v>
      </c>
      <c r="FN71" t="s">
        <v>1309</v>
      </c>
      <c r="FO71" t="s">
        <v>1309</v>
      </c>
      <c r="FP71" t="s">
        <v>1309</v>
      </c>
      <c r="FQ71" t="s">
        <v>1309</v>
      </c>
      <c r="FR71" t="s">
        <v>1309</v>
      </c>
      <c r="FT71" t="s">
        <v>1319</v>
      </c>
      <c r="FU71" t="s">
        <v>1649</v>
      </c>
      <c r="FV71" t="s">
        <v>1310</v>
      </c>
      <c r="FW71" t="s">
        <v>1310</v>
      </c>
      <c r="FX71" t="s">
        <v>1309</v>
      </c>
      <c r="FY71" t="s">
        <v>1309</v>
      </c>
      <c r="FZ71" t="s">
        <v>1309</v>
      </c>
      <c r="GA71" t="s">
        <v>1309</v>
      </c>
      <c r="GB71" t="s">
        <v>1309</v>
      </c>
      <c r="GC71" t="s">
        <v>1309</v>
      </c>
      <c r="GD71" t="s">
        <v>1309</v>
      </c>
      <c r="GE71" t="s">
        <v>1309</v>
      </c>
      <c r="GF71" t="s">
        <v>1309</v>
      </c>
      <c r="GG71" t="s">
        <v>1309</v>
      </c>
      <c r="GI71" t="s">
        <v>1436</v>
      </c>
      <c r="GJ71" t="s">
        <v>1436</v>
      </c>
      <c r="GK71" t="s">
        <v>1307</v>
      </c>
      <c r="GT71" t="s">
        <v>1325</v>
      </c>
      <c r="GU71" t="s">
        <v>1310</v>
      </c>
      <c r="GV71" t="s">
        <v>1309</v>
      </c>
      <c r="GW71" t="s">
        <v>1309</v>
      </c>
      <c r="GX71" t="s">
        <v>1309</v>
      </c>
      <c r="GY71" t="s">
        <v>1309</v>
      </c>
      <c r="GZ71" t="s">
        <v>1309</v>
      </c>
      <c r="HA71" t="s">
        <v>1309</v>
      </c>
      <c r="HB71" t="s">
        <v>1309</v>
      </c>
      <c r="HC71" t="s">
        <v>1309</v>
      </c>
      <c r="HD71" t="s">
        <v>1309</v>
      </c>
      <c r="HE71" t="s">
        <v>1309</v>
      </c>
      <c r="HF71" t="s">
        <v>1309</v>
      </c>
      <c r="HH71" t="s">
        <v>1326</v>
      </c>
      <c r="HI71" t="s">
        <v>1327</v>
      </c>
      <c r="HJ71" t="s">
        <v>1390</v>
      </c>
      <c r="HK71" t="s">
        <v>1327</v>
      </c>
      <c r="HL71" t="s">
        <v>1364</v>
      </c>
      <c r="HM71" t="s">
        <v>1326</v>
      </c>
      <c r="HN71" t="s">
        <v>1803</v>
      </c>
      <c r="HO71" t="s">
        <v>1310</v>
      </c>
      <c r="HP71" t="s">
        <v>1310</v>
      </c>
      <c r="HQ71" t="s">
        <v>1309</v>
      </c>
      <c r="HR71" t="s">
        <v>1309</v>
      </c>
      <c r="HS71" t="s">
        <v>1310</v>
      </c>
      <c r="HT71" t="s">
        <v>1310</v>
      </c>
      <c r="HU71" t="s">
        <v>1309</v>
      </c>
      <c r="HV71" t="s">
        <v>1309</v>
      </c>
      <c r="HW71" t="s">
        <v>1309</v>
      </c>
      <c r="HX71" t="s">
        <v>1309</v>
      </c>
      <c r="HY71" t="s">
        <v>1309</v>
      </c>
      <c r="IA71" t="s">
        <v>1307</v>
      </c>
      <c r="IQ71" t="s">
        <v>1365</v>
      </c>
      <c r="IS71" t="s">
        <v>1413</v>
      </c>
      <c r="IT71" t="s">
        <v>1804</v>
      </c>
      <c r="IU71" t="s">
        <v>1310</v>
      </c>
      <c r="IV71" t="s">
        <v>1309</v>
      </c>
      <c r="IW71" t="s">
        <v>1309</v>
      </c>
      <c r="IX71" t="s">
        <v>1309</v>
      </c>
      <c r="IY71" t="s">
        <v>1309</v>
      </c>
      <c r="IZ71" t="s">
        <v>1309</v>
      </c>
      <c r="JA71" t="s">
        <v>1309</v>
      </c>
      <c r="JB71" t="s">
        <v>1309</v>
      </c>
      <c r="JC71" t="s">
        <v>1309</v>
      </c>
      <c r="JD71" t="s">
        <v>1309</v>
      </c>
      <c r="JF71" t="s">
        <v>1413</v>
      </c>
      <c r="JG71" t="s">
        <v>1414</v>
      </c>
      <c r="JH71" t="s">
        <v>1309</v>
      </c>
      <c r="JI71" t="s">
        <v>1309</v>
      </c>
      <c r="JJ71" t="s">
        <v>1309</v>
      </c>
      <c r="JK71" t="s">
        <v>1309</v>
      </c>
      <c r="JL71" t="s">
        <v>1309</v>
      </c>
      <c r="JM71" t="s">
        <v>1309</v>
      </c>
      <c r="JN71" t="s">
        <v>1310</v>
      </c>
      <c r="JO71" t="s">
        <v>1309</v>
      </c>
      <c r="JQ71" s="92" t="s">
        <v>1333</v>
      </c>
      <c r="JR71" s="92" t="s">
        <v>1334</v>
      </c>
      <c r="JS71" s="92">
        <v>65</v>
      </c>
      <c r="JT71" s="92" t="s">
        <v>1319</v>
      </c>
      <c r="JU71" s="92" t="s">
        <v>1575</v>
      </c>
      <c r="JV71" s="92" t="s">
        <v>1336</v>
      </c>
      <c r="JW71" s="92" t="s">
        <v>1296</v>
      </c>
      <c r="JX71" s="92" t="s">
        <v>71</v>
      </c>
      <c r="JY71" s="92" t="s">
        <v>5549</v>
      </c>
      <c r="JZ71" s="92" t="s">
        <v>1369</v>
      </c>
      <c r="KA71" s="92" t="s">
        <v>4845</v>
      </c>
      <c r="KB71" s="92" t="s">
        <v>1370</v>
      </c>
      <c r="KC71" s="92" t="s">
        <v>109</v>
      </c>
      <c r="KD71" s="92" t="s">
        <v>4847</v>
      </c>
      <c r="KE71" s="92" t="s">
        <v>1340</v>
      </c>
      <c r="KF71" s="92">
        <v>1850</v>
      </c>
      <c r="KG71" s="92" t="s">
        <v>1340</v>
      </c>
      <c r="KH71" s="92" t="s">
        <v>192</v>
      </c>
      <c r="KI71" s="92" t="s">
        <v>192</v>
      </c>
      <c r="KJ71" s="92" t="s">
        <v>192</v>
      </c>
      <c r="KK71" s="92" t="s">
        <v>192</v>
      </c>
      <c r="KL71" s="92" t="s">
        <v>1440</v>
      </c>
      <c r="KM71" s="92">
        <v>2100</v>
      </c>
      <c r="KN71" s="92" t="s">
        <v>1340</v>
      </c>
      <c r="KO71" s="92" t="s">
        <v>1425</v>
      </c>
      <c r="KP71" s="92" t="s">
        <v>1342</v>
      </c>
      <c r="KQ71" s="92" t="s">
        <v>192</v>
      </c>
      <c r="KR71" s="92">
        <v>43</v>
      </c>
      <c r="KS71" s="92" t="s">
        <v>1466</v>
      </c>
      <c r="KT71" s="92" t="s">
        <v>1344</v>
      </c>
      <c r="KU71" s="92">
        <v>38</v>
      </c>
      <c r="KV71" s="92" t="s">
        <v>1441</v>
      </c>
      <c r="KW71" s="92" t="s">
        <v>1344</v>
      </c>
      <c r="KX71" s="92" t="s">
        <v>1346</v>
      </c>
      <c r="KY71" s="92" t="s">
        <v>1347</v>
      </c>
      <c r="KZ71" s="92" t="s">
        <v>1378</v>
      </c>
      <c r="LA71" s="92" t="s">
        <v>109</v>
      </c>
      <c r="LB71" s="92" t="s">
        <v>109</v>
      </c>
      <c r="LC71" s="92" t="s">
        <v>5566</v>
      </c>
      <c r="LD71" s="92" t="s">
        <v>5566</v>
      </c>
      <c r="LE71" s="92"/>
      <c r="LF71" s="92"/>
    </row>
    <row r="72" spans="1:318" x14ac:dyDescent="0.25">
      <c r="A72" t="s">
        <v>1805</v>
      </c>
      <c r="B72" t="s">
        <v>1806</v>
      </c>
      <c r="C72" t="s">
        <v>1304</v>
      </c>
      <c r="D72" t="s">
        <v>1305</v>
      </c>
      <c r="E72" t="s">
        <v>1306</v>
      </c>
      <c r="G72" t="s">
        <v>1319</v>
      </c>
      <c r="H72">
        <v>3</v>
      </c>
      <c r="I72" t="s">
        <v>1307</v>
      </c>
      <c r="J72" t="s">
        <v>1511</v>
      </c>
      <c r="K72" t="s">
        <v>1309</v>
      </c>
      <c r="L72" t="s">
        <v>1310</v>
      </c>
      <c r="M72" t="s">
        <v>1309</v>
      </c>
      <c r="N72" t="s">
        <v>1310</v>
      </c>
      <c r="O72" t="s">
        <v>1309</v>
      </c>
      <c r="P72" t="s">
        <v>1309</v>
      </c>
      <c r="Q72" t="s">
        <v>1309</v>
      </c>
      <c r="R72" t="s">
        <v>1309</v>
      </c>
      <c r="S72">
        <v>1</v>
      </c>
      <c r="U72" t="s">
        <v>1312</v>
      </c>
      <c r="V72" t="s">
        <v>1312</v>
      </c>
      <c r="W72" t="s">
        <v>1486</v>
      </c>
      <c r="X72" t="s">
        <v>1312</v>
      </c>
      <c r="Y72" t="s">
        <v>1312</v>
      </c>
      <c r="Z72" t="s">
        <v>1312</v>
      </c>
      <c r="AA72">
        <v>1</v>
      </c>
      <c r="AB72">
        <v>1</v>
      </c>
      <c r="AC72">
        <v>2</v>
      </c>
      <c r="AD72">
        <v>5000</v>
      </c>
      <c r="AE72">
        <v>8000</v>
      </c>
      <c r="AF72" t="s">
        <v>1313</v>
      </c>
      <c r="AH72" t="s">
        <v>1383</v>
      </c>
      <c r="AJ72" t="s">
        <v>1315</v>
      </c>
      <c r="AL72" t="s">
        <v>1316</v>
      </c>
      <c r="BS72" t="s">
        <v>1307</v>
      </c>
      <c r="CE72" t="s">
        <v>1355</v>
      </c>
      <c r="CF72" t="s">
        <v>1309</v>
      </c>
      <c r="CG72" t="s">
        <v>1309</v>
      </c>
      <c r="CH72" t="s">
        <v>1309</v>
      </c>
      <c r="CI72" t="s">
        <v>1309</v>
      </c>
      <c r="CJ72" t="s">
        <v>1309</v>
      </c>
      <c r="CK72" t="s">
        <v>1309</v>
      </c>
      <c r="CL72" t="s">
        <v>1309</v>
      </c>
      <c r="CM72" t="s">
        <v>1309</v>
      </c>
      <c r="CN72" t="s">
        <v>1310</v>
      </c>
      <c r="CO72" t="s">
        <v>1309</v>
      </c>
      <c r="CP72" t="s">
        <v>1309</v>
      </c>
      <c r="CQ72" t="s">
        <v>1309</v>
      </c>
      <c r="CR72" t="s">
        <v>1309</v>
      </c>
      <c r="CT72" t="s">
        <v>4434</v>
      </c>
      <c r="CV72" t="s">
        <v>1308</v>
      </c>
      <c r="CW72" t="s">
        <v>1310</v>
      </c>
      <c r="CX72" t="s">
        <v>1309</v>
      </c>
      <c r="CY72" t="s">
        <v>1309</v>
      </c>
      <c r="CZ72" t="s">
        <v>1309</v>
      </c>
      <c r="DA72" t="s">
        <v>1309</v>
      </c>
      <c r="DB72" t="s">
        <v>1309</v>
      </c>
      <c r="DC72" t="s">
        <v>1309</v>
      </c>
      <c r="DE72" t="s">
        <v>1358</v>
      </c>
      <c r="DG72">
        <v>1500</v>
      </c>
      <c r="DI72">
        <v>400</v>
      </c>
      <c r="DJ72" t="s">
        <v>1358</v>
      </c>
      <c r="DK72">
        <v>2000</v>
      </c>
      <c r="DM72">
        <v>500</v>
      </c>
      <c r="DN72" t="s">
        <v>1432</v>
      </c>
      <c r="DO72" t="s">
        <v>1310</v>
      </c>
      <c r="DP72" t="s">
        <v>1309</v>
      </c>
      <c r="DQ72" t="s">
        <v>1309</v>
      </c>
      <c r="DR72" t="s">
        <v>1310</v>
      </c>
      <c r="DS72" t="s">
        <v>1309</v>
      </c>
      <c r="DT72" t="s">
        <v>1310</v>
      </c>
      <c r="DU72" t="s">
        <v>1309</v>
      </c>
      <c r="DV72" t="s">
        <v>1309</v>
      </c>
      <c r="DW72" t="s">
        <v>1309</v>
      </c>
      <c r="DY72" t="s">
        <v>1481</v>
      </c>
      <c r="DZ72">
        <v>300</v>
      </c>
      <c r="EA72" t="s">
        <v>1319</v>
      </c>
      <c r="EC72" t="s">
        <v>1624</v>
      </c>
      <c r="ED72">
        <v>1000</v>
      </c>
      <c r="EE72" t="s">
        <v>1319</v>
      </c>
      <c r="EG72" t="s">
        <v>5357</v>
      </c>
      <c r="ET72" t="s">
        <v>1307</v>
      </c>
      <c r="EV72" t="s">
        <v>1319</v>
      </c>
      <c r="EW72" t="s">
        <v>1409</v>
      </c>
      <c r="EX72" t="s">
        <v>1319</v>
      </c>
      <c r="EY72" t="s">
        <v>1319</v>
      </c>
      <c r="FA72" t="s">
        <v>1807</v>
      </c>
      <c r="FB72" t="s">
        <v>1310</v>
      </c>
      <c r="FC72" t="s">
        <v>1309</v>
      </c>
      <c r="FD72" t="s">
        <v>1310</v>
      </c>
      <c r="FE72" t="s">
        <v>1309</v>
      </c>
      <c r="FF72" t="s">
        <v>1309</v>
      </c>
      <c r="FG72" t="s">
        <v>1309</v>
      </c>
      <c r="FH72" t="s">
        <v>1309</v>
      </c>
      <c r="FI72" t="s">
        <v>1309</v>
      </c>
      <c r="FJ72" t="s">
        <v>1309</v>
      </c>
      <c r="FK72" t="s">
        <v>1309</v>
      </c>
      <c r="FL72" t="s">
        <v>1309</v>
      </c>
      <c r="FM72" t="s">
        <v>1309</v>
      </c>
      <c r="FN72" t="s">
        <v>1309</v>
      </c>
      <c r="FO72" t="s">
        <v>1309</v>
      </c>
      <c r="FP72" t="s">
        <v>1309</v>
      </c>
      <c r="FQ72" t="s">
        <v>1309</v>
      </c>
      <c r="FR72" t="s">
        <v>1309</v>
      </c>
      <c r="FT72" t="s">
        <v>1307</v>
      </c>
      <c r="GI72" t="s">
        <v>1436</v>
      </c>
      <c r="GJ72" t="s">
        <v>1436</v>
      </c>
      <c r="GK72" t="s">
        <v>1307</v>
      </c>
      <c r="GT72" t="s">
        <v>1325</v>
      </c>
      <c r="GU72" t="s">
        <v>1310</v>
      </c>
      <c r="GV72" t="s">
        <v>1309</v>
      </c>
      <c r="GW72" t="s">
        <v>1309</v>
      </c>
      <c r="GX72" t="s">
        <v>1309</v>
      </c>
      <c r="GY72" t="s">
        <v>1309</v>
      </c>
      <c r="GZ72" t="s">
        <v>1309</v>
      </c>
      <c r="HA72" t="s">
        <v>1309</v>
      </c>
      <c r="HB72" t="s">
        <v>1309</v>
      </c>
      <c r="HC72" t="s">
        <v>1309</v>
      </c>
      <c r="HD72" t="s">
        <v>1309</v>
      </c>
      <c r="HE72" t="s">
        <v>1309</v>
      </c>
      <c r="HF72" t="s">
        <v>1309</v>
      </c>
      <c r="HH72" t="s">
        <v>1326</v>
      </c>
      <c r="HI72" t="s">
        <v>1326</v>
      </c>
      <c r="HJ72" t="s">
        <v>1326</v>
      </c>
      <c r="HK72" t="s">
        <v>1327</v>
      </c>
      <c r="HL72" t="s">
        <v>1437</v>
      </c>
      <c r="HM72" t="s">
        <v>1326</v>
      </c>
      <c r="HN72" t="s">
        <v>1414</v>
      </c>
      <c r="HO72" t="s">
        <v>1309</v>
      </c>
      <c r="HP72" t="s">
        <v>1309</v>
      </c>
      <c r="HQ72" t="s">
        <v>1309</v>
      </c>
      <c r="HR72" t="s">
        <v>1309</v>
      </c>
      <c r="HS72" t="s">
        <v>1309</v>
      </c>
      <c r="HT72" t="s">
        <v>1309</v>
      </c>
      <c r="HU72" t="s">
        <v>1309</v>
      </c>
      <c r="HV72" t="s">
        <v>1309</v>
      </c>
      <c r="HW72" t="s">
        <v>1309</v>
      </c>
      <c r="HX72" t="s">
        <v>1310</v>
      </c>
      <c r="HY72" t="s">
        <v>1309</v>
      </c>
      <c r="IA72" t="s">
        <v>1307</v>
      </c>
      <c r="IQ72" t="s">
        <v>1330</v>
      </c>
      <c r="IS72" t="s">
        <v>1331</v>
      </c>
      <c r="JF72" t="s">
        <v>1331</v>
      </c>
      <c r="JG72" t="s">
        <v>1414</v>
      </c>
      <c r="JH72" t="s">
        <v>1309</v>
      </c>
      <c r="JI72" t="s">
        <v>1309</v>
      </c>
      <c r="JJ72" t="s">
        <v>1309</v>
      </c>
      <c r="JK72" t="s">
        <v>1309</v>
      </c>
      <c r="JL72" t="s">
        <v>1309</v>
      </c>
      <c r="JM72" t="s">
        <v>1309</v>
      </c>
      <c r="JN72" t="s">
        <v>1310</v>
      </c>
      <c r="JO72" t="s">
        <v>1309</v>
      </c>
      <c r="JQ72" s="92" t="s">
        <v>1516</v>
      </c>
      <c r="JR72" s="92" t="s">
        <v>1660</v>
      </c>
      <c r="JS72" s="92">
        <v>39</v>
      </c>
      <c r="JT72" s="92" t="s">
        <v>1319</v>
      </c>
      <c r="JU72" s="92" t="s">
        <v>1335</v>
      </c>
      <c r="JV72" s="92" t="s">
        <v>1336</v>
      </c>
      <c r="JW72" s="92" t="s">
        <v>1296</v>
      </c>
      <c r="JX72" s="92" t="s">
        <v>71</v>
      </c>
      <c r="JY72" s="92" t="s">
        <v>5549</v>
      </c>
      <c r="JZ72" s="92" t="s">
        <v>1337</v>
      </c>
      <c r="KA72" s="92" t="s">
        <v>4845</v>
      </c>
      <c r="KB72" s="92" t="s">
        <v>1415</v>
      </c>
      <c r="KC72" s="92" t="s">
        <v>192</v>
      </c>
      <c r="KD72" s="92" t="s">
        <v>4847</v>
      </c>
      <c r="KE72" s="92" t="s">
        <v>5560</v>
      </c>
      <c r="KF72" s="92">
        <v>1900</v>
      </c>
      <c r="KG72" s="92" t="s">
        <v>4439</v>
      </c>
      <c r="KH72" s="92" t="s">
        <v>192</v>
      </c>
      <c r="KI72" s="92" t="s">
        <v>109</v>
      </c>
      <c r="KJ72" s="92" t="s">
        <v>192</v>
      </c>
      <c r="KK72" s="92" t="s">
        <v>109</v>
      </c>
      <c r="KL72" s="92" t="s">
        <v>1440</v>
      </c>
      <c r="KM72" s="92">
        <v>2500</v>
      </c>
      <c r="KN72" s="92" t="s">
        <v>4439</v>
      </c>
      <c r="KO72" s="92" t="s">
        <v>1425</v>
      </c>
      <c r="KP72" s="92" t="s">
        <v>1460</v>
      </c>
      <c r="KQ72" s="92" t="s">
        <v>192</v>
      </c>
      <c r="KR72" s="92">
        <v>16</v>
      </c>
      <c r="KS72" s="92" t="s">
        <v>1343</v>
      </c>
      <c r="KT72" s="92" t="s">
        <v>1344</v>
      </c>
      <c r="KU72" s="92">
        <v>40</v>
      </c>
      <c r="KV72" s="92" t="s">
        <v>1461</v>
      </c>
      <c r="KW72" s="92" t="s">
        <v>1344</v>
      </c>
      <c r="KX72" s="92" t="s">
        <v>1376</v>
      </c>
      <c r="KY72" s="92" t="s">
        <v>1377</v>
      </c>
      <c r="KZ72" s="92" t="s">
        <v>1378</v>
      </c>
      <c r="LA72" s="92" t="s">
        <v>192</v>
      </c>
      <c r="LB72" s="92" t="s">
        <v>192</v>
      </c>
      <c r="LC72" s="92" t="s">
        <v>4438</v>
      </c>
      <c r="LD72" s="92" t="s">
        <v>4438</v>
      </c>
      <c r="LE72" s="92" t="s">
        <v>192</v>
      </c>
      <c r="LF72" s="92" t="s">
        <v>192</v>
      </c>
    </row>
    <row r="73" spans="1:318" x14ac:dyDescent="0.25">
      <c r="A73" t="s">
        <v>1808</v>
      </c>
      <c r="B73" t="s">
        <v>1809</v>
      </c>
      <c r="C73" t="s">
        <v>1304</v>
      </c>
      <c r="D73" t="s">
        <v>1305</v>
      </c>
      <c r="E73" t="s">
        <v>1381</v>
      </c>
      <c r="G73" t="s">
        <v>1319</v>
      </c>
      <c r="H73">
        <v>2</v>
      </c>
      <c r="I73" t="s">
        <v>1358</v>
      </c>
      <c r="J73" t="s">
        <v>1382</v>
      </c>
      <c r="K73" t="s">
        <v>1309</v>
      </c>
      <c r="L73" t="s">
        <v>1310</v>
      </c>
      <c r="M73" t="s">
        <v>1309</v>
      </c>
      <c r="N73" t="s">
        <v>1309</v>
      </c>
      <c r="O73" t="s">
        <v>1309</v>
      </c>
      <c r="P73" t="s">
        <v>1310</v>
      </c>
      <c r="Q73" t="s">
        <v>1309</v>
      </c>
      <c r="R73" t="s">
        <v>1309</v>
      </c>
      <c r="S73">
        <v>1</v>
      </c>
      <c r="U73" t="s">
        <v>1312</v>
      </c>
      <c r="V73" t="s">
        <v>1312</v>
      </c>
      <c r="W73" t="s">
        <v>1312</v>
      </c>
      <c r="X73" t="s">
        <v>1311</v>
      </c>
      <c r="Y73" t="s">
        <v>1312</v>
      </c>
      <c r="Z73" t="s">
        <v>1311</v>
      </c>
      <c r="AC73">
        <v>2</v>
      </c>
      <c r="AD73">
        <v>10000</v>
      </c>
      <c r="AE73">
        <v>7000</v>
      </c>
      <c r="AF73" t="s">
        <v>1313</v>
      </c>
      <c r="AH73" t="s">
        <v>1383</v>
      </c>
      <c r="AJ73" t="s">
        <v>1315</v>
      </c>
      <c r="AL73" t="s">
        <v>1316</v>
      </c>
      <c r="BS73" t="s">
        <v>1307</v>
      </c>
      <c r="CE73" t="s">
        <v>1597</v>
      </c>
      <c r="CF73" t="s">
        <v>1309</v>
      </c>
      <c r="CG73" t="s">
        <v>1309</v>
      </c>
      <c r="CH73" t="s">
        <v>1309</v>
      </c>
      <c r="CI73" t="s">
        <v>1309</v>
      </c>
      <c r="CJ73" t="s">
        <v>1309</v>
      </c>
      <c r="CK73" t="s">
        <v>1309</v>
      </c>
      <c r="CL73" t="s">
        <v>1310</v>
      </c>
      <c r="CM73" t="s">
        <v>1309</v>
      </c>
      <c r="CN73" t="s">
        <v>1309</v>
      </c>
      <c r="CO73" t="s">
        <v>1309</v>
      </c>
      <c r="CP73" t="s">
        <v>1309</v>
      </c>
      <c r="CQ73" t="s">
        <v>1309</v>
      </c>
      <c r="CR73" t="s">
        <v>1309</v>
      </c>
      <c r="CT73" t="s">
        <v>4435</v>
      </c>
      <c r="CV73" t="s">
        <v>1308</v>
      </c>
      <c r="CW73" t="s">
        <v>1310</v>
      </c>
      <c r="CX73" t="s">
        <v>1309</v>
      </c>
      <c r="CY73" t="s">
        <v>1309</v>
      </c>
      <c r="CZ73" t="s">
        <v>1309</v>
      </c>
      <c r="DA73" t="s">
        <v>1309</v>
      </c>
      <c r="DB73" t="s">
        <v>1309</v>
      </c>
      <c r="DC73" t="s">
        <v>1309</v>
      </c>
      <c r="DE73" t="s">
        <v>1358</v>
      </c>
      <c r="DF73" t="s">
        <v>1319</v>
      </c>
      <c r="DG73">
        <v>100</v>
      </c>
      <c r="DH73">
        <v>1000</v>
      </c>
      <c r="DI73">
        <v>400</v>
      </c>
      <c r="DJ73" t="s">
        <v>1358</v>
      </c>
      <c r="DK73">
        <v>100</v>
      </c>
      <c r="DL73">
        <v>1500</v>
      </c>
      <c r="DM73">
        <v>350</v>
      </c>
      <c r="DN73" t="s">
        <v>1564</v>
      </c>
      <c r="DO73" t="s">
        <v>1309</v>
      </c>
      <c r="DP73" t="s">
        <v>1309</v>
      </c>
      <c r="DQ73" t="s">
        <v>1309</v>
      </c>
      <c r="DR73" t="s">
        <v>1310</v>
      </c>
      <c r="DS73" t="s">
        <v>1310</v>
      </c>
      <c r="DT73" t="s">
        <v>1310</v>
      </c>
      <c r="DU73" t="s">
        <v>1309</v>
      </c>
      <c r="DV73" t="s">
        <v>1309</v>
      </c>
      <c r="DW73" t="s">
        <v>1309</v>
      </c>
      <c r="DY73" t="s">
        <v>1359</v>
      </c>
      <c r="DZ73">
        <v>800</v>
      </c>
      <c r="EA73" t="s">
        <v>1386</v>
      </c>
      <c r="EC73" t="s">
        <v>1474</v>
      </c>
      <c r="ED73">
        <v>800</v>
      </c>
      <c r="EE73" t="s">
        <v>1386</v>
      </c>
      <c r="EG73" t="s">
        <v>5356</v>
      </c>
      <c r="EI73" t="s">
        <v>1307</v>
      </c>
      <c r="ET73" t="s">
        <v>1544</v>
      </c>
      <c r="EV73" t="s">
        <v>1307</v>
      </c>
      <c r="EX73" t="s">
        <v>1319</v>
      </c>
      <c r="EY73" t="s">
        <v>1319</v>
      </c>
      <c r="FA73" t="s">
        <v>1810</v>
      </c>
      <c r="FB73" t="s">
        <v>1309</v>
      </c>
      <c r="FC73" t="s">
        <v>1309</v>
      </c>
      <c r="FD73" t="s">
        <v>1309</v>
      </c>
      <c r="FE73" t="s">
        <v>1309</v>
      </c>
      <c r="FF73" t="s">
        <v>1309</v>
      </c>
      <c r="FG73" t="s">
        <v>1309</v>
      </c>
      <c r="FH73" t="s">
        <v>1310</v>
      </c>
      <c r="FI73" t="s">
        <v>1310</v>
      </c>
      <c r="FJ73" t="s">
        <v>1309</v>
      </c>
      <c r="FK73" t="s">
        <v>1310</v>
      </c>
      <c r="FL73" t="s">
        <v>1310</v>
      </c>
      <c r="FM73" t="s">
        <v>1309</v>
      </c>
      <c r="FN73" t="s">
        <v>1309</v>
      </c>
      <c r="FO73" t="s">
        <v>1309</v>
      </c>
      <c r="FP73" t="s">
        <v>1309</v>
      </c>
      <c r="FQ73" t="s">
        <v>1309</v>
      </c>
      <c r="FR73" t="s">
        <v>1309</v>
      </c>
      <c r="FT73" t="s">
        <v>1307</v>
      </c>
      <c r="GI73" t="s">
        <v>1324</v>
      </c>
      <c r="GJ73" t="s">
        <v>1448</v>
      </c>
      <c r="GT73" t="s">
        <v>1325</v>
      </c>
      <c r="GU73" t="s">
        <v>1310</v>
      </c>
      <c r="GV73" t="s">
        <v>1309</v>
      </c>
      <c r="GW73" t="s">
        <v>1309</v>
      </c>
      <c r="GX73" t="s">
        <v>1309</v>
      </c>
      <c r="GY73" t="s">
        <v>1309</v>
      </c>
      <c r="GZ73" t="s">
        <v>1309</v>
      </c>
      <c r="HA73" t="s">
        <v>1309</v>
      </c>
      <c r="HB73" t="s">
        <v>1309</v>
      </c>
      <c r="HC73" t="s">
        <v>1309</v>
      </c>
      <c r="HD73" t="s">
        <v>1309</v>
      </c>
      <c r="HE73" t="s">
        <v>1309</v>
      </c>
      <c r="HF73" t="s">
        <v>1309</v>
      </c>
      <c r="HH73" t="s">
        <v>1390</v>
      </c>
      <c r="HI73" t="s">
        <v>1327</v>
      </c>
      <c r="HJ73" t="s">
        <v>1390</v>
      </c>
      <c r="HK73" t="s">
        <v>1327</v>
      </c>
      <c r="HL73" t="s">
        <v>1328</v>
      </c>
      <c r="HM73" t="s">
        <v>1363</v>
      </c>
      <c r="HN73" t="s">
        <v>1626</v>
      </c>
      <c r="HO73" t="s">
        <v>1310</v>
      </c>
      <c r="HP73" t="s">
        <v>1309</v>
      </c>
      <c r="HQ73" t="s">
        <v>1309</v>
      </c>
      <c r="HR73" t="s">
        <v>1309</v>
      </c>
      <c r="HS73" t="s">
        <v>1309</v>
      </c>
      <c r="HT73" t="s">
        <v>1309</v>
      </c>
      <c r="HU73" t="s">
        <v>1309</v>
      </c>
      <c r="HV73" t="s">
        <v>1309</v>
      </c>
      <c r="HW73" t="s">
        <v>1309</v>
      </c>
      <c r="HX73" t="s">
        <v>1309</v>
      </c>
      <c r="HY73" t="s">
        <v>1309</v>
      </c>
      <c r="IA73" t="s">
        <v>1319</v>
      </c>
      <c r="IB73" t="s">
        <v>1392</v>
      </c>
      <c r="IC73" t="s">
        <v>1309</v>
      </c>
      <c r="ID73" t="s">
        <v>1309</v>
      </c>
      <c r="IE73" t="s">
        <v>1309</v>
      </c>
      <c r="IF73" t="s">
        <v>1309</v>
      </c>
      <c r="IG73" t="s">
        <v>1309</v>
      </c>
      <c r="IH73" t="s">
        <v>1309</v>
      </c>
      <c r="II73" t="s">
        <v>1309</v>
      </c>
      <c r="IJ73" t="s">
        <v>1309</v>
      </c>
      <c r="IK73" t="s">
        <v>1310</v>
      </c>
      <c r="IL73" t="s">
        <v>1309</v>
      </c>
      <c r="IM73" t="s">
        <v>1309</v>
      </c>
      <c r="IN73" t="s">
        <v>1309</v>
      </c>
      <c r="IO73" t="s">
        <v>1309</v>
      </c>
      <c r="IQ73" t="s">
        <v>1330</v>
      </c>
      <c r="IS73" t="s">
        <v>1316</v>
      </c>
      <c r="JF73" t="s">
        <v>1331</v>
      </c>
      <c r="JG73" t="s">
        <v>1523</v>
      </c>
      <c r="JH73" t="s">
        <v>1309</v>
      </c>
      <c r="JI73" t="s">
        <v>1309</v>
      </c>
      <c r="JJ73" t="s">
        <v>1309</v>
      </c>
      <c r="JK73" t="s">
        <v>1310</v>
      </c>
      <c r="JL73" t="s">
        <v>1309</v>
      </c>
      <c r="JM73" t="s">
        <v>1309</v>
      </c>
      <c r="JN73" t="s">
        <v>1309</v>
      </c>
      <c r="JO73" t="s">
        <v>1309</v>
      </c>
      <c r="JQ73" s="92" t="s">
        <v>1524</v>
      </c>
      <c r="JR73" s="92" t="s">
        <v>1525</v>
      </c>
      <c r="JS73" s="92">
        <v>47</v>
      </c>
      <c r="JT73" s="92" t="s">
        <v>1319</v>
      </c>
      <c r="JU73" s="92" t="s">
        <v>1396</v>
      </c>
      <c r="JV73" s="92" t="s">
        <v>1526</v>
      </c>
      <c r="JW73" s="92" t="s">
        <v>1296</v>
      </c>
      <c r="JX73" s="92" t="s">
        <v>71</v>
      </c>
      <c r="JY73" s="92" t="s">
        <v>1397</v>
      </c>
      <c r="JZ73" s="92" t="s">
        <v>1337</v>
      </c>
      <c r="KA73" s="92" t="s">
        <v>4845</v>
      </c>
      <c r="KB73" s="92" t="s">
        <v>1399</v>
      </c>
      <c r="KC73" s="92" t="s">
        <v>109</v>
      </c>
      <c r="KD73" s="92" t="s">
        <v>4847</v>
      </c>
      <c r="KE73" s="92" t="s">
        <v>1424</v>
      </c>
      <c r="KF73" s="92">
        <v>1500</v>
      </c>
      <c r="KG73" s="92" t="s">
        <v>4438</v>
      </c>
      <c r="KH73" s="92" t="s">
        <v>192</v>
      </c>
      <c r="KI73" s="92" t="s">
        <v>192</v>
      </c>
      <c r="KJ73" s="92" t="s">
        <v>192</v>
      </c>
      <c r="KK73" s="92" t="s">
        <v>192</v>
      </c>
      <c r="KL73" s="92" t="s">
        <v>1440</v>
      </c>
      <c r="KM73" s="92">
        <v>1950</v>
      </c>
      <c r="KN73" s="92" t="s">
        <v>4438</v>
      </c>
      <c r="KO73" s="92" t="s">
        <v>1440</v>
      </c>
      <c r="KP73" s="92" t="s">
        <v>1342</v>
      </c>
      <c r="KQ73" s="92" t="s">
        <v>192</v>
      </c>
      <c r="KR73" s="92">
        <v>53</v>
      </c>
      <c r="KS73" s="92" t="s">
        <v>1466</v>
      </c>
      <c r="KT73" s="92" t="s">
        <v>1402</v>
      </c>
      <c r="KU73" s="92">
        <v>41</v>
      </c>
      <c r="KV73" s="92" t="s">
        <v>1441</v>
      </c>
      <c r="KW73" s="92" t="s">
        <v>1402</v>
      </c>
      <c r="KX73" s="92" t="s">
        <v>1376</v>
      </c>
      <c r="KY73" s="92" t="s">
        <v>1377</v>
      </c>
      <c r="KZ73" s="92" t="s">
        <v>1403</v>
      </c>
      <c r="LA73" s="92" t="s">
        <v>109</v>
      </c>
      <c r="LB73" s="92" t="s">
        <v>109</v>
      </c>
      <c r="LC73" s="92" t="s">
        <v>4438</v>
      </c>
      <c r="LD73" s="92" t="s">
        <v>4438</v>
      </c>
      <c r="LE73" s="92" t="s">
        <v>109</v>
      </c>
      <c r="LF73" s="92" t="s">
        <v>109</v>
      </c>
    </row>
    <row r="74" spans="1:318" x14ac:dyDescent="0.25">
      <c r="A74" t="s">
        <v>1811</v>
      </c>
      <c r="B74" t="s">
        <v>1812</v>
      </c>
      <c r="C74" t="s">
        <v>1304</v>
      </c>
      <c r="D74" t="s">
        <v>1305</v>
      </c>
      <c r="E74" t="s">
        <v>1381</v>
      </c>
      <c r="G74" t="s">
        <v>1319</v>
      </c>
      <c r="H74">
        <v>2</v>
      </c>
      <c r="I74" t="s">
        <v>1358</v>
      </c>
      <c r="J74" t="s">
        <v>1813</v>
      </c>
      <c r="K74" t="s">
        <v>1309</v>
      </c>
      <c r="L74" t="s">
        <v>1310</v>
      </c>
      <c r="M74" t="s">
        <v>1309</v>
      </c>
      <c r="N74" t="s">
        <v>1309</v>
      </c>
      <c r="O74" t="s">
        <v>1310</v>
      </c>
      <c r="P74" t="s">
        <v>1310</v>
      </c>
      <c r="Q74" t="s">
        <v>1309</v>
      </c>
      <c r="R74" t="s">
        <v>1309</v>
      </c>
      <c r="S74">
        <v>1</v>
      </c>
      <c r="U74" t="s">
        <v>1312</v>
      </c>
      <c r="V74" t="s">
        <v>1312</v>
      </c>
      <c r="W74" t="s">
        <v>1312</v>
      </c>
      <c r="X74" t="s">
        <v>1312</v>
      </c>
      <c r="Y74" t="s">
        <v>1312</v>
      </c>
      <c r="Z74" t="s">
        <v>1312</v>
      </c>
      <c r="AC74">
        <v>1</v>
      </c>
      <c r="AD74">
        <v>4500</v>
      </c>
      <c r="AE74">
        <v>9000</v>
      </c>
      <c r="AF74" t="s">
        <v>1351</v>
      </c>
      <c r="AH74" t="s">
        <v>1383</v>
      </c>
      <c r="AJ74" t="s">
        <v>1315</v>
      </c>
      <c r="AL74" t="s">
        <v>1354</v>
      </c>
      <c r="BS74" t="s">
        <v>1307</v>
      </c>
      <c r="CE74" t="s">
        <v>1597</v>
      </c>
      <c r="CF74" t="s">
        <v>1309</v>
      </c>
      <c r="CG74" t="s">
        <v>1309</v>
      </c>
      <c r="CH74" t="s">
        <v>1309</v>
      </c>
      <c r="CI74" t="s">
        <v>1309</v>
      </c>
      <c r="CJ74" t="s">
        <v>1309</v>
      </c>
      <c r="CK74" t="s">
        <v>1309</v>
      </c>
      <c r="CL74" t="s">
        <v>1310</v>
      </c>
      <c r="CM74" t="s">
        <v>1309</v>
      </c>
      <c r="CN74" t="s">
        <v>1309</v>
      </c>
      <c r="CO74" t="s">
        <v>1309</v>
      </c>
      <c r="CP74" t="s">
        <v>1309</v>
      </c>
      <c r="CQ74" t="s">
        <v>1309</v>
      </c>
      <c r="CR74" t="s">
        <v>1309</v>
      </c>
      <c r="CT74" t="s">
        <v>4434</v>
      </c>
      <c r="CV74" t="s">
        <v>1356</v>
      </c>
      <c r="CW74" t="s">
        <v>1309</v>
      </c>
      <c r="CX74" t="s">
        <v>1309</v>
      </c>
      <c r="CY74" t="s">
        <v>1309</v>
      </c>
      <c r="CZ74" t="s">
        <v>1310</v>
      </c>
      <c r="DA74" t="s">
        <v>1309</v>
      </c>
      <c r="DB74" t="s">
        <v>1309</v>
      </c>
      <c r="DC74" t="s">
        <v>1309</v>
      </c>
      <c r="DE74" t="s">
        <v>1307</v>
      </c>
      <c r="DG74">
        <v>5000</v>
      </c>
      <c r="DI74">
        <v>1000</v>
      </c>
      <c r="DJ74" t="s">
        <v>1307</v>
      </c>
      <c r="DK74">
        <v>5000</v>
      </c>
      <c r="DM74">
        <v>1000</v>
      </c>
      <c r="DY74" t="s">
        <v>1616</v>
      </c>
      <c r="DZ74">
        <v>800</v>
      </c>
      <c r="EA74" t="s">
        <v>1319</v>
      </c>
      <c r="EC74" t="s">
        <v>1504</v>
      </c>
      <c r="EG74" t="s">
        <v>5356</v>
      </c>
      <c r="EI74" t="s">
        <v>1307</v>
      </c>
      <c r="ET74" t="s">
        <v>1307</v>
      </c>
      <c r="EV74" t="s">
        <v>1319</v>
      </c>
      <c r="EW74" t="s">
        <v>1529</v>
      </c>
      <c r="EX74" t="s">
        <v>1319</v>
      </c>
      <c r="EY74" t="s">
        <v>1319</v>
      </c>
      <c r="EZ74" t="s">
        <v>1319</v>
      </c>
      <c r="FA74" t="s">
        <v>1665</v>
      </c>
      <c r="FB74" t="s">
        <v>1309</v>
      </c>
      <c r="FC74" t="s">
        <v>1310</v>
      </c>
      <c r="FD74" t="s">
        <v>1309</v>
      </c>
      <c r="FE74" t="s">
        <v>1309</v>
      </c>
      <c r="FF74" t="s">
        <v>1309</v>
      </c>
      <c r="FG74" t="s">
        <v>1309</v>
      </c>
      <c r="FH74" t="s">
        <v>1309</v>
      </c>
      <c r="FI74" t="s">
        <v>1309</v>
      </c>
      <c r="FJ74" t="s">
        <v>1309</v>
      </c>
      <c r="FK74" t="s">
        <v>1309</v>
      </c>
      <c r="FL74" t="s">
        <v>1309</v>
      </c>
      <c r="FM74" t="s">
        <v>1309</v>
      </c>
      <c r="FN74" t="s">
        <v>1309</v>
      </c>
      <c r="FO74" t="s">
        <v>1309</v>
      </c>
      <c r="FP74" t="s">
        <v>1309</v>
      </c>
      <c r="FQ74" t="s">
        <v>1309</v>
      </c>
      <c r="FR74" t="s">
        <v>1309</v>
      </c>
      <c r="FT74" t="s">
        <v>1307</v>
      </c>
      <c r="GI74" t="s">
        <v>1436</v>
      </c>
      <c r="GJ74" t="s">
        <v>1436</v>
      </c>
      <c r="GK74" t="s">
        <v>1307</v>
      </c>
      <c r="GT74" t="s">
        <v>1325</v>
      </c>
      <c r="GU74" t="s">
        <v>1310</v>
      </c>
      <c r="GV74" t="s">
        <v>1309</v>
      </c>
      <c r="GW74" t="s">
        <v>1309</v>
      </c>
      <c r="GX74" t="s">
        <v>1309</v>
      </c>
      <c r="GY74" t="s">
        <v>1309</v>
      </c>
      <c r="GZ74" t="s">
        <v>1309</v>
      </c>
      <c r="HA74" t="s">
        <v>1309</v>
      </c>
      <c r="HB74" t="s">
        <v>1309</v>
      </c>
      <c r="HC74" t="s">
        <v>1309</v>
      </c>
      <c r="HD74" t="s">
        <v>1309</v>
      </c>
      <c r="HE74" t="s">
        <v>1309</v>
      </c>
      <c r="HF74" t="s">
        <v>1309</v>
      </c>
      <c r="HH74" t="s">
        <v>1390</v>
      </c>
      <c r="HI74" t="s">
        <v>1363</v>
      </c>
      <c r="HJ74" t="s">
        <v>1363</v>
      </c>
      <c r="HK74" t="s">
        <v>1327</v>
      </c>
      <c r="HL74" t="s">
        <v>1364</v>
      </c>
      <c r="HM74" t="s">
        <v>1363</v>
      </c>
      <c r="IA74" t="s">
        <v>1307</v>
      </c>
      <c r="IQ74" t="s">
        <v>1365</v>
      </c>
      <c r="IS74" t="s">
        <v>1316</v>
      </c>
      <c r="JF74" t="s">
        <v>1316</v>
      </c>
      <c r="JG74" t="s">
        <v>1698</v>
      </c>
      <c r="JH74" t="s">
        <v>1309</v>
      </c>
      <c r="JI74" t="s">
        <v>1309</v>
      </c>
      <c r="JJ74" t="s">
        <v>1309</v>
      </c>
      <c r="JK74" t="s">
        <v>1309</v>
      </c>
      <c r="JL74" t="s">
        <v>1309</v>
      </c>
      <c r="JM74" t="s">
        <v>1310</v>
      </c>
      <c r="JN74" t="s">
        <v>1309</v>
      </c>
      <c r="JO74" t="s">
        <v>1309</v>
      </c>
      <c r="JP74" t="s">
        <v>1814</v>
      </c>
      <c r="JQ74" s="92" t="s">
        <v>1815</v>
      </c>
      <c r="JR74" s="92" t="s">
        <v>1816</v>
      </c>
      <c r="JS74" s="92">
        <v>48</v>
      </c>
      <c r="JT74" s="92" t="s">
        <v>1319</v>
      </c>
      <c r="JU74" s="92" t="s">
        <v>1575</v>
      </c>
      <c r="JV74" s="92" t="s">
        <v>1336</v>
      </c>
      <c r="JW74" s="92" t="s">
        <v>1296</v>
      </c>
      <c r="JX74" s="92" t="s">
        <v>71</v>
      </c>
      <c r="JY74" s="92" t="s">
        <v>1397</v>
      </c>
      <c r="JZ74" s="92" t="s">
        <v>1337</v>
      </c>
      <c r="KA74" s="92" t="s">
        <v>4845</v>
      </c>
      <c r="KB74" s="92" t="s">
        <v>1399</v>
      </c>
      <c r="KC74" s="92" t="s">
        <v>109</v>
      </c>
      <c r="KD74" s="92" t="s">
        <v>4844</v>
      </c>
      <c r="KE74" s="92" t="s">
        <v>5560</v>
      </c>
      <c r="KF74" s="92">
        <v>6000</v>
      </c>
      <c r="KG74" s="92" t="s">
        <v>1426</v>
      </c>
      <c r="KH74" s="92" t="s">
        <v>192</v>
      </c>
      <c r="KI74" s="92" t="s">
        <v>109</v>
      </c>
      <c r="KJ74" s="92" t="s">
        <v>192</v>
      </c>
      <c r="KK74" s="92" t="s">
        <v>109</v>
      </c>
      <c r="KL74" s="92" t="s">
        <v>1341</v>
      </c>
      <c r="KM74" s="92">
        <v>6000</v>
      </c>
      <c r="KN74" s="92" t="s">
        <v>1426</v>
      </c>
      <c r="KO74" s="92" t="s">
        <v>1341</v>
      </c>
      <c r="KP74" s="92" t="s">
        <v>1375</v>
      </c>
      <c r="KQ74" s="92" t="s">
        <v>192</v>
      </c>
      <c r="KR74" s="92">
        <v>13</v>
      </c>
      <c r="KS74" s="92" t="s">
        <v>1466</v>
      </c>
      <c r="KT74" s="92" t="s">
        <v>1344</v>
      </c>
      <c r="KU74" s="92"/>
      <c r="KV74" s="92" t="s">
        <v>5554</v>
      </c>
      <c r="KW74" s="92"/>
      <c r="KX74" s="92" t="s">
        <v>1621</v>
      </c>
      <c r="KY74" s="92" t="s">
        <v>1508</v>
      </c>
      <c r="KZ74" s="92" t="s">
        <v>1403</v>
      </c>
      <c r="LA74" s="92" t="s">
        <v>109</v>
      </c>
      <c r="LB74" s="92" t="s">
        <v>109</v>
      </c>
      <c r="LC74" s="92" t="s">
        <v>4439</v>
      </c>
      <c r="LD74" s="92" t="s">
        <v>4439</v>
      </c>
      <c r="LE74" s="92" t="s">
        <v>192</v>
      </c>
      <c r="LF74" s="92" t="s">
        <v>192</v>
      </c>
    </row>
    <row r="75" spans="1:318" x14ac:dyDescent="0.25">
      <c r="A75" t="s">
        <v>1817</v>
      </c>
      <c r="B75" t="s">
        <v>1818</v>
      </c>
      <c r="C75" t="s">
        <v>1304</v>
      </c>
      <c r="D75" t="s">
        <v>1305</v>
      </c>
      <c r="E75" t="s">
        <v>1819</v>
      </c>
      <c r="G75" t="s">
        <v>1319</v>
      </c>
      <c r="H75">
        <v>2</v>
      </c>
      <c r="I75" t="s">
        <v>1358</v>
      </c>
      <c r="J75" t="s">
        <v>1382</v>
      </c>
      <c r="K75" t="s">
        <v>1309</v>
      </c>
      <c r="L75" t="s">
        <v>1310</v>
      </c>
      <c r="M75" t="s">
        <v>1309</v>
      </c>
      <c r="N75" t="s">
        <v>1309</v>
      </c>
      <c r="O75" t="s">
        <v>1309</v>
      </c>
      <c r="P75" t="s">
        <v>1310</v>
      </c>
      <c r="Q75" t="s">
        <v>1309</v>
      </c>
      <c r="R75" t="s">
        <v>1309</v>
      </c>
      <c r="S75">
        <v>1</v>
      </c>
      <c r="U75" t="s">
        <v>1312</v>
      </c>
      <c r="V75" t="s">
        <v>1312</v>
      </c>
      <c r="W75" t="s">
        <v>1312</v>
      </c>
      <c r="X75" t="s">
        <v>1312</v>
      </c>
      <c r="Y75" t="s">
        <v>1312</v>
      </c>
      <c r="Z75" t="s">
        <v>1312</v>
      </c>
      <c r="AC75">
        <v>1</v>
      </c>
      <c r="AD75">
        <v>4500</v>
      </c>
      <c r="AE75">
        <v>4500</v>
      </c>
      <c r="AF75" t="s">
        <v>1313</v>
      </c>
      <c r="AH75" t="s">
        <v>1315</v>
      </c>
      <c r="AJ75" t="s">
        <v>1315</v>
      </c>
      <c r="AL75" t="s">
        <v>1316</v>
      </c>
      <c r="BS75" t="s">
        <v>1307</v>
      </c>
      <c r="CE75" t="s">
        <v>1355</v>
      </c>
      <c r="CF75" t="s">
        <v>1309</v>
      </c>
      <c r="CG75" t="s">
        <v>1309</v>
      </c>
      <c r="CH75" t="s">
        <v>1309</v>
      </c>
      <c r="CI75" t="s">
        <v>1309</v>
      </c>
      <c r="CJ75" t="s">
        <v>1309</v>
      </c>
      <c r="CK75" t="s">
        <v>1309</v>
      </c>
      <c r="CL75" t="s">
        <v>1309</v>
      </c>
      <c r="CM75" t="s">
        <v>1309</v>
      </c>
      <c r="CN75" t="s">
        <v>1310</v>
      </c>
      <c r="CO75" t="s">
        <v>1309</v>
      </c>
      <c r="CP75" t="s">
        <v>1309</v>
      </c>
      <c r="CQ75" t="s">
        <v>1309</v>
      </c>
      <c r="CR75" t="s">
        <v>1309</v>
      </c>
      <c r="CT75" t="s">
        <v>4435</v>
      </c>
      <c r="CV75" t="s">
        <v>1308</v>
      </c>
      <c r="CW75" t="s">
        <v>1310</v>
      </c>
      <c r="CX75" t="s">
        <v>1309</v>
      </c>
      <c r="CY75" t="s">
        <v>1309</v>
      </c>
      <c r="CZ75" t="s">
        <v>1309</v>
      </c>
      <c r="DA75" t="s">
        <v>1309</v>
      </c>
      <c r="DB75" t="s">
        <v>1309</v>
      </c>
      <c r="DC75" t="s">
        <v>1309</v>
      </c>
      <c r="DE75" t="s">
        <v>1358</v>
      </c>
      <c r="DF75" t="s">
        <v>1319</v>
      </c>
      <c r="DG75">
        <v>100</v>
      </c>
      <c r="DH75">
        <v>800</v>
      </c>
      <c r="DI75">
        <v>900</v>
      </c>
      <c r="DJ75" t="s">
        <v>1358</v>
      </c>
      <c r="DK75">
        <v>200</v>
      </c>
      <c r="DL75">
        <v>1500</v>
      </c>
      <c r="DM75">
        <v>1000</v>
      </c>
      <c r="DN75" t="s">
        <v>1432</v>
      </c>
      <c r="DO75" t="s">
        <v>1310</v>
      </c>
      <c r="DP75" t="s">
        <v>1309</v>
      </c>
      <c r="DQ75" t="s">
        <v>1309</v>
      </c>
      <c r="DR75" t="s">
        <v>1310</v>
      </c>
      <c r="DS75" t="s">
        <v>1309</v>
      </c>
      <c r="DT75" t="s">
        <v>1310</v>
      </c>
      <c r="DU75" t="s">
        <v>1309</v>
      </c>
      <c r="DV75" t="s">
        <v>1309</v>
      </c>
      <c r="DW75" t="s">
        <v>1309</v>
      </c>
      <c r="DY75" t="s">
        <v>1696</v>
      </c>
      <c r="DZ75">
        <v>800</v>
      </c>
      <c r="EA75" t="s">
        <v>1319</v>
      </c>
      <c r="EC75" t="s">
        <v>1738</v>
      </c>
      <c r="ED75">
        <v>800</v>
      </c>
      <c r="EE75" t="s">
        <v>1319</v>
      </c>
      <c r="EG75" t="s">
        <v>5356</v>
      </c>
      <c r="EI75" t="s">
        <v>1307</v>
      </c>
      <c r="ET75" t="s">
        <v>1307</v>
      </c>
      <c r="EV75" t="s">
        <v>1319</v>
      </c>
      <c r="EW75" t="s">
        <v>1529</v>
      </c>
      <c r="EX75" t="s">
        <v>1307</v>
      </c>
      <c r="EY75" t="s">
        <v>1307</v>
      </c>
      <c r="FT75" t="s">
        <v>1307</v>
      </c>
      <c r="GI75" t="s">
        <v>1436</v>
      </c>
      <c r="GJ75" t="s">
        <v>1436</v>
      </c>
      <c r="GK75" t="s">
        <v>1307</v>
      </c>
      <c r="GT75" t="s">
        <v>1325</v>
      </c>
      <c r="GU75" t="s">
        <v>1310</v>
      </c>
      <c r="GV75" t="s">
        <v>1309</v>
      </c>
      <c r="GW75" t="s">
        <v>1309</v>
      </c>
      <c r="GX75" t="s">
        <v>1309</v>
      </c>
      <c r="GY75" t="s">
        <v>1309</v>
      </c>
      <c r="GZ75" t="s">
        <v>1309</v>
      </c>
      <c r="HA75" t="s">
        <v>1309</v>
      </c>
      <c r="HB75" t="s">
        <v>1309</v>
      </c>
      <c r="HC75" t="s">
        <v>1309</v>
      </c>
      <c r="HD75" t="s">
        <v>1309</v>
      </c>
      <c r="HE75" t="s">
        <v>1309</v>
      </c>
      <c r="HF75" t="s">
        <v>1309</v>
      </c>
      <c r="HH75" t="s">
        <v>1326</v>
      </c>
      <c r="HI75" t="s">
        <v>1326</v>
      </c>
      <c r="HJ75" t="s">
        <v>1326</v>
      </c>
      <c r="HK75" t="s">
        <v>1327</v>
      </c>
      <c r="HL75" t="s">
        <v>1364</v>
      </c>
      <c r="HM75" t="s">
        <v>1326</v>
      </c>
      <c r="IA75" t="s">
        <v>1307</v>
      </c>
      <c r="IQ75" t="s">
        <v>1330</v>
      </c>
      <c r="IS75" t="s">
        <v>1331</v>
      </c>
      <c r="JF75" t="s">
        <v>1331</v>
      </c>
      <c r="JG75" t="s">
        <v>1414</v>
      </c>
      <c r="JH75" t="s">
        <v>1309</v>
      </c>
      <c r="JI75" t="s">
        <v>1309</v>
      </c>
      <c r="JJ75" t="s">
        <v>1309</v>
      </c>
      <c r="JK75" t="s">
        <v>1309</v>
      </c>
      <c r="JL75" t="s">
        <v>1309</v>
      </c>
      <c r="JM75" t="s">
        <v>1309</v>
      </c>
      <c r="JN75" t="s">
        <v>1310</v>
      </c>
      <c r="JO75" t="s">
        <v>1309</v>
      </c>
      <c r="JQ75" s="92" t="s">
        <v>1333</v>
      </c>
      <c r="JR75" s="92" t="s">
        <v>1334</v>
      </c>
      <c r="JS75" s="92">
        <v>44</v>
      </c>
      <c r="JT75" s="92" t="s">
        <v>1319</v>
      </c>
      <c r="JU75" s="92" t="s">
        <v>1335</v>
      </c>
      <c r="JV75" s="92" t="s">
        <v>1336</v>
      </c>
      <c r="JW75" s="92" t="s">
        <v>1296</v>
      </c>
      <c r="JX75" s="92" t="s">
        <v>71</v>
      </c>
      <c r="JY75" s="92" t="s">
        <v>1397</v>
      </c>
      <c r="JZ75" s="92" t="s">
        <v>1337</v>
      </c>
      <c r="KA75" s="92" t="s">
        <v>4845</v>
      </c>
      <c r="KB75" s="92" t="s">
        <v>1399</v>
      </c>
      <c r="KC75" s="92" t="s">
        <v>109</v>
      </c>
      <c r="KD75" s="92" t="s">
        <v>4844</v>
      </c>
      <c r="KE75" s="92" t="s">
        <v>5560</v>
      </c>
      <c r="KF75" s="92">
        <v>1800</v>
      </c>
      <c r="KG75" s="92" t="s">
        <v>4439</v>
      </c>
      <c r="KH75" s="92" t="s">
        <v>192</v>
      </c>
      <c r="KI75" s="92" t="s">
        <v>192</v>
      </c>
      <c r="KJ75" s="92" t="s">
        <v>192</v>
      </c>
      <c r="KK75" s="92" t="s">
        <v>192</v>
      </c>
      <c r="KL75" s="92" t="s">
        <v>1440</v>
      </c>
      <c r="KM75" s="92">
        <v>2700</v>
      </c>
      <c r="KN75" s="92" t="s">
        <v>1400</v>
      </c>
      <c r="KO75" s="92" t="s">
        <v>1425</v>
      </c>
      <c r="KP75" s="92" t="s">
        <v>1342</v>
      </c>
      <c r="KQ75" s="92" t="s">
        <v>192</v>
      </c>
      <c r="KR75" s="92">
        <v>44</v>
      </c>
      <c r="KS75" s="92" t="s">
        <v>1466</v>
      </c>
      <c r="KT75" s="92" t="s">
        <v>1344</v>
      </c>
      <c r="KU75" s="92">
        <v>30</v>
      </c>
      <c r="KV75" s="92" t="s">
        <v>1441</v>
      </c>
      <c r="KW75" s="92" t="s">
        <v>1344</v>
      </c>
      <c r="KX75" s="92" t="s">
        <v>1346</v>
      </c>
      <c r="KY75" s="92" t="s">
        <v>1347</v>
      </c>
      <c r="KZ75" s="92" t="s">
        <v>1403</v>
      </c>
      <c r="LA75" s="92" t="s">
        <v>109</v>
      </c>
      <c r="LB75" s="92" t="s">
        <v>109</v>
      </c>
      <c r="LC75" s="92" t="s">
        <v>4439</v>
      </c>
      <c r="LD75" s="92" t="s">
        <v>4439</v>
      </c>
      <c r="LE75" s="92" t="s">
        <v>192</v>
      </c>
      <c r="LF75" s="92" t="s">
        <v>192</v>
      </c>
    </row>
    <row r="76" spans="1:318" x14ac:dyDescent="0.25">
      <c r="A76" t="s">
        <v>1820</v>
      </c>
      <c r="B76" t="s">
        <v>1821</v>
      </c>
      <c r="C76" t="s">
        <v>1304</v>
      </c>
      <c r="D76" t="s">
        <v>1305</v>
      </c>
      <c r="E76" t="s">
        <v>1381</v>
      </c>
      <c r="G76" t="s">
        <v>1319</v>
      </c>
      <c r="H76">
        <v>3</v>
      </c>
      <c r="I76" t="s">
        <v>1358</v>
      </c>
      <c r="J76" t="s">
        <v>1382</v>
      </c>
      <c r="K76" t="s">
        <v>1309</v>
      </c>
      <c r="L76" t="s">
        <v>1310</v>
      </c>
      <c r="M76" t="s">
        <v>1309</v>
      </c>
      <c r="N76" t="s">
        <v>1309</v>
      </c>
      <c r="O76" t="s">
        <v>1309</v>
      </c>
      <c r="P76" t="s">
        <v>1310</v>
      </c>
      <c r="Q76" t="s">
        <v>1309</v>
      </c>
      <c r="R76" t="s">
        <v>1309</v>
      </c>
      <c r="S76">
        <v>2</v>
      </c>
      <c r="U76" t="s">
        <v>1312</v>
      </c>
      <c r="V76" t="s">
        <v>1312</v>
      </c>
      <c r="W76" t="s">
        <v>1312</v>
      </c>
      <c r="X76" t="s">
        <v>1312</v>
      </c>
      <c r="Y76" t="s">
        <v>1312</v>
      </c>
      <c r="Z76" t="s">
        <v>1312</v>
      </c>
      <c r="AC76">
        <v>1</v>
      </c>
      <c r="AD76">
        <v>4000</v>
      </c>
      <c r="AE76">
        <v>4000</v>
      </c>
      <c r="AF76" t="s">
        <v>1313</v>
      </c>
      <c r="AH76" t="s">
        <v>1383</v>
      </c>
      <c r="AJ76" t="s">
        <v>1315</v>
      </c>
      <c r="AL76" t="s">
        <v>1316</v>
      </c>
      <c r="BS76" t="s">
        <v>1307</v>
      </c>
      <c r="CE76" t="s">
        <v>1355</v>
      </c>
      <c r="CF76" t="s">
        <v>1309</v>
      </c>
      <c r="CG76" t="s">
        <v>1309</v>
      </c>
      <c r="CH76" t="s">
        <v>1309</v>
      </c>
      <c r="CI76" t="s">
        <v>1309</v>
      </c>
      <c r="CJ76" t="s">
        <v>1309</v>
      </c>
      <c r="CK76" t="s">
        <v>1309</v>
      </c>
      <c r="CL76" t="s">
        <v>1309</v>
      </c>
      <c r="CM76" t="s">
        <v>1309</v>
      </c>
      <c r="CN76" t="s">
        <v>1310</v>
      </c>
      <c r="CO76" t="s">
        <v>1309</v>
      </c>
      <c r="CP76" t="s">
        <v>1309</v>
      </c>
      <c r="CQ76" t="s">
        <v>1309</v>
      </c>
      <c r="CR76" t="s">
        <v>1309</v>
      </c>
      <c r="CT76" t="s">
        <v>4435</v>
      </c>
      <c r="CV76" t="s">
        <v>1308</v>
      </c>
      <c r="CW76" t="s">
        <v>1310</v>
      </c>
      <c r="CX76" t="s">
        <v>1309</v>
      </c>
      <c r="CY76" t="s">
        <v>1309</v>
      </c>
      <c r="CZ76" t="s">
        <v>1309</v>
      </c>
      <c r="DA76" t="s">
        <v>1309</v>
      </c>
      <c r="DB76" t="s">
        <v>1309</v>
      </c>
      <c r="DC76" t="s">
        <v>1309</v>
      </c>
      <c r="DE76" t="s">
        <v>1358</v>
      </c>
      <c r="DF76" t="s">
        <v>1319</v>
      </c>
      <c r="DH76">
        <v>2400</v>
      </c>
      <c r="DI76">
        <v>800</v>
      </c>
      <c r="DJ76" t="s">
        <v>1358</v>
      </c>
      <c r="DL76">
        <v>2800</v>
      </c>
      <c r="DM76">
        <v>850</v>
      </c>
      <c r="DN76" t="s">
        <v>1822</v>
      </c>
      <c r="DO76" t="s">
        <v>1309</v>
      </c>
      <c r="DP76" t="s">
        <v>1309</v>
      </c>
      <c r="DQ76" t="s">
        <v>1310</v>
      </c>
      <c r="DR76" t="s">
        <v>1310</v>
      </c>
      <c r="DS76" t="s">
        <v>1309</v>
      </c>
      <c r="DT76" t="s">
        <v>1310</v>
      </c>
      <c r="DU76" t="s">
        <v>1309</v>
      </c>
      <c r="DV76" t="s">
        <v>1309</v>
      </c>
      <c r="DW76" t="s">
        <v>1309</v>
      </c>
      <c r="DY76" t="s">
        <v>1481</v>
      </c>
      <c r="DZ76">
        <v>730</v>
      </c>
      <c r="EA76" t="s">
        <v>1386</v>
      </c>
      <c r="EC76" t="s">
        <v>1420</v>
      </c>
      <c r="ED76">
        <v>800</v>
      </c>
      <c r="EE76" t="s">
        <v>1386</v>
      </c>
      <c r="EG76" t="s">
        <v>5356</v>
      </c>
      <c r="EI76" t="s">
        <v>1307</v>
      </c>
      <c r="ET76" t="s">
        <v>1544</v>
      </c>
      <c r="EV76" t="s">
        <v>1307</v>
      </c>
      <c r="EX76" t="s">
        <v>1319</v>
      </c>
      <c r="FA76" t="s">
        <v>1823</v>
      </c>
      <c r="FB76" t="s">
        <v>1309</v>
      </c>
      <c r="FC76" t="s">
        <v>1309</v>
      </c>
      <c r="FD76" t="s">
        <v>1309</v>
      </c>
      <c r="FE76" t="s">
        <v>1309</v>
      </c>
      <c r="FF76" t="s">
        <v>1309</v>
      </c>
      <c r="FG76" t="s">
        <v>1309</v>
      </c>
      <c r="FH76" t="s">
        <v>1309</v>
      </c>
      <c r="FI76" t="s">
        <v>1309</v>
      </c>
      <c r="FJ76" t="s">
        <v>1309</v>
      </c>
      <c r="FK76" t="s">
        <v>1310</v>
      </c>
      <c r="FL76" t="s">
        <v>1310</v>
      </c>
      <c r="FM76" t="s">
        <v>1309</v>
      </c>
      <c r="FN76" t="s">
        <v>1309</v>
      </c>
      <c r="FO76" t="s">
        <v>1309</v>
      </c>
      <c r="FP76" t="s">
        <v>1309</v>
      </c>
      <c r="FQ76" t="s">
        <v>1309</v>
      </c>
      <c r="FR76" t="s">
        <v>1309</v>
      </c>
      <c r="FT76" t="s">
        <v>1319</v>
      </c>
      <c r="FU76" t="s">
        <v>1635</v>
      </c>
      <c r="FV76" t="s">
        <v>1310</v>
      </c>
      <c r="FW76" t="s">
        <v>1309</v>
      </c>
      <c r="FX76" t="s">
        <v>1309</v>
      </c>
      <c r="FY76" t="s">
        <v>1309</v>
      </c>
      <c r="FZ76" t="s">
        <v>1309</v>
      </c>
      <c r="GA76" t="s">
        <v>1310</v>
      </c>
      <c r="GB76" t="s">
        <v>1309</v>
      </c>
      <c r="GC76" t="s">
        <v>1309</v>
      </c>
      <c r="GD76" t="s">
        <v>1309</v>
      </c>
      <c r="GE76" t="s">
        <v>1309</v>
      </c>
      <c r="GF76" t="s">
        <v>1309</v>
      </c>
      <c r="GG76" t="s">
        <v>1309</v>
      </c>
      <c r="GI76" t="s">
        <v>1324</v>
      </c>
      <c r="GJ76" t="s">
        <v>1324</v>
      </c>
      <c r="GT76" t="s">
        <v>1325</v>
      </c>
      <c r="GU76" t="s">
        <v>1310</v>
      </c>
      <c r="GV76" t="s">
        <v>1309</v>
      </c>
      <c r="GW76" t="s">
        <v>1309</v>
      </c>
      <c r="GX76" t="s">
        <v>1309</v>
      </c>
      <c r="GY76" t="s">
        <v>1309</v>
      </c>
      <c r="GZ76" t="s">
        <v>1309</v>
      </c>
      <c r="HA76" t="s">
        <v>1309</v>
      </c>
      <c r="HB76" t="s">
        <v>1309</v>
      </c>
      <c r="HC76" t="s">
        <v>1309</v>
      </c>
      <c r="HD76" t="s">
        <v>1309</v>
      </c>
      <c r="HE76" t="s">
        <v>1309</v>
      </c>
      <c r="HF76" t="s">
        <v>1309</v>
      </c>
      <c r="HH76" t="s">
        <v>1326</v>
      </c>
      <c r="HI76" t="s">
        <v>1390</v>
      </c>
      <c r="HJ76" t="s">
        <v>1390</v>
      </c>
      <c r="HK76" t="s">
        <v>1327</v>
      </c>
      <c r="HL76" t="s">
        <v>1692</v>
      </c>
      <c r="HM76" t="s">
        <v>1326</v>
      </c>
      <c r="HN76" t="s">
        <v>1824</v>
      </c>
      <c r="HO76" t="s">
        <v>1310</v>
      </c>
      <c r="HP76" t="s">
        <v>1309</v>
      </c>
      <c r="HQ76" t="s">
        <v>1310</v>
      </c>
      <c r="HR76" t="s">
        <v>1309</v>
      </c>
      <c r="HS76" t="s">
        <v>1309</v>
      </c>
      <c r="HT76" t="s">
        <v>1309</v>
      </c>
      <c r="HU76" t="s">
        <v>1309</v>
      </c>
      <c r="HV76" t="s">
        <v>1309</v>
      </c>
      <c r="HW76" t="s">
        <v>1309</v>
      </c>
      <c r="HX76" t="s">
        <v>1309</v>
      </c>
      <c r="HY76" t="s">
        <v>1309</v>
      </c>
      <c r="IA76" t="s">
        <v>1307</v>
      </c>
      <c r="IQ76" t="s">
        <v>1330</v>
      </c>
      <c r="IS76" t="s">
        <v>1316</v>
      </c>
      <c r="JF76" t="s">
        <v>1331</v>
      </c>
      <c r="JG76" t="s">
        <v>1523</v>
      </c>
      <c r="JH76" t="s">
        <v>1309</v>
      </c>
      <c r="JI76" t="s">
        <v>1309</v>
      </c>
      <c r="JJ76" t="s">
        <v>1309</v>
      </c>
      <c r="JK76" t="s">
        <v>1310</v>
      </c>
      <c r="JL76" t="s">
        <v>1309</v>
      </c>
      <c r="JM76" t="s">
        <v>1309</v>
      </c>
      <c r="JN76" t="s">
        <v>1309</v>
      </c>
      <c r="JO76" t="s">
        <v>1309</v>
      </c>
      <c r="JQ76" s="92" t="s">
        <v>1333</v>
      </c>
      <c r="JR76" s="92" t="s">
        <v>1334</v>
      </c>
      <c r="JS76" s="92">
        <v>46</v>
      </c>
      <c r="JT76" s="92" t="s">
        <v>1319</v>
      </c>
      <c r="JU76" s="92" t="s">
        <v>1396</v>
      </c>
      <c r="JV76" s="92" t="s">
        <v>1336</v>
      </c>
      <c r="JW76" s="92" t="s">
        <v>1296</v>
      </c>
      <c r="JX76" s="92" t="s">
        <v>71</v>
      </c>
      <c r="JY76" s="92" t="s">
        <v>1397</v>
      </c>
      <c r="JZ76" s="92" t="s">
        <v>1337</v>
      </c>
      <c r="KA76" s="92" t="s">
        <v>4845</v>
      </c>
      <c r="KB76" s="92" t="s">
        <v>1399</v>
      </c>
      <c r="KC76" s="92" t="s">
        <v>109</v>
      </c>
      <c r="KD76" s="92" t="s">
        <v>4844</v>
      </c>
      <c r="KE76" s="92" t="s">
        <v>5560</v>
      </c>
      <c r="KF76" s="92">
        <v>3200</v>
      </c>
      <c r="KG76" s="92" t="s">
        <v>1426</v>
      </c>
      <c r="KH76" s="92" t="s">
        <v>109</v>
      </c>
      <c r="KI76" s="92" t="s">
        <v>192</v>
      </c>
      <c r="KJ76" s="92" t="s">
        <v>109</v>
      </c>
      <c r="KK76" s="92" t="s">
        <v>192</v>
      </c>
      <c r="KL76" s="92" t="s">
        <v>1341</v>
      </c>
      <c r="KM76" s="92">
        <v>3650</v>
      </c>
      <c r="KN76" s="92" t="s">
        <v>1426</v>
      </c>
      <c r="KO76" s="92" t="s">
        <v>1341</v>
      </c>
      <c r="KP76" s="92" t="s">
        <v>1342</v>
      </c>
      <c r="KQ76" s="92" t="s">
        <v>192</v>
      </c>
      <c r="KR76" s="92">
        <v>23</v>
      </c>
      <c r="KS76" s="92" t="s">
        <v>1466</v>
      </c>
      <c r="KT76" s="92" t="s">
        <v>1402</v>
      </c>
      <c r="KU76" s="92">
        <v>22</v>
      </c>
      <c r="KV76" s="92" t="s">
        <v>1441</v>
      </c>
      <c r="KW76" s="92" t="s">
        <v>1402</v>
      </c>
      <c r="KX76" s="92" t="s">
        <v>1376</v>
      </c>
      <c r="KY76" s="92" t="s">
        <v>1377</v>
      </c>
      <c r="KZ76" s="92" t="s">
        <v>1403</v>
      </c>
      <c r="LA76" s="92" t="s">
        <v>109</v>
      </c>
      <c r="LB76" s="92" t="s">
        <v>109</v>
      </c>
      <c r="LC76" s="92" t="s">
        <v>4439</v>
      </c>
      <c r="LD76" s="92" t="s">
        <v>4439</v>
      </c>
      <c r="LE76" s="92" t="s">
        <v>192</v>
      </c>
      <c r="LF76" s="92" t="s">
        <v>192</v>
      </c>
    </row>
    <row r="77" spans="1:318" x14ac:dyDescent="0.25">
      <c r="A77" t="s">
        <v>1825</v>
      </c>
      <c r="B77" t="s">
        <v>1826</v>
      </c>
      <c r="C77" t="s">
        <v>1304</v>
      </c>
      <c r="D77" t="s">
        <v>1305</v>
      </c>
      <c r="E77" t="s">
        <v>1306</v>
      </c>
      <c r="G77" t="s">
        <v>1319</v>
      </c>
      <c r="H77">
        <v>4</v>
      </c>
      <c r="I77" t="s">
        <v>1318</v>
      </c>
      <c r="J77" t="s">
        <v>1614</v>
      </c>
      <c r="K77" t="s">
        <v>1309</v>
      </c>
      <c r="L77" t="s">
        <v>1310</v>
      </c>
      <c r="M77" t="s">
        <v>1310</v>
      </c>
      <c r="N77" t="s">
        <v>1309</v>
      </c>
      <c r="O77" t="s">
        <v>1310</v>
      </c>
      <c r="P77" t="s">
        <v>1309</v>
      </c>
      <c r="Q77" t="s">
        <v>1309</v>
      </c>
      <c r="R77" t="s">
        <v>1309</v>
      </c>
      <c r="S77">
        <v>1</v>
      </c>
      <c r="T77">
        <v>2</v>
      </c>
      <c r="U77" t="s">
        <v>1311</v>
      </c>
      <c r="V77" t="s">
        <v>1311</v>
      </c>
      <c r="W77" t="s">
        <v>1311</v>
      </c>
      <c r="X77" t="s">
        <v>1312</v>
      </c>
      <c r="Y77" t="s">
        <v>1312</v>
      </c>
      <c r="Z77" t="s">
        <v>1312</v>
      </c>
      <c r="AC77">
        <v>4</v>
      </c>
      <c r="AD77">
        <v>9000</v>
      </c>
      <c r="AE77">
        <v>8000</v>
      </c>
      <c r="AF77" t="s">
        <v>1313</v>
      </c>
      <c r="AH77" t="s">
        <v>1383</v>
      </c>
      <c r="AJ77" t="s">
        <v>1315</v>
      </c>
      <c r="AL77" t="s">
        <v>1316</v>
      </c>
      <c r="BS77" t="s">
        <v>1307</v>
      </c>
      <c r="CE77" t="s">
        <v>1355</v>
      </c>
      <c r="CF77" t="s">
        <v>1309</v>
      </c>
      <c r="CG77" t="s">
        <v>1309</v>
      </c>
      <c r="CH77" t="s">
        <v>1309</v>
      </c>
      <c r="CI77" t="s">
        <v>1309</v>
      </c>
      <c r="CJ77" t="s">
        <v>1309</v>
      </c>
      <c r="CK77" t="s">
        <v>1309</v>
      </c>
      <c r="CL77" t="s">
        <v>1309</v>
      </c>
      <c r="CM77" t="s">
        <v>1309</v>
      </c>
      <c r="CN77" t="s">
        <v>1310</v>
      </c>
      <c r="CO77" t="s">
        <v>1309</v>
      </c>
      <c r="CP77" t="s">
        <v>1309</v>
      </c>
      <c r="CQ77" t="s">
        <v>1309</v>
      </c>
      <c r="CR77" t="s">
        <v>1309</v>
      </c>
      <c r="CT77" t="s">
        <v>4434</v>
      </c>
      <c r="CV77" t="s">
        <v>1357</v>
      </c>
      <c r="CW77" t="s">
        <v>1309</v>
      </c>
      <c r="CX77" t="s">
        <v>1309</v>
      </c>
      <c r="CY77" t="s">
        <v>1309</v>
      </c>
      <c r="CZ77" t="s">
        <v>1309</v>
      </c>
      <c r="DA77" t="s">
        <v>1310</v>
      </c>
      <c r="DB77" t="s">
        <v>1309</v>
      </c>
      <c r="DC77" t="s">
        <v>1309</v>
      </c>
      <c r="DE77" t="s">
        <v>1358</v>
      </c>
      <c r="DG77">
        <v>2500</v>
      </c>
      <c r="DI77">
        <v>350</v>
      </c>
      <c r="DJ77" t="s">
        <v>1358</v>
      </c>
      <c r="DK77">
        <v>3800</v>
      </c>
      <c r="DM77">
        <v>400</v>
      </c>
      <c r="DN77" t="s">
        <v>1584</v>
      </c>
      <c r="DO77" t="s">
        <v>1310</v>
      </c>
      <c r="DP77" t="s">
        <v>1309</v>
      </c>
      <c r="DQ77" t="s">
        <v>1309</v>
      </c>
      <c r="DR77" t="s">
        <v>1309</v>
      </c>
      <c r="DS77" t="s">
        <v>1310</v>
      </c>
      <c r="DT77" t="s">
        <v>1310</v>
      </c>
      <c r="DU77" t="s">
        <v>1309</v>
      </c>
      <c r="DV77" t="s">
        <v>1309</v>
      </c>
      <c r="DW77" t="s">
        <v>1309</v>
      </c>
      <c r="DY77" t="s">
        <v>1481</v>
      </c>
      <c r="DZ77">
        <v>300</v>
      </c>
      <c r="EA77" t="s">
        <v>1319</v>
      </c>
      <c r="EC77" t="s">
        <v>1420</v>
      </c>
      <c r="ED77">
        <v>960</v>
      </c>
      <c r="EE77" t="s">
        <v>1386</v>
      </c>
      <c r="EG77" t="s">
        <v>5356</v>
      </c>
      <c r="EI77" t="s">
        <v>1307</v>
      </c>
      <c r="ET77" t="s">
        <v>1307</v>
      </c>
      <c r="EV77" t="s">
        <v>1319</v>
      </c>
      <c r="EW77" t="s">
        <v>1409</v>
      </c>
      <c r="EX77" t="s">
        <v>1319</v>
      </c>
      <c r="EY77" t="s">
        <v>1319</v>
      </c>
      <c r="FA77" t="s">
        <v>1827</v>
      </c>
      <c r="FB77" t="s">
        <v>1310</v>
      </c>
      <c r="FC77" t="s">
        <v>1309</v>
      </c>
      <c r="FD77" t="s">
        <v>1309</v>
      </c>
      <c r="FE77" t="s">
        <v>1310</v>
      </c>
      <c r="FF77" t="s">
        <v>1309</v>
      </c>
      <c r="FG77" t="s">
        <v>1310</v>
      </c>
      <c r="FH77" t="s">
        <v>1310</v>
      </c>
      <c r="FI77" t="s">
        <v>1309</v>
      </c>
      <c r="FJ77" t="s">
        <v>1309</v>
      </c>
      <c r="FK77" t="s">
        <v>1309</v>
      </c>
      <c r="FL77" t="s">
        <v>1309</v>
      </c>
      <c r="FM77" t="s">
        <v>1309</v>
      </c>
      <c r="FN77" t="s">
        <v>1309</v>
      </c>
      <c r="FO77" t="s">
        <v>1309</v>
      </c>
      <c r="FP77" t="s">
        <v>1309</v>
      </c>
      <c r="FQ77" t="s">
        <v>1309</v>
      </c>
      <c r="FR77" t="s">
        <v>1309</v>
      </c>
      <c r="FT77" t="s">
        <v>1319</v>
      </c>
      <c r="FU77" t="s">
        <v>1635</v>
      </c>
      <c r="FV77" t="s">
        <v>1310</v>
      </c>
      <c r="FW77" t="s">
        <v>1309</v>
      </c>
      <c r="FX77" t="s">
        <v>1309</v>
      </c>
      <c r="FY77" t="s">
        <v>1309</v>
      </c>
      <c r="FZ77" t="s">
        <v>1309</v>
      </c>
      <c r="GA77" t="s">
        <v>1310</v>
      </c>
      <c r="GB77" t="s">
        <v>1309</v>
      </c>
      <c r="GC77" t="s">
        <v>1309</v>
      </c>
      <c r="GD77" t="s">
        <v>1309</v>
      </c>
      <c r="GE77" t="s">
        <v>1309</v>
      </c>
      <c r="GF77" t="s">
        <v>1309</v>
      </c>
      <c r="GG77" t="s">
        <v>1309</v>
      </c>
      <c r="GI77" t="s">
        <v>1324</v>
      </c>
      <c r="GJ77" t="s">
        <v>1436</v>
      </c>
      <c r="GK77" t="s">
        <v>1319</v>
      </c>
      <c r="GL77" t="s">
        <v>1619</v>
      </c>
      <c r="GM77" t="s">
        <v>1310</v>
      </c>
      <c r="GN77" t="s">
        <v>1309</v>
      </c>
      <c r="GO77" t="s">
        <v>1309</v>
      </c>
      <c r="GP77" t="s">
        <v>1309</v>
      </c>
      <c r="GQ77" t="s">
        <v>1309</v>
      </c>
      <c r="GR77" t="s">
        <v>1309</v>
      </c>
      <c r="GT77" t="s">
        <v>1325</v>
      </c>
      <c r="GU77" t="s">
        <v>1310</v>
      </c>
      <c r="GV77" t="s">
        <v>1309</v>
      </c>
      <c r="GW77" t="s">
        <v>1309</v>
      </c>
      <c r="GX77" t="s">
        <v>1309</v>
      </c>
      <c r="GY77" t="s">
        <v>1309</v>
      </c>
      <c r="GZ77" t="s">
        <v>1309</v>
      </c>
      <c r="HA77" t="s">
        <v>1309</v>
      </c>
      <c r="HB77" t="s">
        <v>1309</v>
      </c>
      <c r="HC77" t="s">
        <v>1309</v>
      </c>
      <c r="HD77" t="s">
        <v>1309</v>
      </c>
      <c r="HE77" t="s">
        <v>1309</v>
      </c>
      <c r="HF77" t="s">
        <v>1309</v>
      </c>
      <c r="HH77" t="s">
        <v>1326</v>
      </c>
      <c r="HI77" t="s">
        <v>1326</v>
      </c>
      <c r="HJ77" t="s">
        <v>1326</v>
      </c>
      <c r="HK77" t="s">
        <v>1327</v>
      </c>
      <c r="HL77" t="s">
        <v>1692</v>
      </c>
      <c r="HM77" t="s">
        <v>1326</v>
      </c>
      <c r="HN77" t="s">
        <v>1549</v>
      </c>
      <c r="HO77" t="s">
        <v>1310</v>
      </c>
      <c r="HP77" t="s">
        <v>1310</v>
      </c>
      <c r="HQ77" t="s">
        <v>1309</v>
      </c>
      <c r="HR77" t="s">
        <v>1309</v>
      </c>
      <c r="HS77" t="s">
        <v>1309</v>
      </c>
      <c r="HT77" t="s">
        <v>1309</v>
      </c>
      <c r="HU77" t="s">
        <v>1309</v>
      </c>
      <c r="HV77" t="s">
        <v>1309</v>
      </c>
      <c r="HW77" t="s">
        <v>1309</v>
      </c>
      <c r="HX77" t="s">
        <v>1309</v>
      </c>
      <c r="HY77" t="s">
        <v>1309</v>
      </c>
      <c r="IA77" t="s">
        <v>1319</v>
      </c>
      <c r="IB77" t="s">
        <v>1579</v>
      </c>
      <c r="IC77" t="s">
        <v>1309</v>
      </c>
      <c r="ID77" t="s">
        <v>1309</v>
      </c>
      <c r="IE77" t="s">
        <v>1309</v>
      </c>
      <c r="IF77" t="s">
        <v>1309</v>
      </c>
      <c r="IG77" t="s">
        <v>1310</v>
      </c>
      <c r="IH77" t="s">
        <v>1309</v>
      </c>
      <c r="II77" t="s">
        <v>1309</v>
      </c>
      <c r="IJ77" t="s">
        <v>1309</v>
      </c>
      <c r="IK77" t="s">
        <v>1310</v>
      </c>
      <c r="IL77" t="s">
        <v>1309</v>
      </c>
      <c r="IM77" t="s">
        <v>1309</v>
      </c>
      <c r="IN77" t="s">
        <v>1309</v>
      </c>
      <c r="IO77" t="s">
        <v>1309</v>
      </c>
      <c r="IQ77" t="s">
        <v>1365</v>
      </c>
      <c r="IS77" t="s">
        <v>1413</v>
      </c>
      <c r="IT77" t="s">
        <v>1828</v>
      </c>
      <c r="IU77" t="s">
        <v>1309</v>
      </c>
      <c r="IV77" t="s">
        <v>1309</v>
      </c>
      <c r="IW77" t="s">
        <v>1309</v>
      </c>
      <c r="IX77" t="s">
        <v>1309</v>
      </c>
      <c r="IY77" t="s">
        <v>1310</v>
      </c>
      <c r="IZ77" t="s">
        <v>1309</v>
      </c>
      <c r="JA77" t="s">
        <v>1309</v>
      </c>
      <c r="JB77" t="s">
        <v>1309</v>
      </c>
      <c r="JC77" t="s">
        <v>1309</v>
      </c>
      <c r="JD77" t="s">
        <v>1309</v>
      </c>
      <c r="JF77" t="s">
        <v>1413</v>
      </c>
      <c r="JG77" t="s">
        <v>1414</v>
      </c>
      <c r="JH77" t="s">
        <v>1309</v>
      </c>
      <c r="JI77" t="s">
        <v>1309</v>
      </c>
      <c r="JJ77" t="s">
        <v>1309</v>
      </c>
      <c r="JK77" t="s">
        <v>1309</v>
      </c>
      <c r="JL77" t="s">
        <v>1309</v>
      </c>
      <c r="JM77" t="s">
        <v>1309</v>
      </c>
      <c r="JN77" t="s">
        <v>1310</v>
      </c>
      <c r="JO77" t="s">
        <v>1309</v>
      </c>
      <c r="JQ77" s="92" t="s">
        <v>1516</v>
      </c>
      <c r="JR77" s="92" t="s">
        <v>1660</v>
      </c>
      <c r="JS77" s="92">
        <v>54</v>
      </c>
      <c r="JT77" s="92" t="s">
        <v>1319</v>
      </c>
      <c r="JU77" s="92" t="s">
        <v>1575</v>
      </c>
      <c r="JV77" s="92" t="s">
        <v>1336</v>
      </c>
      <c r="JW77" s="92" t="s">
        <v>1296</v>
      </c>
      <c r="JX77" s="92" t="s">
        <v>71</v>
      </c>
      <c r="JY77" s="92" t="s">
        <v>5549</v>
      </c>
      <c r="JZ77" s="92" t="s">
        <v>1337</v>
      </c>
      <c r="KA77" s="92" t="s">
        <v>4845</v>
      </c>
      <c r="KB77" s="92" t="s">
        <v>1370</v>
      </c>
      <c r="KC77" s="92" t="s">
        <v>109</v>
      </c>
      <c r="KD77" s="92" t="s">
        <v>4848</v>
      </c>
      <c r="KE77" s="92" t="s">
        <v>1424</v>
      </c>
      <c r="KF77" s="92">
        <v>2850</v>
      </c>
      <c r="KG77" s="92" t="s">
        <v>4439</v>
      </c>
      <c r="KH77" s="92" t="s">
        <v>192</v>
      </c>
      <c r="KI77" s="92" t="s">
        <v>109</v>
      </c>
      <c r="KJ77" s="92" t="s">
        <v>192</v>
      </c>
      <c r="KK77" s="92" t="s">
        <v>109</v>
      </c>
      <c r="KL77" s="92" t="s">
        <v>1425</v>
      </c>
      <c r="KM77" s="92">
        <v>4200</v>
      </c>
      <c r="KN77" s="92" t="s">
        <v>4439</v>
      </c>
      <c r="KO77" s="92" t="s">
        <v>1341</v>
      </c>
      <c r="KP77" s="92" t="s">
        <v>1375</v>
      </c>
      <c r="KQ77" s="92" t="s">
        <v>192</v>
      </c>
      <c r="KR77" s="92">
        <v>11</v>
      </c>
      <c r="KS77" s="92" t="s">
        <v>1343</v>
      </c>
      <c r="KT77" s="92" t="s">
        <v>1344</v>
      </c>
      <c r="KU77" s="92">
        <v>23</v>
      </c>
      <c r="KV77" s="92" t="s">
        <v>1461</v>
      </c>
      <c r="KW77" s="92" t="s">
        <v>1402</v>
      </c>
      <c r="KX77" s="92" t="s">
        <v>1376</v>
      </c>
      <c r="KY77" s="92" t="s">
        <v>1377</v>
      </c>
      <c r="KZ77" s="92" t="s">
        <v>1378</v>
      </c>
      <c r="LA77" s="92" t="s">
        <v>109</v>
      </c>
      <c r="LB77" s="92" t="s">
        <v>109</v>
      </c>
      <c r="LC77" s="92" t="s">
        <v>4439</v>
      </c>
      <c r="LD77" s="92" t="s">
        <v>4439</v>
      </c>
      <c r="LE77" s="92" t="s">
        <v>192</v>
      </c>
      <c r="LF77" s="92" t="s">
        <v>192</v>
      </c>
    </row>
    <row r="78" spans="1:318" x14ac:dyDescent="0.25">
      <c r="A78" t="s">
        <v>1829</v>
      </c>
      <c r="B78" t="s">
        <v>1830</v>
      </c>
      <c r="C78" t="s">
        <v>1304</v>
      </c>
      <c r="D78" t="s">
        <v>1305</v>
      </c>
      <c r="E78" t="s">
        <v>1381</v>
      </c>
      <c r="G78" t="s">
        <v>1319</v>
      </c>
      <c r="H78">
        <v>6</v>
      </c>
      <c r="I78" t="s">
        <v>1358</v>
      </c>
      <c r="J78" t="s">
        <v>1406</v>
      </c>
      <c r="K78" t="s">
        <v>1309</v>
      </c>
      <c r="L78" t="s">
        <v>1310</v>
      </c>
      <c r="M78" t="s">
        <v>1309</v>
      </c>
      <c r="N78" t="s">
        <v>1309</v>
      </c>
      <c r="O78" t="s">
        <v>1309</v>
      </c>
      <c r="P78" t="s">
        <v>1309</v>
      </c>
      <c r="Q78" t="s">
        <v>1309</v>
      </c>
      <c r="R78" t="s">
        <v>1309</v>
      </c>
      <c r="S78">
        <v>4</v>
      </c>
      <c r="U78" t="s">
        <v>1312</v>
      </c>
      <c r="V78" t="s">
        <v>1312</v>
      </c>
      <c r="W78" t="s">
        <v>1312</v>
      </c>
      <c r="X78" t="s">
        <v>1312</v>
      </c>
      <c r="Y78" t="s">
        <v>1312</v>
      </c>
      <c r="Z78" t="s">
        <v>1312</v>
      </c>
      <c r="AC78">
        <v>6</v>
      </c>
      <c r="AD78">
        <v>19000</v>
      </c>
      <c r="AE78">
        <v>13000</v>
      </c>
      <c r="AF78" t="s">
        <v>1351</v>
      </c>
      <c r="AH78" t="s">
        <v>1383</v>
      </c>
      <c r="AJ78" t="s">
        <v>1315</v>
      </c>
      <c r="AL78" t="s">
        <v>1316</v>
      </c>
      <c r="BS78" t="s">
        <v>1307</v>
      </c>
      <c r="CE78" t="s">
        <v>1355</v>
      </c>
      <c r="CF78" t="s">
        <v>1309</v>
      </c>
      <c r="CG78" t="s">
        <v>1309</v>
      </c>
      <c r="CH78" t="s">
        <v>1309</v>
      </c>
      <c r="CI78" t="s">
        <v>1309</v>
      </c>
      <c r="CJ78" t="s">
        <v>1309</v>
      </c>
      <c r="CK78" t="s">
        <v>1309</v>
      </c>
      <c r="CL78" t="s">
        <v>1309</v>
      </c>
      <c r="CM78" t="s">
        <v>1309</v>
      </c>
      <c r="CN78" t="s">
        <v>1310</v>
      </c>
      <c r="CO78" t="s">
        <v>1309</v>
      </c>
      <c r="CP78" t="s">
        <v>1309</v>
      </c>
      <c r="CQ78" t="s">
        <v>1309</v>
      </c>
      <c r="CR78" t="s">
        <v>1309</v>
      </c>
      <c r="CT78" t="s">
        <v>4436</v>
      </c>
      <c r="CV78" t="s">
        <v>1308</v>
      </c>
      <c r="CW78" t="s">
        <v>1310</v>
      </c>
      <c r="CX78" t="s">
        <v>1309</v>
      </c>
      <c r="CY78" t="s">
        <v>1309</v>
      </c>
      <c r="CZ78" t="s">
        <v>1309</v>
      </c>
      <c r="DA78" t="s">
        <v>1309</v>
      </c>
      <c r="DB78" t="s">
        <v>1309</v>
      </c>
      <c r="DC78" t="s">
        <v>1309</v>
      </c>
      <c r="DE78" t="s">
        <v>1318</v>
      </c>
      <c r="DF78" t="s">
        <v>1307</v>
      </c>
      <c r="DH78">
        <v>3000</v>
      </c>
      <c r="DI78">
        <v>700</v>
      </c>
      <c r="DJ78" t="s">
        <v>1318</v>
      </c>
      <c r="DL78">
        <v>3000</v>
      </c>
      <c r="DM78">
        <v>800</v>
      </c>
      <c r="DN78" t="s">
        <v>1320</v>
      </c>
      <c r="DO78" t="s">
        <v>1310</v>
      </c>
      <c r="DP78" t="s">
        <v>1309</v>
      </c>
      <c r="DQ78" t="s">
        <v>1309</v>
      </c>
      <c r="DR78" t="s">
        <v>1309</v>
      </c>
      <c r="DS78" t="s">
        <v>1309</v>
      </c>
      <c r="DT78" t="s">
        <v>1310</v>
      </c>
      <c r="DU78" t="s">
        <v>1309</v>
      </c>
      <c r="DV78" t="s">
        <v>1309</v>
      </c>
      <c r="DW78" t="s">
        <v>1309</v>
      </c>
      <c r="DY78" t="s">
        <v>1456</v>
      </c>
      <c r="DZ78">
        <v>800</v>
      </c>
      <c r="EA78" t="s">
        <v>1319</v>
      </c>
      <c r="EC78" t="s">
        <v>1624</v>
      </c>
      <c r="ED78">
        <v>800</v>
      </c>
      <c r="EE78" t="s">
        <v>1319</v>
      </c>
      <c r="EG78" t="s">
        <v>5356</v>
      </c>
      <c r="EI78" t="s">
        <v>1307</v>
      </c>
      <c r="ET78" t="s">
        <v>1307</v>
      </c>
      <c r="EV78" t="s">
        <v>1307</v>
      </c>
      <c r="EX78" t="s">
        <v>1319</v>
      </c>
      <c r="EZ78" t="s">
        <v>1319</v>
      </c>
      <c r="FA78" t="s">
        <v>1807</v>
      </c>
      <c r="FB78" t="s">
        <v>1310</v>
      </c>
      <c r="FC78" t="s">
        <v>1309</v>
      </c>
      <c r="FD78" t="s">
        <v>1310</v>
      </c>
      <c r="FE78" t="s">
        <v>1309</v>
      </c>
      <c r="FF78" t="s">
        <v>1309</v>
      </c>
      <c r="FG78" t="s">
        <v>1309</v>
      </c>
      <c r="FH78" t="s">
        <v>1309</v>
      </c>
      <c r="FI78" t="s">
        <v>1309</v>
      </c>
      <c r="FJ78" t="s">
        <v>1309</v>
      </c>
      <c r="FK78" t="s">
        <v>1309</v>
      </c>
      <c r="FL78" t="s">
        <v>1309</v>
      </c>
      <c r="FM78" t="s">
        <v>1309</v>
      </c>
      <c r="FN78" t="s">
        <v>1309</v>
      </c>
      <c r="FO78" t="s">
        <v>1309</v>
      </c>
      <c r="FP78" t="s">
        <v>1309</v>
      </c>
      <c r="FQ78" t="s">
        <v>1309</v>
      </c>
      <c r="FR78" t="s">
        <v>1309</v>
      </c>
      <c r="FT78" t="s">
        <v>1319</v>
      </c>
      <c r="FU78" t="s">
        <v>1435</v>
      </c>
      <c r="FV78" t="s">
        <v>1310</v>
      </c>
      <c r="FW78" t="s">
        <v>1309</v>
      </c>
      <c r="FX78" t="s">
        <v>1309</v>
      </c>
      <c r="FY78" t="s">
        <v>1309</v>
      </c>
      <c r="FZ78" t="s">
        <v>1309</v>
      </c>
      <c r="GA78" t="s">
        <v>1309</v>
      </c>
      <c r="GB78" t="s">
        <v>1309</v>
      </c>
      <c r="GC78" t="s">
        <v>1309</v>
      </c>
      <c r="GD78" t="s">
        <v>1309</v>
      </c>
      <c r="GE78" t="s">
        <v>1309</v>
      </c>
      <c r="GF78" t="s">
        <v>1309</v>
      </c>
      <c r="GG78" t="s">
        <v>1309</v>
      </c>
      <c r="GI78" t="s">
        <v>1324</v>
      </c>
      <c r="GJ78" t="s">
        <v>1324</v>
      </c>
      <c r="GT78" t="s">
        <v>1325</v>
      </c>
      <c r="GU78" t="s">
        <v>1310</v>
      </c>
      <c r="GV78" t="s">
        <v>1309</v>
      </c>
      <c r="GW78" t="s">
        <v>1309</v>
      </c>
      <c r="GX78" t="s">
        <v>1309</v>
      </c>
      <c r="GY78" t="s">
        <v>1309</v>
      </c>
      <c r="GZ78" t="s">
        <v>1309</v>
      </c>
      <c r="HA78" t="s">
        <v>1309</v>
      </c>
      <c r="HB78" t="s">
        <v>1309</v>
      </c>
      <c r="HC78" t="s">
        <v>1309</v>
      </c>
      <c r="HD78" t="s">
        <v>1309</v>
      </c>
      <c r="HE78" t="s">
        <v>1309</v>
      </c>
      <c r="HF78" t="s">
        <v>1309</v>
      </c>
      <c r="HH78" t="s">
        <v>1326</v>
      </c>
      <c r="HI78" t="s">
        <v>1326</v>
      </c>
      <c r="HJ78" t="s">
        <v>1326</v>
      </c>
      <c r="HK78" t="s">
        <v>1327</v>
      </c>
      <c r="HL78" t="s">
        <v>1437</v>
      </c>
      <c r="HM78" t="s">
        <v>1390</v>
      </c>
      <c r="HN78" t="s">
        <v>1414</v>
      </c>
      <c r="HO78" t="s">
        <v>1309</v>
      </c>
      <c r="HP78" t="s">
        <v>1309</v>
      </c>
      <c r="HQ78" t="s">
        <v>1309</v>
      </c>
      <c r="HR78" t="s">
        <v>1309</v>
      </c>
      <c r="HS78" t="s">
        <v>1309</v>
      </c>
      <c r="HT78" t="s">
        <v>1309</v>
      </c>
      <c r="HU78" t="s">
        <v>1309</v>
      </c>
      <c r="HV78" t="s">
        <v>1309</v>
      </c>
      <c r="HW78" t="s">
        <v>1309</v>
      </c>
      <c r="HX78" t="s">
        <v>1310</v>
      </c>
      <c r="HY78" t="s">
        <v>1309</v>
      </c>
      <c r="IA78" t="s">
        <v>1307</v>
      </c>
      <c r="IQ78" t="s">
        <v>1330</v>
      </c>
      <c r="IS78" t="s">
        <v>1331</v>
      </c>
      <c r="JF78" t="s">
        <v>1331</v>
      </c>
      <c r="JG78" t="s">
        <v>1414</v>
      </c>
      <c r="JH78" t="s">
        <v>1309</v>
      </c>
      <c r="JI78" t="s">
        <v>1309</v>
      </c>
      <c r="JJ78" t="s">
        <v>1309</v>
      </c>
      <c r="JK78" t="s">
        <v>1309</v>
      </c>
      <c r="JL78" t="s">
        <v>1309</v>
      </c>
      <c r="JM78" t="s">
        <v>1309</v>
      </c>
      <c r="JN78" t="s">
        <v>1310</v>
      </c>
      <c r="JO78" t="s">
        <v>1309</v>
      </c>
      <c r="JQ78" s="92" t="s">
        <v>1721</v>
      </c>
      <c r="JR78" s="92" t="s">
        <v>1831</v>
      </c>
      <c r="JS78" s="92">
        <v>40</v>
      </c>
      <c r="JT78" s="92" t="s">
        <v>1319</v>
      </c>
      <c r="JU78" s="92" t="s">
        <v>1335</v>
      </c>
      <c r="JV78" s="92" t="s">
        <v>1526</v>
      </c>
      <c r="JW78" s="92" t="s">
        <v>1296</v>
      </c>
      <c r="JX78" s="92" t="s">
        <v>70</v>
      </c>
      <c r="JY78" s="92" t="s">
        <v>1397</v>
      </c>
      <c r="JZ78" s="92" t="s">
        <v>1337</v>
      </c>
      <c r="KA78" s="92" t="s">
        <v>4846</v>
      </c>
      <c r="KB78" s="92" t="s">
        <v>1415</v>
      </c>
      <c r="KC78" s="92" t="s">
        <v>109</v>
      </c>
      <c r="KD78" s="92" t="s">
        <v>4848</v>
      </c>
      <c r="KE78" s="92" t="s">
        <v>1452</v>
      </c>
      <c r="KF78" s="92">
        <v>3700</v>
      </c>
      <c r="KG78" s="92" t="s">
        <v>4438</v>
      </c>
      <c r="KH78" s="92" t="s">
        <v>109</v>
      </c>
      <c r="KI78" s="92" t="s">
        <v>192</v>
      </c>
      <c r="KJ78" s="92" t="s">
        <v>109</v>
      </c>
      <c r="KK78" s="92" t="s">
        <v>192</v>
      </c>
      <c r="KL78" s="92" t="s">
        <v>1341</v>
      </c>
      <c r="KM78" s="92">
        <v>3800</v>
      </c>
      <c r="KN78" s="92" t="s">
        <v>4438</v>
      </c>
      <c r="KO78" s="92" t="s">
        <v>1341</v>
      </c>
      <c r="KP78" s="92" t="s">
        <v>1401</v>
      </c>
      <c r="KQ78" s="92" t="s">
        <v>109</v>
      </c>
      <c r="KR78" s="92"/>
      <c r="KS78" s="92" t="s">
        <v>1466</v>
      </c>
      <c r="KT78" s="92" t="s">
        <v>1344</v>
      </c>
      <c r="KU78" s="92"/>
      <c r="KV78" s="92" t="s">
        <v>1441</v>
      </c>
      <c r="KW78" s="92" t="s">
        <v>1344</v>
      </c>
      <c r="KX78" s="92" t="s">
        <v>1376</v>
      </c>
      <c r="KY78" s="92" t="s">
        <v>1377</v>
      </c>
      <c r="KZ78" s="92" t="s">
        <v>1403</v>
      </c>
      <c r="LA78" s="92" t="s">
        <v>109</v>
      </c>
      <c r="LB78" s="92" t="s">
        <v>109</v>
      </c>
      <c r="LC78" s="92" t="s">
        <v>4438</v>
      </c>
      <c r="LD78" s="92" t="s">
        <v>4438</v>
      </c>
      <c r="LE78" s="92" t="s">
        <v>109</v>
      </c>
      <c r="LF78" s="92" t="s">
        <v>109</v>
      </c>
    </row>
    <row r="79" spans="1:318" x14ac:dyDescent="0.25">
      <c r="A79" t="s">
        <v>1832</v>
      </c>
      <c r="B79" t="s">
        <v>1833</v>
      </c>
      <c r="C79" t="s">
        <v>1304</v>
      </c>
      <c r="D79" t="s">
        <v>1429</v>
      </c>
      <c r="E79" t="s">
        <v>1306</v>
      </c>
      <c r="G79" t="s">
        <v>1307</v>
      </c>
      <c r="H79">
        <v>2</v>
      </c>
      <c r="I79" t="s">
        <v>1307</v>
      </c>
      <c r="J79" t="s">
        <v>1308</v>
      </c>
      <c r="K79" t="s">
        <v>1309</v>
      </c>
      <c r="L79" t="s">
        <v>1309</v>
      </c>
      <c r="M79" t="s">
        <v>1309</v>
      </c>
      <c r="N79" t="s">
        <v>1309</v>
      </c>
      <c r="O79" t="s">
        <v>1309</v>
      </c>
      <c r="P79" t="s">
        <v>1309</v>
      </c>
      <c r="Q79" t="s">
        <v>1310</v>
      </c>
      <c r="R79" t="s">
        <v>1309</v>
      </c>
      <c r="U79" t="s">
        <v>1311</v>
      </c>
      <c r="V79" t="s">
        <v>1312</v>
      </c>
      <c r="W79" t="s">
        <v>1311</v>
      </c>
      <c r="X79" t="s">
        <v>1312</v>
      </c>
      <c r="Y79" t="s">
        <v>1312</v>
      </c>
      <c r="Z79" t="s">
        <v>1312</v>
      </c>
      <c r="AC79">
        <v>1</v>
      </c>
      <c r="AD79">
        <v>5000</v>
      </c>
      <c r="AE79">
        <v>3000</v>
      </c>
      <c r="AF79" t="s">
        <v>1313</v>
      </c>
      <c r="AH79" t="s">
        <v>1352</v>
      </c>
      <c r="AJ79" t="s">
        <v>1315</v>
      </c>
      <c r="AL79" t="s">
        <v>1316</v>
      </c>
      <c r="BS79" t="s">
        <v>1307</v>
      </c>
      <c r="CE79" t="s">
        <v>1355</v>
      </c>
      <c r="CF79" t="s">
        <v>1309</v>
      </c>
      <c r="CG79" t="s">
        <v>1309</v>
      </c>
      <c r="CH79" t="s">
        <v>1309</v>
      </c>
      <c r="CI79" t="s">
        <v>1309</v>
      </c>
      <c r="CJ79" t="s">
        <v>1309</v>
      </c>
      <c r="CK79" t="s">
        <v>1309</v>
      </c>
      <c r="CL79" t="s">
        <v>1309</v>
      </c>
      <c r="CM79" t="s">
        <v>1309</v>
      </c>
      <c r="CN79" t="s">
        <v>1310</v>
      </c>
      <c r="CO79" t="s">
        <v>1309</v>
      </c>
      <c r="CP79" t="s">
        <v>1309</v>
      </c>
      <c r="CQ79" t="s">
        <v>1309</v>
      </c>
      <c r="CR79" t="s">
        <v>1309</v>
      </c>
      <c r="CT79" t="s">
        <v>4435</v>
      </c>
      <c r="CV79" t="s">
        <v>1308</v>
      </c>
      <c r="CW79" t="s">
        <v>1310</v>
      </c>
      <c r="CX79" t="s">
        <v>1309</v>
      </c>
      <c r="CY79" t="s">
        <v>1309</v>
      </c>
      <c r="CZ79" t="s">
        <v>1309</v>
      </c>
      <c r="DA79" t="s">
        <v>1309</v>
      </c>
      <c r="DB79" t="s">
        <v>1309</v>
      </c>
      <c r="DC79" t="s">
        <v>1309</v>
      </c>
      <c r="DE79" t="s">
        <v>1358</v>
      </c>
      <c r="DF79" t="s">
        <v>1319</v>
      </c>
      <c r="DG79">
        <v>100</v>
      </c>
      <c r="DH79">
        <v>2000</v>
      </c>
      <c r="DI79">
        <v>600</v>
      </c>
      <c r="DJ79" t="s">
        <v>1358</v>
      </c>
      <c r="DK79">
        <v>100</v>
      </c>
      <c r="DL79">
        <v>2000</v>
      </c>
      <c r="DM79">
        <v>600</v>
      </c>
      <c r="DN79" t="s">
        <v>1464</v>
      </c>
      <c r="DO79" t="s">
        <v>1310</v>
      </c>
      <c r="DP79" t="s">
        <v>1309</v>
      </c>
      <c r="DQ79" t="s">
        <v>1310</v>
      </c>
      <c r="DR79" t="s">
        <v>1309</v>
      </c>
      <c r="DS79" t="s">
        <v>1309</v>
      </c>
      <c r="DT79" t="s">
        <v>1310</v>
      </c>
      <c r="DU79" t="s">
        <v>1309</v>
      </c>
      <c r="DV79" t="s">
        <v>1309</v>
      </c>
      <c r="DW79" t="s">
        <v>1309</v>
      </c>
      <c r="DY79" t="s">
        <v>1490</v>
      </c>
      <c r="DZ79">
        <v>320</v>
      </c>
      <c r="EA79" t="s">
        <v>1386</v>
      </c>
      <c r="EC79" t="s">
        <v>1738</v>
      </c>
      <c r="EE79" t="s">
        <v>1386</v>
      </c>
      <c r="EG79" t="s">
        <v>5356</v>
      </c>
      <c r="EI79" t="s">
        <v>1307</v>
      </c>
      <c r="ET79" t="s">
        <v>1544</v>
      </c>
      <c r="EV79" t="s">
        <v>1307</v>
      </c>
      <c r="EX79" t="s">
        <v>1319</v>
      </c>
      <c r="EY79" t="s">
        <v>1319</v>
      </c>
      <c r="FA79" t="s">
        <v>1834</v>
      </c>
      <c r="FB79" t="s">
        <v>1309</v>
      </c>
      <c r="FC79" t="s">
        <v>1309</v>
      </c>
      <c r="FD79" t="s">
        <v>1309</v>
      </c>
      <c r="FE79" t="s">
        <v>1309</v>
      </c>
      <c r="FF79" t="s">
        <v>1309</v>
      </c>
      <c r="FG79" t="s">
        <v>1309</v>
      </c>
      <c r="FH79" t="s">
        <v>1310</v>
      </c>
      <c r="FI79" t="s">
        <v>1309</v>
      </c>
      <c r="FJ79" t="s">
        <v>1309</v>
      </c>
      <c r="FK79" t="s">
        <v>1310</v>
      </c>
      <c r="FL79" t="s">
        <v>1309</v>
      </c>
      <c r="FM79" t="s">
        <v>1309</v>
      </c>
      <c r="FN79" t="s">
        <v>1310</v>
      </c>
      <c r="FO79" t="s">
        <v>1309</v>
      </c>
      <c r="FP79" t="s">
        <v>1309</v>
      </c>
      <c r="FQ79" t="s">
        <v>1309</v>
      </c>
      <c r="FR79" t="s">
        <v>1309</v>
      </c>
      <c r="FT79" t="s">
        <v>1319</v>
      </c>
      <c r="FU79" t="s">
        <v>1635</v>
      </c>
      <c r="FV79" t="s">
        <v>1310</v>
      </c>
      <c r="FW79" t="s">
        <v>1309</v>
      </c>
      <c r="FX79" t="s">
        <v>1309</v>
      </c>
      <c r="FY79" t="s">
        <v>1309</v>
      </c>
      <c r="FZ79" t="s">
        <v>1309</v>
      </c>
      <c r="GA79" t="s">
        <v>1310</v>
      </c>
      <c r="GB79" t="s">
        <v>1309</v>
      </c>
      <c r="GC79" t="s">
        <v>1309</v>
      </c>
      <c r="GD79" t="s">
        <v>1309</v>
      </c>
      <c r="GE79" t="s">
        <v>1309</v>
      </c>
      <c r="GF79" t="s">
        <v>1309</v>
      </c>
      <c r="GG79" t="s">
        <v>1309</v>
      </c>
      <c r="GI79" t="s">
        <v>1324</v>
      </c>
      <c r="GJ79" t="s">
        <v>1324</v>
      </c>
      <c r="GT79" t="s">
        <v>1325</v>
      </c>
      <c r="GU79" t="s">
        <v>1310</v>
      </c>
      <c r="GV79" t="s">
        <v>1309</v>
      </c>
      <c r="GW79" t="s">
        <v>1309</v>
      </c>
      <c r="GX79" t="s">
        <v>1309</v>
      </c>
      <c r="GY79" t="s">
        <v>1309</v>
      </c>
      <c r="GZ79" t="s">
        <v>1309</v>
      </c>
      <c r="HA79" t="s">
        <v>1309</v>
      </c>
      <c r="HB79" t="s">
        <v>1309</v>
      </c>
      <c r="HC79" t="s">
        <v>1309</v>
      </c>
      <c r="HD79" t="s">
        <v>1309</v>
      </c>
      <c r="HE79" t="s">
        <v>1309</v>
      </c>
      <c r="HF79" t="s">
        <v>1309</v>
      </c>
      <c r="HH79" t="s">
        <v>1326</v>
      </c>
      <c r="HI79" t="s">
        <v>1326</v>
      </c>
      <c r="HJ79" t="s">
        <v>1326</v>
      </c>
      <c r="HK79" t="s">
        <v>1327</v>
      </c>
      <c r="HL79" t="s">
        <v>1364</v>
      </c>
      <c r="HM79" t="s">
        <v>1390</v>
      </c>
      <c r="IA79" t="s">
        <v>1414</v>
      </c>
      <c r="IQ79" t="s">
        <v>1330</v>
      </c>
      <c r="IS79" t="s">
        <v>1316</v>
      </c>
      <c r="JF79" t="s">
        <v>1331</v>
      </c>
      <c r="JG79" t="s">
        <v>1523</v>
      </c>
      <c r="JH79" t="s">
        <v>1309</v>
      </c>
      <c r="JI79" t="s">
        <v>1309</v>
      </c>
      <c r="JJ79" t="s">
        <v>1309</v>
      </c>
      <c r="JK79" t="s">
        <v>1310</v>
      </c>
      <c r="JL79" t="s">
        <v>1309</v>
      </c>
      <c r="JM79" t="s">
        <v>1309</v>
      </c>
      <c r="JN79" t="s">
        <v>1309</v>
      </c>
      <c r="JO79" t="s">
        <v>1309</v>
      </c>
      <c r="JQ79" s="92" t="s">
        <v>1333</v>
      </c>
      <c r="JR79" s="92" t="s">
        <v>1334</v>
      </c>
      <c r="JS79" s="92">
        <v>58</v>
      </c>
      <c r="JT79" s="92" t="s">
        <v>1319</v>
      </c>
      <c r="JU79" s="92" t="s">
        <v>1335</v>
      </c>
      <c r="JV79" s="92" t="s">
        <v>1336</v>
      </c>
      <c r="JW79" s="92" t="s">
        <v>1296</v>
      </c>
      <c r="JX79" s="92" t="s">
        <v>71</v>
      </c>
      <c r="JY79" s="92" t="s">
        <v>5549</v>
      </c>
      <c r="JZ79" s="92" t="s">
        <v>1337</v>
      </c>
      <c r="KA79" s="92" t="s">
        <v>4845</v>
      </c>
      <c r="KB79" s="92" t="s">
        <v>1338</v>
      </c>
      <c r="KC79" s="92" t="s">
        <v>109</v>
      </c>
      <c r="KD79" s="92" t="s">
        <v>4844</v>
      </c>
      <c r="KE79" s="92" t="s">
        <v>5560</v>
      </c>
      <c r="KF79" s="92">
        <v>2700</v>
      </c>
      <c r="KG79" s="92" t="s">
        <v>1400</v>
      </c>
      <c r="KH79" s="92" t="s">
        <v>192</v>
      </c>
      <c r="KI79" s="92" t="s">
        <v>192</v>
      </c>
      <c r="KJ79" s="92" t="s">
        <v>192</v>
      </c>
      <c r="KK79" s="92" t="s">
        <v>192</v>
      </c>
      <c r="KL79" s="92" t="s">
        <v>1425</v>
      </c>
      <c r="KM79" s="92">
        <v>2700</v>
      </c>
      <c r="KN79" s="92" t="s">
        <v>1400</v>
      </c>
      <c r="KO79" s="92" t="s">
        <v>1425</v>
      </c>
      <c r="KP79" s="92" t="s">
        <v>1342</v>
      </c>
      <c r="KQ79" s="92" t="s">
        <v>192</v>
      </c>
      <c r="KR79" s="92">
        <v>12</v>
      </c>
      <c r="KS79" s="92" t="s">
        <v>1343</v>
      </c>
      <c r="KT79" s="92" t="s">
        <v>1402</v>
      </c>
      <c r="KU79" s="92"/>
      <c r="KV79" s="92" t="s">
        <v>5554</v>
      </c>
      <c r="KW79" s="92" t="s">
        <v>1402</v>
      </c>
      <c r="KX79" s="92" t="s">
        <v>1346</v>
      </c>
      <c r="KY79" s="92" t="s">
        <v>1347</v>
      </c>
      <c r="KZ79" s="92" t="s">
        <v>5795</v>
      </c>
      <c r="LA79" s="92" t="s">
        <v>109</v>
      </c>
      <c r="LB79" s="92" t="s">
        <v>109</v>
      </c>
      <c r="LC79" s="92" t="s">
        <v>4439</v>
      </c>
      <c r="LD79" s="92" t="s">
        <v>4439</v>
      </c>
      <c r="LE79" s="92" t="s">
        <v>192</v>
      </c>
      <c r="LF79" s="92" t="s">
        <v>192</v>
      </c>
    </row>
    <row r="80" spans="1:318" x14ac:dyDescent="0.25">
      <c r="A80" t="s">
        <v>1835</v>
      </c>
      <c r="B80" t="s">
        <v>1836</v>
      </c>
      <c r="C80" t="s">
        <v>1304</v>
      </c>
      <c r="D80" t="s">
        <v>1305</v>
      </c>
      <c r="E80" t="s">
        <v>1381</v>
      </c>
      <c r="G80" t="s">
        <v>1319</v>
      </c>
      <c r="H80">
        <v>4</v>
      </c>
      <c r="I80" t="s">
        <v>1358</v>
      </c>
      <c r="J80" t="s">
        <v>1382</v>
      </c>
      <c r="K80" t="s">
        <v>1309</v>
      </c>
      <c r="L80" t="s">
        <v>1310</v>
      </c>
      <c r="M80" t="s">
        <v>1309</v>
      </c>
      <c r="N80" t="s">
        <v>1309</v>
      </c>
      <c r="O80" t="s">
        <v>1309</v>
      </c>
      <c r="P80" t="s">
        <v>1310</v>
      </c>
      <c r="Q80" t="s">
        <v>1309</v>
      </c>
      <c r="R80" t="s">
        <v>1309</v>
      </c>
      <c r="S80">
        <v>3</v>
      </c>
      <c r="U80" t="s">
        <v>1312</v>
      </c>
      <c r="V80" t="s">
        <v>1312</v>
      </c>
      <c r="W80" t="s">
        <v>1312</v>
      </c>
      <c r="X80" t="s">
        <v>1312</v>
      </c>
      <c r="Y80" t="s">
        <v>1312</v>
      </c>
      <c r="Z80" t="s">
        <v>1312</v>
      </c>
      <c r="AC80">
        <v>4</v>
      </c>
      <c r="AD80">
        <v>10000</v>
      </c>
      <c r="AF80" t="s">
        <v>1351</v>
      </c>
      <c r="AH80" t="s">
        <v>1383</v>
      </c>
      <c r="AJ80" t="s">
        <v>1353</v>
      </c>
      <c r="AL80" t="s">
        <v>1316</v>
      </c>
      <c r="BA80" t="s">
        <v>1354</v>
      </c>
      <c r="BS80" t="s">
        <v>1307</v>
      </c>
      <c r="CE80" t="s">
        <v>1837</v>
      </c>
      <c r="CF80" t="s">
        <v>1309</v>
      </c>
      <c r="CG80" t="s">
        <v>1309</v>
      </c>
      <c r="CH80" t="s">
        <v>1309</v>
      </c>
      <c r="CI80" t="s">
        <v>1310</v>
      </c>
      <c r="CJ80" t="s">
        <v>1309</v>
      </c>
      <c r="CK80" t="s">
        <v>1309</v>
      </c>
      <c r="CL80" t="s">
        <v>1310</v>
      </c>
      <c r="CM80" t="s">
        <v>1309</v>
      </c>
      <c r="CN80" t="s">
        <v>1310</v>
      </c>
      <c r="CO80" t="s">
        <v>1309</v>
      </c>
      <c r="CP80" t="s">
        <v>1309</v>
      </c>
      <c r="CQ80" t="s">
        <v>1309</v>
      </c>
      <c r="CR80" t="s">
        <v>1309</v>
      </c>
      <c r="CT80" t="s">
        <v>4436</v>
      </c>
      <c r="CV80" t="s">
        <v>1308</v>
      </c>
      <c r="CW80" t="s">
        <v>1310</v>
      </c>
      <c r="CX80" t="s">
        <v>1309</v>
      </c>
      <c r="CY80" t="s">
        <v>1309</v>
      </c>
      <c r="CZ80" t="s">
        <v>1309</v>
      </c>
      <c r="DA80" t="s">
        <v>1309</v>
      </c>
      <c r="DB80" t="s">
        <v>1309</v>
      </c>
      <c r="DC80" t="s">
        <v>1309</v>
      </c>
      <c r="DE80" t="s">
        <v>1358</v>
      </c>
      <c r="DF80" t="s">
        <v>1319</v>
      </c>
      <c r="DG80">
        <v>150</v>
      </c>
      <c r="DH80">
        <v>4500</v>
      </c>
      <c r="DI80">
        <v>200</v>
      </c>
      <c r="DJ80" t="s">
        <v>1358</v>
      </c>
      <c r="DK80">
        <v>200</v>
      </c>
      <c r="DM80">
        <v>200</v>
      </c>
      <c r="DN80" t="s">
        <v>1676</v>
      </c>
      <c r="DO80" t="s">
        <v>1309</v>
      </c>
      <c r="DP80" t="s">
        <v>1309</v>
      </c>
      <c r="DQ80" t="s">
        <v>1309</v>
      </c>
      <c r="DR80" t="s">
        <v>1309</v>
      </c>
      <c r="DS80" t="s">
        <v>1310</v>
      </c>
      <c r="DT80" t="s">
        <v>1310</v>
      </c>
      <c r="DU80" t="s">
        <v>1309</v>
      </c>
      <c r="DV80" t="s">
        <v>1309</v>
      </c>
      <c r="DW80" t="s">
        <v>1309</v>
      </c>
      <c r="DY80" t="s">
        <v>1446</v>
      </c>
      <c r="DZ80">
        <v>800</v>
      </c>
      <c r="EA80" t="s">
        <v>1319</v>
      </c>
      <c r="EC80" t="s">
        <v>1624</v>
      </c>
      <c r="ED80">
        <v>800</v>
      </c>
      <c r="EE80" t="s">
        <v>1319</v>
      </c>
      <c r="EG80" t="s">
        <v>5356</v>
      </c>
      <c r="EI80" t="s">
        <v>1307</v>
      </c>
      <c r="ET80" t="s">
        <v>1307</v>
      </c>
      <c r="EV80" t="s">
        <v>1307</v>
      </c>
      <c r="EX80" t="s">
        <v>1319</v>
      </c>
      <c r="EY80" t="s">
        <v>1307</v>
      </c>
      <c r="EZ80" t="s">
        <v>1319</v>
      </c>
      <c r="FA80" t="s">
        <v>1838</v>
      </c>
      <c r="FB80" t="s">
        <v>1309</v>
      </c>
      <c r="FC80" t="s">
        <v>1309</v>
      </c>
      <c r="FD80" t="s">
        <v>1310</v>
      </c>
      <c r="FE80" t="s">
        <v>1309</v>
      </c>
      <c r="FF80" t="s">
        <v>1309</v>
      </c>
      <c r="FG80" t="s">
        <v>1309</v>
      </c>
      <c r="FH80" t="s">
        <v>1310</v>
      </c>
      <c r="FI80" t="s">
        <v>1310</v>
      </c>
      <c r="FJ80" t="s">
        <v>1309</v>
      </c>
      <c r="FK80" t="s">
        <v>1309</v>
      </c>
      <c r="FL80" t="s">
        <v>1309</v>
      </c>
      <c r="FM80" t="s">
        <v>1309</v>
      </c>
      <c r="FN80" t="s">
        <v>1309</v>
      </c>
      <c r="FO80" t="s">
        <v>1309</v>
      </c>
      <c r="FP80" t="s">
        <v>1309</v>
      </c>
      <c r="FQ80" t="s">
        <v>1309</v>
      </c>
      <c r="FR80" t="s">
        <v>1309</v>
      </c>
      <c r="FT80" t="s">
        <v>1307</v>
      </c>
      <c r="GI80" t="s">
        <v>1324</v>
      </c>
      <c r="GJ80" t="s">
        <v>1324</v>
      </c>
      <c r="GT80" t="s">
        <v>1325</v>
      </c>
      <c r="GU80" t="s">
        <v>1310</v>
      </c>
      <c r="GV80" t="s">
        <v>1309</v>
      </c>
      <c r="GW80" t="s">
        <v>1309</v>
      </c>
      <c r="GX80" t="s">
        <v>1309</v>
      </c>
      <c r="GY80" t="s">
        <v>1309</v>
      </c>
      <c r="GZ80" t="s">
        <v>1309</v>
      </c>
      <c r="HA80" t="s">
        <v>1309</v>
      </c>
      <c r="HB80" t="s">
        <v>1309</v>
      </c>
      <c r="HC80" t="s">
        <v>1309</v>
      </c>
      <c r="HD80" t="s">
        <v>1309</v>
      </c>
      <c r="HE80" t="s">
        <v>1309</v>
      </c>
      <c r="HF80" t="s">
        <v>1309</v>
      </c>
      <c r="HH80" t="s">
        <v>1326</v>
      </c>
      <c r="HI80" t="s">
        <v>1327</v>
      </c>
      <c r="HJ80" t="s">
        <v>1390</v>
      </c>
      <c r="HK80" t="s">
        <v>1327</v>
      </c>
      <c r="HL80" t="s">
        <v>1364</v>
      </c>
      <c r="HM80" t="s">
        <v>1390</v>
      </c>
      <c r="IA80" t="s">
        <v>1307</v>
      </c>
      <c r="IQ80" t="s">
        <v>1330</v>
      </c>
      <c r="IS80" t="s">
        <v>1316</v>
      </c>
      <c r="JF80" t="s">
        <v>1316</v>
      </c>
      <c r="JG80" t="s">
        <v>1523</v>
      </c>
      <c r="JH80" t="s">
        <v>1309</v>
      </c>
      <c r="JI80" t="s">
        <v>1309</v>
      </c>
      <c r="JJ80" t="s">
        <v>1309</v>
      </c>
      <c r="JK80" t="s">
        <v>1310</v>
      </c>
      <c r="JL80" t="s">
        <v>1309</v>
      </c>
      <c r="JM80" t="s">
        <v>1309</v>
      </c>
      <c r="JN80" t="s">
        <v>1309</v>
      </c>
      <c r="JO80" t="s">
        <v>1309</v>
      </c>
      <c r="JQ80" s="92" t="s">
        <v>1516</v>
      </c>
      <c r="JR80" s="92" t="s">
        <v>1839</v>
      </c>
      <c r="JS80" s="92">
        <v>32</v>
      </c>
      <c r="JT80" s="92" t="s">
        <v>1319</v>
      </c>
      <c r="JU80" s="92" t="s">
        <v>1575</v>
      </c>
      <c r="JV80" s="92" t="s">
        <v>1336</v>
      </c>
      <c r="JW80" s="92" t="s">
        <v>1296</v>
      </c>
      <c r="JX80" s="92" t="s">
        <v>70</v>
      </c>
      <c r="JY80" s="92" t="s">
        <v>1397</v>
      </c>
      <c r="JZ80" s="92" t="s">
        <v>1398</v>
      </c>
      <c r="KA80" s="92" t="s">
        <v>4845</v>
      </c>
      <c r="KB80" s="92" t="s">
        <v>1399</v>
      </c>
      <c r="KC80" s="92" t="s">
        <v>109</v>
      </c>
      <c r="KD80" s="92" t="s">
        <v>4848</v>
      </c>
      <c r="KE80" s="92" t="s">
        <v>1424</v>
      </c>
      <c r="KF80" s="92">
        <v>4850</v>
      </c>
      <c r="KG80" s="92" t="s">
        <v>4439</v>
      </c>
      <c r="KH80" s="92" t="s">
        <v>192</v>
      </c>
      <c r="KI80" s="92" t="s">
        <v>192</v>
      </c>
      <c r="KJ80" s="92" t="s">
        <v>192</v>
      </c>
      <c r="KK80" s="92" t="s">
        <v>109</v>
      </c>
      <c r="KL80" s="92" t="s">
        <v>1341</v>
      </c>
      <c r="KM80" s="92">
        <v>400</v>
      </c>
      <c r="KN80" s="92" t="s">
        <v>1372</v>
      </c>
      <c r="KO80" s="92" t="s">
        <v>1373</v>
      </c>
      <c r="KP80" s="92" t="s">
        <v>1401</v>
      </c>
      <c r="KQ80" s="92" t="s">
        <v>192</v>
      </c>
      <c r="KR80" s="92"/>
      <c r="KS80" s="92" t="s">
        <v>1466</v>
      </c>
      <c r="KT80" s="92" t="s">
        <v>1344</v>
      </c>
      <c r="KU80" s="92"/>
      <c r="KV80" s="92" t="s">
        <v>1441</v>
      </c>
      <c r="KW80" s="92" t="s">
        <v>1344</v>
      </c>
      <c r="KX80" s="92" t="s">
        <v>1376</v>
      </c>
      <c r="KY80" s="92" t="s">
        <v>1377</v>
      </c>
      <c r="KZ80" s="92" t="s">
        <v>1403</v>
      </c>
      <c r="LA80" s="92" t="s">
        <v>109</v>
      </c>
      <c r="LB80" s="92" t="s">
        <v>109</v>
      </c>
      <c r="LC80" s="92" t="s">
        <v>5566</v>
      </c>
      <c r="LD80" s="92" t="s">
        <v>5566</v>
      </c>
      <c r="LE80" s="92"/>
      <c r="LF80" s="92"/>
    </row>
    <row r="81" spans="1:318" x14ac:dyDescent="0.25">
      <c r="A81" t="s">
        <v>1840</v>
      </c>
      <c r="B81" t="s">
        <v>1841</v>
      </c>
      <c r="C81" t="s">
        <v>1304</v>
      </c>
      <c r="D81" t="s">
        <v>1305</v>
      </c>
      <c r="E81" t="s">
        <v>1381</v>
      </c>
      <c r="G81" t="s">
        <v>1319</v>
      </c>
      <c r="H81">
        <v>3</v>
      </c>
      <c r="I81" t="s">
        <v>1358</v>
      </c>
      <c r="J81" t="s">
        <v>1715</v>
      </c>
      <c r="K81" t="s">
        <v>1309</v>
      </c>
      <c r="L81" t="s">
        <v>1310</v>
      </c>
      <c r="M81" t="s">
        <v>1309</v>
      </c>
      <c r="N81" t="s">
        <v>1309</v>
      </c>
      <c r="O81" t="s">
        <v>1310</v>
      </c>
      <c r="P81" t="s">
        <v>1309</v>
      </c>
      <c r="Q81" t="s">
        <v>1309</v>
      </c>
      <c r="R81" t="s">
        <v>1309</v>
      </c>
      <c r="S81">
        <v>1</v>
      </c>
      <c r="U81" t="s">
        <v>1312</v>
      </c>
      <c r="V81" t="s">
        <v>1312</v>
      </c>
      <c r="W81" t="s">
        <v>1312</v>
      </c>
      <c r="X81" t="s">
        <v>1312</v>
      </c>
      <c r="Y81" t="s">
        <v>1312</v>
      </c>
      <c r="Z81" t="s">
        <v>1312</v>
      </c>
      <c r="AC81">
        <v>3</v>
      </c>
      <c r="AD81">
        <v>6500</v>
      </c>
      <c r="AE81">
        <v>10000</v>
      </c>
      <c r="AF81" t="s">
        <v>1313</v>
      </c>
      <c r="AH81" t="s">
        <v>1383</v>
      </c>
      <c r="AJ81" t="s">
        <v>1315</v>
      </c>
      <c r="AL81" t="s">
        <v>1354</v>
      </c>
      <c r="BS81" t="s">
        <v>1307</v>
      </c>
      <c r="CE81" t="s">
        <v>1414</v>
      </c>
      <c r="CF81" t="s">
        <v>1309</v>
      </c>
      <c r="CG81" t="s">
        <v>1309</v>
      </c>
      <c r="CH81" t="s">
        <v>1309</v>
      </c>
      <c r="CI81" t="s">
        <v>1309</v>
      </c>
      <c r="CJ81" t="s">
        <v>1309</v>
      </c>
      <c r="CK81" t="s">
        <v>1309</v>
      </c>
      <c r="CL81" t="s">
        <v>1309</v>
      </c>
      <c r="CM81" t="s">
        <v>1309</v>
      </c>
      <c r="CN81" t="s">
        <v>1309</v>
      </c>
      <c r="CO81" t="s">
        <v>1309</v>
      </c>
      <c r="CP81" t="s">
        <v>1309</v>
      </c>
      <c r="CQ81" t="s">
        <v>1310</v>
      </c>
      <c r="CR81" t="s">
        <v>1309</v>
      </c>
      <c r="CT81" t="s">
        <v>4435</v>
      </c>
      <c r="CV81" t="s">
        <v>1308</v>
      </c>
      <c r="CW81" t="s">
        <v>1310</v>
      </c>
      <c r="CX81" t="s">
        <v>1309</v>
      </c>
      <c r="CY81" t="s">
        <v>1309</v>
      </c>
      <c r="CZ81" t="s">
        <v>1309</v>
      </c>
      <c r="DA81" t="s">
        <v>1309</v>
      </c>
      <c r="DB81" t="s">
        <v>1309</v>
      </c>
      <c r="DC81" t="s">
        <v>1309</v>
      </c>
      <c r="DE81" t="s">
        <v>1318</v>
      </c>
      <c r="DF81" t="s">
        <v>1319</v>
      </c>
      <c r="DG81">
        <v>150</v>
      </c>
      <c r="DH81">
        <v>1200</v>
      </c>
      <c r="DI81">
        <v>800</v>
      </c>
      <c r="DJ81" t="s">
        <v>1307</v>
      </c>
      <c r="DN81" t="s">
        <v>1842</v>
      </c>
      <c r="DO81" t="s">
        <v>1309</v>
      </c>
      <c r="DP81" t="s">
        <v>1310</v>
      </c>
      <c r="DQ81" t="s">
        <v>1309</v>
      </c>
      <c r="DR81" t="s">
        <v>1309</v>
      </c>
      <c r="DS81" t="s">
        <v>1310</v>
      </c>
      <c r="DT81" t="s">
        <v>1310</v>
      </c>
      <c r="DU81" t="s">
        <v>1309</v>
      </c>
      <c r="DV81" t="s">
        <v>1309</v>
      </c>
      <c r="DW81" t="s">
        <v>1309</v>
      </c>
      <c r="DY81" t="s">
        <v>1481</v>
      </c>
      <c r="DZ81">
        <v>800</v>
      </c>
      <c r="EA81" t="s">
        <v>1319</v>
      </c>
      <c r="EC81" t="s">
        <v>1360</v>
      </c>
      <c r="ED81">
        <v>800</v>
      </c>
      <c r="EE81" t="s">
        <v>1319</v>
      </c>
      <c r="EG81" t="s">
        <v>5356</v>
      </c>
      <c r="EI81" t="s">
        <v>1307</v>
      </c>
      <c r="ET81" t="s">
        <v>1307</v>
      </c>
      <c r="EV81" t="s">
        <v>1319</v>
      </c>
      <c r="EW81" t="s">
        <v>1414</v>
      </c>
      <c r="EX81" t="s">
        <v>1307</v>
      </c>
      <c r="EY81" t="s">
        <v>1307</v>
      </c>
      <c r="FT81" t="s">
        <v>1307</v>
      </c>
      <c r="GI81" t="s">
        <v>1324</v>
      </c>
      <c r="GJ81" t="s">
        <v>1324</v>
      </c>
      <c r="GT81" t="s">
        <v>1325</v>
      </c>
      <c r="GU81" t="s">
        <v>1310</v>
      </c>
      <c r="GV81" t="s">
        <v>1309</v>
      </c>
      <c r="GW81" t="s">
        <v>1309</v>
      </c>
      <c r="GX81" t="s">
        <v>1309</v>
      </c>
      <c r="GY81" t="s">
        <v>1309</v>
      </c>
      <c r="GZ81" t="s">
        <v>1309</v>
      </c>
      <c r="HA81" t="s">
        <v>1309</v>
      </c>
      <c r="HB81" t="s">
        <v>1309</v>
      </c>
      <c r="HC81" t="s">
        <v>1309</v>
      </c>
      <c r="HD81" t="s">
        <v>1309</v>
      </c>
      <c r="HE81" t="s">
        <v>1309</v>
      </c>
      <c r="HF81" t="s">
        <v>1309</v>
      </c>
      <c r="HH81" t="s">
        <v>1363</v>
      </c>
      <c r="HI81" t="s">
        <v>1363</v>
      </c>
      <c r="HJ81" t="s">
        <v>1363</v>
      </c>
      <c r="HK81" t="s">
        <v>1327</v>
      </c>
      <c r="HL81" t="s">
        <v>1364</v>
      </c>
      <c r="HM81" t="s">
        <v>1363</v>
      </c>
      <c r="IA81" t="s">
        <v>1307</v>
      </c>
      <c r="IQ81" t="s">
        <v>1308</v>
      </c>
      <c r="IS81" t="s">
        <v>1316</v>
      </c>
      <c r="JF81" t="s">
        <v>1316</v>
      </c>
      <c r="JG81" t="s">
        <v>1414</v>
      </c>
      <c r="JH81" t="s">
        <v>1309</v>
      </c>
      <c r="JI81" t="s">
        <v>1309</v>
      </c>
      <c r="JJ81" t="s">
        <v>1309</v>
      </c>
      <c r="JK81" t="s">
        <v>1309</v>
      </c>
      <c r="JL81" t="s">
        <v>1309</v>
      </c>
      <c r="JM81" t="s">
        <v>1309</v>
      </c>
      <c r="JN81" t="s">
        <v>1310</v>
      </c>
      <c r="JO81" t="s">
        <v>1309</v>
      </c>
      <c r="JQ81" s="92" t="s">
        <v>1333</v>
      </c>
      <c r="JR81" s="92" t="s">
        <v>1334</v>
      </c>
      <c r="JS81" s="92">
        <v>33</v>
      </c>
      <c r="JT81" s="92" t="s">
        <v>1319</v>
      </c>
      <c r="JU81" s="92" t="s">
        <v>1396</v>
      </c>
      <c r="JV81" s="92" t="s">
        <v>1336</v>
      </c>
      <c r="JW81" s="92" t="s">
        <v>1296</v>
      </c>
      <c r="JX81" s="92" t="s">
        <v>71</v>
      </c>
      <c r="JY81" s="92" t="s">
        <v>1397</v>
      </c>
      <c r="JZ81" s="92" t="s">
        <v>1398</v>
      </c>
      <c r="KA81" s="92" t="s">
        <v>4845</v>
      </c>
      <c r="KB81" s="92" t="s">
        <v>1415</v>
      </c>
      <c r="KC81" s="92" t="s">
        <v>109</v>
      </c>
      <c r="KD81" s="92" t="s">
        <v>4848</v>
      </c>
      <c r="KE81" s="92" t="s">
        <v>1424</v>
      </c>
      <c r="KF81" s="92">
        <v>2150</v>
      </c>
      <c r="KG81" s="92" t="s">
        <v>4439</v>
      </c>
      <c r="KH81" s="92" t="s">
        <v>192</v>
      </c>
      <c r="KI81" s="92" t="s">
        <v>192</v>
      </c>
      <c r="KJ81" s="92" t="s">
        <v>109</v>
      </c>
      <c r="KK81" s="92" t="s">
        <v>109</v>
      </c>
      <c r="KL81" s="92" t="s">
        <v>1425</v>
      </c>
      <c r="KM81" s="92">
        <v>0</v>
      </c>
      <c r="KN81" s="92" t="s">
        <v>1372</v>
      </c>
      <c r="KO81" s="92" t="s">
        <v>1373</v>
      </c>
      <c r="KP81" s="92" t="s">
        <v>1342</v>
      </c>
      <c r="KQ81" s="92" t="s">
        <v>192</v>
      </c>
      <c r="KR81" s="92">
        <v>37</v>
      </c>
      <c r="KS81" s="92" t="s">
        <v>1466</v>
      </c>
      <c r="KT81" s="92" t="s">
        <v>1344</v>
      </c>
      <c r="KU81" s="92"/>
      <c r="KV81" s="92" t="s">
        <v>1441</v>
      </c>
      <c r="KW81" s="92" t="s">
        <v>1344</v>
      </c>
      <c r="KX81" s="92" t="s">
        <v>1376</v>
      </c>
      <c r="KY81" s="92" t="s">
        <v>1377</v>
      </c>
      <c r="KZ81" s="92" t="s">
        <v>1403</v>
      </c>
      <c r="LA81" s="92" t="s">
        <v>109</v>
      </c>
      <c r="LB81" s="92" t="s">
        <v>109</v>
      </c>
      <c r="LC81" s="92" t="s">
        <v>4438</v>
      </c>
      <c r="LD81" s="92" t="s">
        <v>1372</v>
      </c>
      <c r="LE81" s="92" t="s">
        <v>192</v>
      </c>
      <c r="LF81" s="92" t="s">
        <v>192</v>
      </c>
    </row>
    <row r="82" spans="1:318" x14ac:dyDescent="0.25">
      <c r="A82" t="s">
        <v>1843</v>
      </c>
      <c r="B82" t="s">
        <v>1844</v>
      </c>
      <c r="C82" t="s">
        <v>1304</v>
      </c>
      <c r="D82" t="s">
        <v>1305</v>
      </c>
      <c r="E82" t="s">
        <v>1306</v>
      </c>
      <c r="G82" t="s">
        <v>1307</v>
      </c>
      <c r="H82">
        <v>5</v>
      </c>
      <c r="I82" t="s">
        <v>1307</v>
      </c>
      <c r="J82" t="s">
        <v>1406</v>
      </c>
      <c r="K82" t="s">
        <v>1309</v>
      </c>
      <c r="L82" t="s">
        <v>1310</v>
      </c>
      <c r="M82" t="s">
        <v>1309</v>
      </c>
      <c r="N82" t="s">
        <v>1309</v>
      </c>
      <c r="O82" t="s">
        <v>1309</v>
      </c>
      <c r="P82" t="s">
        <v>1309</v>
      </c>
      <c r="Q82" t="s">
        <v>1309</v>
      </c>
      <c r="R82" t="s">
        <v>1309</v>
      </c>
      <c r="S82">
        <v>3</v>
      </c>
      <c r="U82" t="s">
        <v>1312</v>
      </c>
      <c r="V82" t="s">
        <v>1312</v>
      </c>
      <c r="W82" t="s">
        <v>1312</v>
      </c>
      <c r="X82" t="s">
        <v>1312</v>
      </c>
      <c r="Y82" t="s">
        <v>1312</v>
      </c>
      <c r="Z82" t="s">
        <v>1312</v>
      </c>
      <c r="AC82">
        <v>1</v>
      </c>
      <c r="AF82" t="s">
        <v>1351</v>
      </c>
      <c r="AH82" t="s">
        <v>1383</v>
      </c>
      <c r="AJ82" t="s">
        <v>1315</v>
      </c>
      <c r="AL82" t="s">
        <v>1354</v>
      </c>
      <c r="BS82" t="s">
        <v>1307</v>
      </c>
      <c r="CE82" t="s">
        <v>1355</v>
      </c>
      <c r="CF82" t="s">
        <v>1309</v>
      </c>
      <c r="CG82" t="s">
        <v>1309</v>
      </c>
      <c r="CH82" t="s">
        <v>1309</v>
      </c>
      <c r="CI82" t="s">
        <v>1309</v>
      </c>
      <c r="CJ82" t="s">
        <v>1309</v>
      </c>
      <c r="CK82" t="s">
        <v>1309</v>
      </c>
      <c r="CL82" t="s">
        <v>1309</v>
      </c>
      <c r="CM82" t="s">
        <v>1309</v>
      </c>
      <c r="CN82" t="s">
        <v>1310</v>
      </c>
      <c r="CO82" t="s">
        <v>1309</v>
      </c>
      <c r="CP82" t="s">
        <v>1309</v>
      </c>
      <c r="CQ82" t="s">
        <v>1309</v>
      </c>
      <c r="CR82" t="s">
        <v>1309</v>
      </c>
      <c r="CT82" t="s">
        <v>4434</v>
      </c>
      <c r="CV82" t="s">
        <v>1308</v>
      </c>
      <c r="CW82" t="s">
        <v>1310</v>
      </c>
      <c r="CX82" t="s">
        <v>1309</v>
      </c>
      <c r="CY82" t="s">
        <v>1309</v>
      </c>
      <c r="CZ82" t="s">
        <v>1309</v>
      </c>
      <c r="DA82" t="s">
        <v>1309</v>
      </c>
      <c r="DB82" t="s">
        <v>1309</v>
      </c>
      <c r="DC82" t="s">
        <v>1309</v>
      </c>
      <c r="DE82" t="s">
        <v>1318</v>
      </c>
      <c r="DG82">
        <v>2500</v>
      </c>
      <c r="DI82">
        <v>500</v>
      </c>
      <c r="DJ82" t="s">
        <v>1318</v>
      </c>
      <c r="DK82">
        <v>3500</v>
      </c>
      <c r="DM82">
        <v>800</v>
      </c>
      <c r="DN82" t="s">
        <v>1320</v>
      </c>
      <c r="DO82" t="s">
        <v>1310</v>
      </c>
      <c r="DP82" t="s">
        <v>1309</v>
      </c>
      <c r="DQ82" t="s">
        <v>1309</v>
      </c>
      <c r="DR82" t="s">
        <v>1309</v>
      </c>
      <c r="DS82" t="s">
        <v>1309</v>
      </c>
      <c r="DT82" t="s">
        <v>1310</v>
      </c>
      <c r="DU82" t="s">
        <v>1309</v>
      </c>
      <c r="DV82" t="s">
        <v>1309</v>
      </c>
      <c r="DW82" t="s">
        <v>1309</v>
      </c>
      <c r="DY82" t="s">
        <v>1696</v>
      </c>
      <c r="DZ82">
        <v>300</v>
      </c>
      <c r="EA82" t="s">
        <v>1319</v>
      </c>
      <c r="EC82" t="s">
        <v>1420</v>
      </c>
      <c r="ED82">
        <v>800</v>
      </c>
      <c r="EE82" t="s">
        <v>1319</v>
      </c>
      <c r="EG82" t="s">
        <v>5357</v>
      </c>
      <c r="ET82" t="s">
        <v>1434</v>
      </c>
      <c r="EV82" t="s">
        <v>1319</v>
      </c>
      <c r="EW82" t="s">
        <v>1409</v>
      </c>
      <c r="EX82" t="s">
        <v>1319</v>
      </c>
      <c r="EY82" t="s">
        <v>1319</v>
      </c>
      <c r="FA82" t="s">
        <v>1731</v>
      </c>
      <c r="FB82" t="s">
        <v>1310</v>
      </c>
      <c r="FC82" t="s">
        <v>1310</v>
      </c>
      <c r="FD82" t="s">
        <v>1309</v>
      </c>
      <c r="FE82" t="s">
        <v>1309</v>
      </c>
      <c r="FF82" t="s">
        <v>1309</v>
      </c>
      <c r="FG82" t="s">
        <v>1309</v>
      </c>
      <c r="FH82" t="s">
        <v>1309</v>
      </c>
      <c r="FI82" t="s">
        <v>1309</v>
      </c>
      <c r="FJ82" t="s">
        <v>1309</v>
      </c>
      <c r="FK82" t="s">
        <v>1309</v>
      </c>
      <c r="FL82" t="s">
        <v>1309</v>
      </c>
      <c r="FM82" t="s">
        <v>1309</v>
      </c>
      <c r="FN82" t="s">
        <v>1309</v>
      </c>
      <c r="FO82" t="s">
        <v>1309</v>
      </c>
      <c r="FP82" t="s">
        <v>1309</v>
      </c>
      <c r="FQ82" t="s">
        <v>1309</v>
      </c>
      <c r="FR82" t="s">
        <v>1309</v>
      </c>
      <c r="FT82" t="s">
        <v>1307</v>
      </c>
      <c r="GI82" t="s">
        <v>1324</v>
      </c>
      <c r="GJ82" t="s">
        <v>1324</v>
      </c>
      <c r="GT82" t="s">
        <v>1325</v>
      </c>
      <c r="GU82" t="s">
        <v>1310</v>
      </c>
      <c r="GV82" t="s">
        <v>1309</v>
      </c>
      <c r="GW82" t="s">
        <v>1309</v>
      </c>
      <c r="GX82" t="s">
        <v>1309</v>
      </c>
      <c r="GY82" t="s">
        <v>1309</v>
      </c>
      <c r="GZ82" t="s">
        <v>1309</v>
      </c>
      <c r="HA82" t="s">
        <v>1309</v>
      </c>
      <c r="HB82" t="s">
        <v>1309</v>
      </c>
      <c r="HC82" t="s">
        <v>1309</v>
      </c>
      <c r="HD82" t="s">
        <v>1309</v>
      </c>
      <c r="HE82" t="s">
        <v>1309</v>
      </c>
      <c r="HF82" t="s">
        <v>1309</v>
      </c>
      <c r="HH82" t="s">
        <v>1390</v>
      </c>
      <c r="HI82" t="s">
        <v>1326</v>
      </c>
      <c r="HJ82" t="s">
        <v>1326</v>
      </c>
      <c r="HK82" t="s">
        <v>1327</v>
      </c>
      <c r="HL82" t="s">
        <v>1328</v>
      </c>
      <c r="HM82" t="s">
        <v>1326</v>
      </c>
      <c r="HN82" t="s">
        <v>1329</v>
      </c>
      <c r="HO82" t="s">
        <v>1309</v>
      </c>
      <c r="HP82" t="s">
        <v>1309</v>
      </c>
      <c r="HQ82" t="s">
        <v>1309</v>
      </c>
      <c r="HR82" t="s">
        <v>1310</v>
      </c>
      <c r="HS82" t="s">
        <v>1309</v>
      </c>
      <c r="HT82" t="s">
        <v>1309</v>
      </c>
      <c r="HU82" t="s">
        <v>1309</v>
      </c>
      <c r="HV82" t="s">
        <v>1309</v>
      </c>
      <c r="HW82" t="s">
        <v>1309</v>
      </c>
      <c r="HX82" t="s">
        <v>1309</v>
      </c>
      <c r="HY82" t="s">
        <v>1309</v>
      </c>
      <c r="IA82" t="s">
        <v>1307</v>
      </c>
      <c r="IQ82" t="s">
        <v>1330</v>
      </c>
      <c r="IS82" t="s">
        <v>1331</v>
      </c>
      <c r="JF82" t="s">
        <v>1331</v>
      </c>
      <c r="JG82" t="s">
        <v>1414</v>
      </c>
      <c r="JH82" t="s">
        <v>1309</v>
      </c>
      <c r="JI82" t="s">
        <v>1309</v>
      </c>
      <c r="JJ82" t="s">
        <v>1309</v>
      </c>
      <c r="JK82" t="s">
        <v>1309</v>
      </c>
      <c r="JL82" t="s">
        <v>1309</v>
      </c>
      <c r="JM82" t="s">
        <v>1309</v>
      </c>
      <c r="JN82" t="s">
        <v>1310</v>
      </c>
      <c r="JO82" t="s">
        <v>1309</v>
      </c>
      <c r="JQ82" s="92" t="s">
        <v>1516</v>
      </c>
      <c r="JR82" s="92" t="s">
        <v>1845</v>
      </c>
      <c r="JS82" s="92">
        <v>31</v>
      </c>
      <c r="JT82" s="92" t="s">
        <v>1319</v>
      </c>
      <c r="JU82" s="92" t="s">
        <v>1335</v>
      </c>
      <c r="JV82" s="92" t="s">
        <v>1336</v>
      </c>
      <c r="JW82" s="92" t="s">
        <v>1296</v>
      </c>
      <c r="JX82" s="92" t="s">
        <v>70</v>
      </c>
      <c r="JY82" s="92" t="s">
        <v>5549</v>
      </c>
      <c r="JZ82" s="92" t="s">
        <v>1398</v>
      </c>
      <c r="KA82" s="92" t="s">
        <v>4846</v>
      </c>
      <c r="KB82" s="92" t="s">
        <v>1415</v>
      </c>
      <c r="KC82" s="92" t="s">
        <v>109</v>
      </c>
      <c r="KD82" s="92" t="s">
        <v>4844</v>
      </c>
      <c r="KE82" s="92" t="s">
        <v>1340</v>
      </c>
      <c r="KF82" s="92">
        <v>3000</v>
      </c>
      <c r="KG82" s="92" t="s">
        <v>1340</v>
      </c>
      <c r="KH82" s="92" t="s">
        <v>192</v>
      </c>
      <c r="KI82" s="92" t="s">
        <v>109</v>
      </c>
      <c r="KJ82" s="92" t="s">
        <v>192</v>
      </c>
      <c r="KK82" s="92" t="s">
        <v>109</v>
      </c>
      <c r="KL82" s="92" t="s">
        <v>1425</v>
      </c>
      <c r="KM82" s="92">
        <v>4300</v>
      </c>
      <c r="KN82" s="92" t="s">
        <v>1340</v>
      </c>
      <c r="KO82" s="92" t="s">
        <v>1341</v>
      </c>
      <c r="KP82" s="92" t="s">
        <v>1460</v>
      </c>
      <c r="KQ82" s="92" t="s">
        <v>192</v>
      </c>
      <c r="KR82" s="92">
        <v>10</v>
      </c>
      <c r="KS82" s="92" t="s">
        <v>1343</v>
      </c>
      <c r="KT82" s="92" t="s">
        <v>1344</v>
      </c>
      <c r="KU82" s="92">
        <v>19</v>
      </c>
      <c r="KV82" s="92" t="s">
        <v>1441</v>
      </c>
      <c r="KW82" s="92" t="s">
        <v>1344</v>
      </c>
      <c r="KX82" s="92" t="s">
        <v>1346</v>
      </c>
      <c r="KY82" s="92" t="s">
        <v>1377</v>
      </c>
      <c r="KZ82" s="92" t="s">
        <v>5795</v>
      </c>
      <c r="LA82" s="92" t="s">
        <v>109</v>
      </c>
      <c r="LB82" s="92" t="s">
        <v>109</v>
      </c>
      <c r="LC82" s="92" t="s">
        <v>5566</v>
      </c>
      <c r="LD82" s="92" t="s">
        <v>5566</v>
      </c>
      <c r="LE82" s="92"/>
      <c r="LF82" s="92"/>
    </row>
    <row r="83" spans="1:318" x14ac:dyDescent="0.25">
      <c r="A83" t="s">
        <v>1846</v>
      </c>
      <c r="B83" t="s">
        <v>1847</v>
      </c>
      <c r="C83" t="s">
        <v>1304</v>
      </c>
      <c r="D83" t="s">
        <v>1305</v>
      </c>
      <c r="E83" t="s">
        <v>1306</v>
      </c>
      <c r="G83" t="s">
        <v>1307</v>
      </c>
      <c r="H83">
        <v>2</v>
      </c>
      <c r="I83" t="s">
        <v>1307</v>
      </c>
      <c r="J83" t="s">
        <v>1308</v>
      </c>
      <c r="K83" t="s">
        <v>1309</v>
      </c>
      <c r="L83" t="s">
        <v>1309</v>
      </c>
      <c r="M83" t="s">
        <v>1309</v>
      </c>
      <c r="N83" t="s">
        <v>1309</v>
      </c>
      <c r="O83" t="s">
        <v>1309</v>
      </c>
      <c r="P83" t="s">
        <v>1309</v>
      </c>
      <c r="Q83" t="s">
        <v>1310</v>
      </c>
      <c r="R83" t="s">
        <v>1309</v>
      </c>
      <c r="U83" t="s">
        <v>1312</v>
      </c>
      <c r="V83" t="s">
        <v>1312</v>
      </c>
      <c r="W83" t="s">
        <v>1312</v>
      </c>
      <c r="X83" t="s">
        <v>1312</v>
      </c>
      <c r="Y83" t="s">
        <v>1312</v>
      </c>
      <c r="Z83" t="s">
        <v>1312</v>
      </c>
      <c r="AC83">
        <v>2</v>
      </c>
      <c r="AD83">
        <v>9000</v>
      </c>
      <c r="AE83">
        <v>8000</v>
      </c>
      <c r="AF83" t="s">
        <v>1351</v>
      </c>
      <c r="AH83" t="s">
        <v>1314</v>
      </c>
      <c r="AJ83" t="s">
        <v>1353</v>
      </c>
      <c r="AL83" t="s">
        <v>1316</v>
      </c>
      <c r="BA83" t="s">
        <v>1354</v>
      </c>
      <c r="BS83" t="s">
        <v>1307</v>
      </c>
      <c r="CE83" t="s">
        <v>1848</v>
      </c>
      <c r="CF83" t="s">
        <v>1309</v>
      </c>
      <c r="CG83" t="s">
        <v>1309</v>
      </c>
      <c r="CH83" t="s">
        <v>1309</v>
      </c>
      <c r="CI83" t="s">
        <v>1309</v>
      </c>
      <c r="CJ83" t="s">
        <v>1310</v>
      </c>
      <c r="CK83" t="s">
        <v>1310</v>
      </c>
      <c r="CL83" t="s">
        <v>1310</v>
      </c>
      <c r="CM83" t="s">
        <v>1309</v>
      </c>
      <c r="CN83" t="s">
        <v>1309</v>
      </c>
      <c r="CO83" t="s">
        <v>1309</v>
      </c>
      <c r="CP83" t="s">
        <v>1309</v>
      </c>
      <c r="CQ83" t="s">
        <v>1309</v>
      </c>
      <c r="CR83" t="s">
        <v>1309</v>
      </c>
      <c r="CT83" t="s">
        <v>4434</v>
      </c>
      <c r="CV83" t="s">
        <v>1356</v>
      </c>
      <c r="CW83" t="s">
        <v>1309</v>
      </c>
      <c r="CX83" t="s">
        <v>1309</v>
      </c>
      <c r="CY83" t="s">
        <v>1309</v>
      </c>
      <c r="CZ83" t="s">
        <v>1310</v>
      </c>
      <c r="DA83" t="s">
        <v>1309</v>
      </c>
      <c r="DB83" t="s">
        <v>1309</v>
      </c>
      <c r="DC83" t="s">
        <v>1309</v>
      </c>
      <c r="DE83" t="s">
        <v>1358</v>
      </c>
      <c r="DG83">
        <v>100</v>
      </c>
      <c r="DH83">
        <v>1800</v>
      </c>
      <c r="DI83">
        <v>550</v>
      </c>
      <c r="DJ83" t="s">
        <v>1358</v>
      </c>
      <c r="DK83">
        <v>100</v>
      </c>
      <c r="DL83">
        <v>2200</v>
      </c>
      <c r="DM83">
        <v>650</v>
      </c>
      <c r="DN83" t="s">
        <v>1320</v>
      </c>
      <c r="DO83" t="s">
        <v>1310</v>
      </c>
      <c r="DP83" t="s">
        <v>1309</v>
      </c>
      <c r="DQ83" t="s">
        <v>1309</v>
      </c>
      <c r="DR83" t="s">
        <v>1309</v>
      </c>
      <c r="DS83" t="s">
        <v>1309</v>
      </c>
      <c r="DT83" t="s">
        <v>1310</v>
      </c>
      <c r="DU83" t="s">
        <v>1309</v>
      </c>
      <c r="DV83" t="s">
        <v>1309</v>
      </c>
      <c r="DW83" t="s">
        <v>1309</v>
      </c>
      <c r="DY83" t="s">
        <v>1456</v>
      </c>
      <c r="DZ83">
        <v>600</v>
      </c>
      <c r="EA83" t="s">
        <v>1319</v>
      </c>
      <c r="EC83" t="s">
        <v>1360</v>
      </c>
      <c r="ED83">
        <v>1000</v>
      </c>
      <c r="EE83" t="s">
        <v>1319</v>
      </c>
      <c r="EG83" t="s">
        <v>5356</v>
      </c>
      <c r="EI83" t="s">
        <v>1307</v>
      </c>
      <c r="ET83" t="s">
        <v>1544</v>
      </c>
      <c r="EV83" t="s">
        <v>1319</v>
      </c>
      <c r="EW83" t="s">
        <v>1409</v>
      </c>
      <c r="EX83" t="s">
        <v>1319</v>
      </c>
      <c r="EY83" t="s">
        <v>1307</v>
      </c>
      <c r="EZ83" t="s">
        <v>1319</v>
      </c>
      <c r="FA83" t="s">
        <v>1772</v>
      </c>
      <c r="FB83" t="s">
        <v>1309</v>
      </c>
      <c r="FC83" t="s">
        <v>1309</v>
      </c>
      <c r="FD83" t="s">
        <v>1310</v>
      </c>
      <c r="FE83" t="s">
        <v>1309</v>
      </c>
      <c r="FF83" t="s">
        <v>1309</v>
      </c>
      <c r="FG83" t="s">
        <v>1309</v>
      </c>
      <c r="FH83" t="s">
        <v>1310</v>
      </c>
      <c r="FI83" t="s">
        <v>1309</v>
      </c>
      <c r="FJ83" t="s">
        <v>1309</v>
      </c>
      <c r="FK83" t="s">
        <v>1309</v>
      </c>
      <c r="FL83" t="s">
        <v>1309</v>
      </c>
      <c r="FM83" t="s">
        <v>1309</v>
      </c>
      <c r="FN83" t="s">
        <v>1309</v>
      </c>
      <c r="FO83" t="s">
        <v>1309</v>
      </c>
      <c r="FP83" t="s">
        <v>1309</v>
      </c>
      <c r="FQ83" t="s">
        <v>1309</v>
      </c>
      <c r="FR83" t="s">
        <v>1309</v>
      </c>
      <c r="FT83" t="s">
        <v>1307</v>
      </c>
      <c r="GI83" t="s">
        <v>1324</v>
      </c>
      <c r="GJ83" t="s">
        <v>1324</v>
      </c>
      <c r="GT83" t="s">
        <v>1325</v>
      </c>
      <c r="GU83" t="s">
        <v>1310</v>
      </c>
      <c r="GV83" t="s">
        <v>1309</v>
      </c>
      <c r="GW83" t="s">
        <v>1309</v>
      </c>
      <c r="GX83" t="s">
        <v>1309</v>
      </c>
      <c r="GY83" t="s">
        <v>1309</v>
      </c>
      <c r="GZ83" t="s">
        <v>1309</v>
      </c>
      <c r="HA83" t="s">
        <v>1309</v>
      </c>
      <c r="HB83" t="s">
        <v>1309</v>
      </c>
      <c r="HC83" t="s">
        <v>1309</v>
      </c>
      <c r="HD83" t="s">
        <v>1309</v>
      </c>
      <c r="HE83" t="s">
        <v>1309</v>
      </c>
      <c r="HF83" t="s">
        <v>1309</v>
      </c>
      <c r="HH83" t="s">
        <v>1390</v>
      </c>
      <c r="HI83" t="s">
        <v>1390</v>
      </c>
      <c r="HJ83" t="s">
        <v>1390</v>
      </c>
      <c r="HK83" t="s">
        <v>1327</v>
      </c>
      <c r="HL83" t="s">
        <v>1437</v>
      </c>
      <c r="HM83" t="s">
        <v>1326</v>
      </c>
      <c r="HN83" t="s">
        <v>1329</v>
      </c>
      <c r="HO83" t="s">
        <v>1309</v>
      </c>
      <c r="HP83" t="s">
        <v>1309</v>
      </c>
      <c r="HQ83" t="s">
        <v>1309</v>
      </c>
      <c r="HR83" t="s">
        <v>1310</v>
      </c>
      <c r="HS83" t="s">
        <v>1309</v>
      </c>
      <c r="HT83" t="s">
        <v>1309</v>
      </c>
      <c r="HU83" t="s">
        <v>1309</v>
      </c>
      <c r="HV83" t="s">
        <v>1309</v>
      </c>
      <c r="HW83" t="s">
        <v>1309</v>
      </c>
      <c r="HX83" t="s">
        <v>1309</v>
      </c>
      <c r="HY83" t="s">
        <v>1309</v>
      </c>
      <c r="IA83" t="s">
        <v>1307</v>
      </c>
      <c r="IQ83" t="s">
        <v>1365</v>
      </c>
      <c r="IS83" t="s">
        <v>1331</v>
      </c>
      <c r="JF83" t="s">
        <v>1331</v>
      </c>
      <c r="JG83" t="s">
        <v>1332</v>
      </c>
      <c r="JH83" t="s">
        <v>1309</v>
      </c>
      <c r="JI83" t="s">
        <v>1309</v>
      </c>
      <c r="JJ83" t="s">
        <v>1309</v>
      </c>
      <c r="JK83" t="s">
        <v>1309</v>
      </c>
      <c r="JL83" t="s">
        <v>1310</v>
      </c>
      <c r="JM83" t="s">
        <v>1309</v>
      </c>
      <c r="JN83" t="s">
        <v>1309</v>
      </c>
      <c r="JO83" t="s">
        <v>1309</v>
      </c>
      <c r="JQ83" s="92" t="s">
        <v>1516</v>
      </c>
      <c r="JR83" s="92" t="s">
        <v>1849</v>
      </c>
      <c r="JS83" s="92">
        <v>52</v>
      </c>
      <c r="JT83" s="92" t="s">
        <v>1319</v>
      </c>
      <c r="JU83" s="92" t="s">
        <v>1335</v>
      </c>
      <c r="JV83" s="92" t="s">
        <v>1336</v>
      </c>
      <c r="JW83" s="92" t="s">
        <v>1296</v>
      </c>
      <c r="JX83" s="92" t="s">
        <v>70</v>
      </c>
      <c r="JY83" s="92" t="s">
        <v>5549</v>
      </c>
      <c r="JZ83" s="92" t="s">
        <v>1337</v>
      </c>
      <c r="KA83" s="92" t="s">
        <v>4845</v>
      </c>
      <c r="KB83" s="92" t="s">
        <v>1338</v>
      </c>
      <c r="KC83" s="92" t="s">
        <v>109</v>
      </c>
      <c r="KD83" s="92" t="s">
        <v>4847</v>
      </c>
      <c r="KE83" s="92" t="s">
        <v>1424</v>
      </c>
      <c r="KF83" s="92">
        <v>2450</v>
      </c>
      <c r="KG83" s="92" t="s">
        <v>4439</v>
      </c>
      <c r="KH83" s="92" t="s">
        <v>192</v>
      </c>
      <c r="KI83" s="92" t="s">
        <v>192</v>
      </c>
      <c r="KJ83" s="92" t="s">
        <v>192</v>
      </c>
      <c r="KK83" s="92" t="s">
        <v>192</v>
      </c>
      <c r="KL83" s="92" t="s">
        <v>1425</v>
      </c>
      <c r="KM83" s="92">
        <v>2950</v>
      </c>
      <c r="KN83" s="92" t="s">
        <v>4439</v>
      </c>
      <c r="KO83" s="92" t="s">
        <v>1425</v>
      </c>
      <c r="KP83" s="92" t="s">
        <v>1375</v>
      </c>
      <c r="KQ83" s="92" t="s">
        <v>192</v>
      </c>
      <c r="KR83" s="92">
        <v>24</v>
      </c>
      <c r="KS83" s="92" t="s">
        <v>1345</v>
      </c>
      <c r="KT83" s="92" t="s">
        <v>1344</v>
      </c>
      <c r="KU83" s="92">
        <v>34</v>
      </c>
      <c r="KV83" s="92" t="s">
        <v>1461</v>
      </c>
      <c r="KW83" s="92" t="s">
        <v>1344</v>
      </c>
      <c r="KX83" s="92" t="s">
        <v>1376</v>
      </c>
      <c r="KY83" s="92" t="s">
        <v>1377</v>
      </c>
      <c r="KZ83" s="92" t="s">
        <v>5795</v>
      </c>
      <c r="LA83" s="92" t="s">
        <v>109</v>
      </c>
      <c r="LB83" s="92" t="s">
        <v>109</v>
      </c>
      <c r="LC83" s="92" t="s">
        <v>4438</v>
      </c>
      <c r="LD83" s="92" t="s">
        <v>4439</v>
      </c>
      <c r="LE83" s="92" t="s">
        <v>192</v>
      </c>
      <c r="LF83" s="92" t="s">
        <v>192</v>
      </c>
    </row>
    <row r="84" spans="1:318" x14ac:dyDescent="0.25">
      <c r="A84" t="s">
        <v>1850</v>
      </c>
      <c r="B84" t="s">
        <v>1851</v>
      </c>
      <c r="C84" t="s">
        <v>1304</v>
      </c>
      <c r="D84" t="s">
        <v>1305</v>
      </c>
      <c r="E84" t="s">
        <v>1306</v>
      </c>
      <c r="G84" t="s">
        <v>1307</v>
      </c>
      <c r="H84">
        <v>3</v>
      </c>
      <c r="I84" t="s">
        <v>1307</v>
      </c>
      <c r="J84" t="s">
        <v>1406</v>
      </c>
      <c r="K84" t="s">
        <v>1309</v>
      </c>
      <c r="L84" t="s">
        <v>1310</v>
      </c>
      <c r="M84" t="s">
        <v>1309</v>
      </c>
      <c r="N84" t="s">
        <v>1309</v>
      </c>
      <c r="O84" t="s">
        <v>1309</v>
      </c>
      <c r="P84" t="s">
        <v>1309</v>
      </c>
      <c r="Q84" t="s">
        <v>1309</v>
      </c>
      <c r="R84" t="s">
        <v>1309</v>
      </c>
      <c r="S84">
        <v>1</v>
      </c>
      <c r="U84" t="s">
        <v>1312</v>
      </c>
      <c r="V84" t="s">
        <v>1312</v>
      </c>
      <c r="W84" t="s">
        <v>1312</v>
      </c>
      <c r="X84" t="s">
        <v>1312</v>
      </c>
      <c r="Y84" t="s">
        <v>1312</v>
      </c>
      <c r="Z84" t="s">
        <v>1312</v>
      </c>
      <c r="AC84">
        <v>2</v>
      </c>
      <c r="AD84">
        <v>7000</v>
      </c>
      <c r="AE84">
        <v>15000</v>
      </c>
      <c r="AF84" t="s">
        <v>1351</v>
      </c>
      <c r="AH84" t="s">
        <v>1383</v>
      </c>
      <c r="AJ84" t="s">
        <v>1315</v>
      </c>
      <c r="AL84" t="s">
        <v>1316</v>
      </c>
      <c r="BS84" t="s">
        <v>1307</v>
      </c>
      <c r="CE84" t="s">
        <v>1355</v>
      </c>
      <c r="CF84" t="s">
        <v>1309</v>
      </c>
      <c r="CG84" t="s">
        <v>1309</v>
      </c>
      <c r="CH84" t="s">
        <v>1309</v>
      </c>
      <c r="CI84" t="s">
        <v>1309</v>
      </c>
      <c r="CJ84" t="s">
        <v>1309</v>
      </c>
      <c r="CK84" t="s">
        <v>1309</v>
      </c>
      <c r="CL84" t="s">
        <v>1309</v>
      </c>
      <c r="CM84" t="s">
        <v>1309</v>
      </c>
      <c r="CN84" t="s">
        <v>1310</v>
      </c>
      <c r="CO84" t="s">
        <v>1309</v>
      </c>
      <c r="CP84" t="s">
        <v>1309</v>
      </c>
      <c r="CQ84" t="s">
        <v>1309</v>
      </c>
      <c r="CR84" t="s">
        <v>1309</v>
      </c>
      <c r="CT84" t="s">
        <v>4436</v>
      </c>
      <c r="CV84" t="s">
        <v>1308</v>
      </c>
      <c r="CW84" t="s">
        <v>1310</v>
      </c>
      <c r="CX84" t="s">
        <v>1309</v>
      </c>
      <c r="CY84" t="s">
        <v>1309</v>
      </c>
      <c r="CZ84" t="s">
        <v>1309</v>
      </c>
      <c r="DA84" t="s">
        <v>1309</v>
      </c>
      <c r="DB84" t="s">
        <v>1309</v>
      </c>
      <c r="DC84" t="s">
        <v>1309</v>
      </c>
      <c r="DE84" t="s">
        <v>1358</v>
      </c>
      <c r="DF84" t="s">
        <v>1319</v>
      </c>
      <c r="DG84">
        <v>200</v>
      </c>
      <c r="DI84">
        <v>800</v>
      </c>
      <c r="DJ84" t="s">
        <v>1358</v>
      </c>
      <c r="DK84">
        <v>250</v>
      </c>
      <c r="DM84">
        <v>850</v>
      </c>
      <c r="DN84" t="s">
        <v>1320</v>
      </c>
      <c r="DO84" t="s">
        <v>1310</v>
      </c>
      <c r="DP84" t="s">
        <v>1309</v>
      </c>
      <c r="DQ84" t="s">
        <v>1309</v>
      </c>
      <c r="DR84" t="s">
        <v>1309</v>
      </c>
      <c r="DS84" t="s">
        <v>1309</v>
      </c>
      <c r="DT84" t="s">
        <v>1310</v>
      </c>
      <c r="DU84" t="s">
        <v>1309</v>
      </c>
      <c r="DV84" t="s">
        <v>1309</v>
      </c>
      <c r="DW84" t="s">
        <v>1309</v>
      </c>
      <c r="DY84" t="s">
        <v>1456</v>
      </c>
      <c r="DZ84">
        <v>300</v>
      </c>
      <c r="EA84" t="s">
        <v>1319</v>
      </c>
      <c r="EC84" t="s">
        <v>1457</v>
      </c>
      <c r="ED84">
        <v>600</v>
      </c>
      <c r="EE84" t="s">
        <v>1319</v>
      </c>
      <c r="EG84" t="s">
        <v>5357</v>
      </c>
      <c r="ET84" t="s">
        <v>1307</v>
      </c>
      <c r="EV84" t="s">
        <v>1319</v>
      </c>
      <c r="EW84" t="s">
        <v>1409</v>
      </c>
      <c r="EX84" t="s">
        <v>1307</v>
      </c>
      <c r="EY84" t="s">
        <v>1307</v>
      </c>
      <c r="EZ84" t="s">
        <v>1307</v>
      </c>
      <c r="FT84" t="s">
        <v>1307</v>
      </c>
      <c r="GI84" t="s">
        <v>1324</v>
      </c>
      <c r="GJ84" t="s">
        <v>1324</v>
      </c>
      <c r="GT84" t="s">
        <v>1325</v>
      </c>
      <c r="GU84" t="s">
        <v>1310</v>
      </c>
      <c r="GV84" t="s">
        <v>1309</v>
      </c>
      <c r="GW84" t="s">
        <v>1309</v>
      </c>
      <c r="GX84" t="s">
        <v>1309</v>
      </c>
      <c r="GY84" t="s">
        <v>1309</v>
      </c>
      <c r="GZ84" t="s">
        <v>1309</v>
      </c>
      <c r="HA84" t="s">
        <v>1309</v>
      </c>
      <c r="HB84" t="s">
        <v>1309</v>
      </c>
      <c r="HC84" t="s">
        <v>1309</v>
      </c>
      <c r="HD84" t="s">
        <v>1309</v>
      </c>
      <c r="HE84" t="s">
        <v>1309</v>
      </c>
      <c r="HF84" t="s">
        <v>1309</v>
      </c>
      <c r="HH84" t="s">
        <v>1326</v>
      </c>
      <c r="HI84" t="s">
        <v>1326</v>
      </c>
      <c r="HJ84" t="s">
        <v>1390</v>
      </c>
      <c r="HK84" t="s">
        <v>1327</v>
      </c>
      <c r="HL84" t="s">
        <v>1328</v>
      </c>
      <c r="HM84" t="s">
        <v>1326</v>
      </c>
      <c r="HN84" t="s">
        <v>1414</v>
      </c>
      <c r="HO84" t="s">
        <v>1309</v>
      </c>
      <c r="HP84" t="s">
        <v>1309</v>
      </c>
      <c r="HQ84" t="s">
        <v>1309</v>
      </c>
      <c r="HR84" t="s">
        <v>1309</v>
      </c>
      <c r="HS84" t="s">
        <v>1309</v>
      </c>
      <c r="HT84" t="s">
        <v>1309</v>
      </c>
      <c r="HU84" t="s">
        <v>1309</v>
      </c>
      <c r="HV84" t="s">
        <v>1309</v>
      </c>
      <c r="HW84" t="s">
        <v>1309</v>
      </c>
      <c r="HX84" t="s">
        <v>1310</v>
      </c>
      <c r="HY84" t="s">
        <v>1309</v>
      </c>
      <c r="IA84" t="s">
        <v>1307</v>
      </c>
      <c r="IQ84" t="s">
        <v>1365</v>
      </c>
      <c r="IS84" t="s">
        <v>1331</v>
      </c>
      <c r="JF84" t="s">
        <v>1331</v>
      </c>
      <c r="JG84" t="s">
        <v>1332</v>
      </c>
      <c r="JH84" t="s">
        <v>1309</v>
      </c>
      <c r="JI84" t="s">
        <v>1309</v>
      </c>
      <c r="JJ84" t="s">
        <v>1309</v>
      </c>
      <c r="JK84" t="s">
        <v>1309</v>
      </c>
      <c r="JL84" t="s">
        <v>1310</v>
      </c>
      <c r="JM84" t="s">
        <v>1309</v>
      </c>
      <c r="JN84" t="s">
        <v>1309</v>
      </c>
      <c r="JO84" t="s">
        <v>1309</v>
      </c>
      <c r="JQ84" s="92" t="s">
        <v>1516</v>
      </c>
      <c r="JR84" s="92" t="s">
        <v>1849</v>
      </c>
      <c r="JS84" s="92">
        <v>43</v>
      </c>
      <c r="JT84" s="92" t="s">
        <v>1319</v>
      </c>
      <c r="JU84" s="92" t="s">
        <v>1335</v>
      </c>
      <c r="JV84" s="92" t="s">
        <v>1336</v>
      </c>
      <c r="JW84" s="92" t="s">
        <v>1296</v>
      </c>
      <c r="JX84" s="92" t="s">
        <v>70</v>
      </c>
      <c r="JY84" s="92" t="s">
        <v>5549</v>
      </c>
      <c r="JZ84" s="92" t="s">
        <v>1337</v>
      </c>
      <c r="KA84" s="92" t="s">
        <v>4845</v>
      </c>
      <c r="KB84" s="92" t="s">
        <v>1415</v>
      </c>
      <c r="KC84" s="92" t="s">
        <v>109</v>
      </c>
      <c r="KD84" s="92" t="s">
        <v>4847</v>
      </c>
      <c r="KE84" s="92" t="s">
        <v>1424</v>
      </c>
      <c r="KF84" s="92">
        <v>1000</v>
      </c>
      <c r="KG84" s="92" t="s">
        <v>4438</v>
      </c>
      <c r="KH84" s="92" t="s">
        <v>192</v>
      </c>
      <c r="KI84" s="92" t="s">
        <v>109</v>
      </c>
      <c r="KJ84" s="92" t="s">
        <v>192</v>
      </c>
      <c r="KK84" s="92" t="s">
        <v>109</v>
      </c>
      <c r="KL84" s="92" t="s">
        <v>1374</v>
      </c>
      <c r="KM84" s="92">
        <v>1100</v>
      </c>
      <c r="KN84" s="92" t="s">
        <v>4438</v>
      </c>
      <c r="KO84" s="92" t="s">
        <v>1440</v>
      </c>
      <c r="KP84" s="92" t="s">
        <v>1401</v>
      </c>
      <c r="KQ84" s="92" t="s">
        <v>192</v>
      </c>
      <c r="KR84" s="92"/>
      <c r="KS84" s="92" t="s">
        <v>1343</v>
      </c>
      <c r="KT84" s="92" t="s">
        <v>1344</v>
      </c>
      <c r="KU84" s="92"/>
      <c r="KV84" s="92" t="s">
        <v>1345</v>
      </c>
      <c r="KW84" s="92" t="s">
        <v>1344</v>
      </c>
      <c r="KX84" s="92" t="s">
        <v>1376</v>
      </c>
      <c r="KY84" s="92" t="s">
        <v>1377</v>
      </c>
      <c r="KZ84" s="92" t="s">
        <v>5795</v>
      </c>
      <c r="LA84" s="92" t="s">
        <v>109</v>
      </c>
      <c r="LB84" s="92" t="s">
        <v>109</v>
      </c>
      <c r="LC84" s="92" t="s">
        <v>1372</v>
      </c>
      <c r="LD84" s="92" t="s">
        <v>1372</v>
      </c>
      <c r="LE84" s="92" t="s">
        <v>192</v>
      </c>
      <c r="LF84" s="92" t="s">
        <v>192</v>
      </c>
    </row>
    <row r="85" spans="1:318" x14ac:dyDescent="0.25">
      <c r="A85" t="s">
        <v>1852</v>
      </c>
      <c r="B85" t="s">
        <v>1853</v>
      </c>
      <c r="C85" t="s">
        <v>1304</v>
      </c>
      <c r="D85" t="s">
        <v>1305</v>
      </c>
      <c r="E85" t="s">
        <v>1306</v>
      </c>
      <c r="G85" t="s">
        <v>1307</v>
      </c>
      <c r="H85">
        <v>2</v>
      </c>
      <c r="I85" t="s">
        <v>1307</v>
      </c>
      <c r="J85" t="s">
        <v>1430</v>
      </c>
      <c r="K85" t="s">
        <v>1309</v>
      </c>
      <c r="L85" t="s">
        <v>1309</v>
      </c>
      <c r="M85" t="s">
        <v>1310</v>
      </c>
      <c r="N85" t="s">
        <v>1309</v>
      </c>
      <c r="O85" t="s">
        <v>1309</v>
      </c>
      <c r="P85" t="s">
        <v>1309</v>
      </c>
      <c r="Q85" t="s">
        <v>1309</v>
      </c>
      <c r="R85" t="s">
        <v>1309</v>
      </c>
      <c r="T85">
        <v>2</v>
      </c>
      <c r="U85" t="s">
        <v>1486</v>
      </c>
      <c r="V85" t="s">
        <v>1311</v>
      </c>
      <c r="W85" t="s">
        <v>1311</v>
      </c>
      <c r="X85" t="s">
        <v>1312</v>
      </c>
      <c r="Y85" t="s">
        <v>1311</v>
      </c>
      <c r="Z85" t="s">
        <v>1312</v>
      </c>
      <c r="AC85">
        <v>2</v>
      </c>
      <c r="AD85">
        <v>7000</v>
      </c>
      <c r="AE85">
        <v>5000</v>
      </c>
      <c r="AF85" t="s">
        <v>1351</v>
      </c>
      <c r="AH85" t="s">
        <v>1314</v>
      </c>
      <c r="AJ85" t="s">
        <v>1353</v>
      </c>
      <c r="AL85" t="s">
        <v>1354</v>
      </c>
      <c r="BA85" t="s">
        <v>1354</v>
      </c>
      <c r="BS85" t="s">
        <v>1307</v>
      </c>
      <c r="CE85" t="s">
        <v>1597</v>
      </c>
      <c r="CF85" t="s">
        <v>1309</v>
      </c>
      <c r="CG85" t="s">
        <v>1309</v>
      </c>
      <c r="CH85" t="s">
        <v>1309</v>
      </c>
      <c r="CI85" t="s">
        <v>1309</v>
      </c>
      <c r="CJ85" t="s">
        <v>1309</v>
      </c>
      <c r="CK85" t="s">
        <v>1309</v>
      </c>
      <c r="CL85" t="s">
        <v>1310</v>
      </c>
      <c r="CM85" t="s">
        <v>1309</v>
      </c>
      <c r="CN85" t="s">
        <v>1309</v>
      </c>
      <c r="CO85" t="s">
        <v>1309</v>
      </c>
      <c r="CP85" t="s">
        <v>1309</v>
      </c>
      <c r="CQ85" t="s">
        <v>1309</v>
      </c>
      <c r="CR85" t="s">
        <v>1309</v>
      </c>
      <c r="CT85" t="s">
        <v>4436</v>
      </c>
      <c r="CV85" t="s">
        <v>1308</v>
      </c>
      <c r="CW85" t="s">
        <v>1310</v>
      </c>
      <c r="CX85" t="s">
        <v>1309</v>
      </c>
      <c r="CY85" t="s">
        <v>1309</v>
      </c>
      <c r="CZ85" t="s">
        <v>1309</v>
      </c>
      <c r="DA85" t="s">
        <v>1309</v>
      </c>
      <c r="DB85" t="s">
        <v>1309</v>
      </c>
      <c r="DC85" t="s">
        <v>1309</v>
      </c>
      <c r="DE85" t="s">
        <v>1358</v>
      </c>
      <c r="DF85" t="s">
        <v>1319</v>
      </c>
      <c r="DI85">
        <v>300</v>
      </c>
      <c r="DJ85" t="s">
        <v>1358</v>
      </c>
      <c r="DM85">
        <v>350</v>
      </c>
      <c r="DN85" t="s">
        <v>1320</v>
      </c>
      <c r="DO85" t="s">
        <v>1310</v>
      </c>
      <c r="DP85" t="s">
        <v>1309</v>
      </c>
      <c r="DQ85" t="s">
        <v>1309</v>
      </c>
      <c r="DR85" t="s">
        <v>1309</v>
      </c>
      <c r="DS85" t="s">
        <v>1309</v>
      </c>
      <c r="DT85" t="s">
        <v>1310</v>
      </c>
      <c r="DU85" t="s">
        <v>1309</v>
      </c>
      <c r="DV85" t="s">
        <v>1309</v>
      </c>
      <c r="DW85" t="s">
        <v>1309</v>
      </c>
      <c r="DY85" t="s">
        <v>1446</v>
      </c>
      <c r="DZ85">
        <v>400</v>
      </c>
      <c r="EA85" t="s">
        <v>1319</v>
      </c>
      <c r="EC85" t="s">
        <v>1854</v>
      </c>
      <c r="ED85">
        <v>600</v>
      </c>
      <c r="EE85" t="s">
        <v>1319</v>
      </c>
      <c r="EG85" t="s">
        <v>5356</v>
      </c>
      <c r="EI85" t="s">
        <v>1307</v>
      </c>
      <c r="ET85" t="s">
        <v>1307</v>
      </c>
      <c r="EV85" t="s">
        <v>1319</v>
      </c>
      <c r="EW85" t="s">
        <v>1409</v>
      </c>
      <c r="EX85" t="s">
        <v>1319</v>
      </c>
      <c r="EY85" t="s">
        <v>1307</v>
      </c>
      <c r="EZ85" t="s">
        <v>1319</v>
      </c>
      <c r="FA85" t="s">
        <v>1565</v>
      </c>
      <c r="FB85" t="s">
        <v>1309</v>
      </c>
      <c r="FC85" t="s">
        <v>1309</v>
      </c>
      <c r="FD85" t="s">
        <v>1310</v>
      </c>
      <c r="FE85" t="s">
        <v>1309</v>
      </c>
      <c r="FF85" t="s">
        <v>1309</v>
      </c>
      <c r="FG85" t="s">
        <v>1309</v>
      </c>
      <c r="FH85" t="s">
        <v>1309</v>
      </c>
      <c r="FI85" t="s">
        <v>1310</v>
      </c>
      <c r="FJ85" t="s">
        <v>1310</v>
      </c>
      <c r="FK85" t="s">
        <v>1309</v>
      </c>
      <c r="FL85" t="s">
        <v>1309</v>
      </c>
      <c r="FM85" t="s">
        <v>1309</v>
      </c>
      <c r="FN85" t="s">
        <v>1309</v>
      </c>
      <c r="FO85" t="s">
        <v>1309</v>
      </c>
      <c r="FP85" t="s">
        <v>1309</v>
      </c>
      <c r="FQ85" t="s">
        <v>1309</v>
      </c>
      <c r="FR85" t="s">
        <v>1309</v>
      </c>
      <c r="FT85" t="s">
        <v>1307</v>
      </c>
      <c r="GI85" t="s">
        <v>1324</v>
      </c>
      <c r="GJ85" t="s">
        <v>1324</v>
      </c>
      <c r="GT85" t="s">
        <v>1325</v>
      </c>
      <c r="GU85" t="s">
        <v>1310</v>
      </c>
      <c r="GV85" t="s">
        <v>1309</v>
      </c>
      <c r="GW85" t="s">
        <v>1309</v>
      </c>
      <c r="GX85" t="s">
        <v>1309</v>
      </c>
      <c r="GY85" t="s">
        <v>1309</v>
      </c>
      <c r="GZ85" t="s">
        <v>1309</v>
      </c>
      <c r="HA85" t="s">
        <v>1309</v>
      </c>
      <c r="HB85" t="s">
        <v>1309</v>
      </c>
      <c r="HC85" t="s">
        <v>1309</v>
      </c>
      <c r="HD85" t="s">
        <v>1309</v>
      </c>
      <c r="HE85" t="s">
        <v>1309</v>
      </c>
      <c r="HF85" t="s">
        <v>1309</v>
      </c>
      <c r="HH85" t="s">
        <v>1390</v>
      </c>
      <c r="HI85" t="s">
        <v>1327</v>
      </c>
      <c r="HJ85" t="s">
        <v>1390</v>
      </c>
      <c r="HK85" t="s">
        <v>1327</v>
      </c>
      <c r="HL85" t="s">
        <v>1328</v>
      </c>
      <c r="HM85" t="s">
        <v>1390</v>
      </c>
      <c r="HN85" t="s">
        <v>1626</v>
      </c>
      <c r="HO85" t="s">
        <v>1310</v>
      </c>
      <c r="HP85" t="s">
        <v>1309</v>
      </c>
      <c r="HQ85" t="s">
        <v>1309</v>
      </c>
      <c r="HR85" t="s">
        <v>1309</v>
      </c>
      <c r="HS85" t="s">
        <v>1309</v>
      </c>
      <c r="HT85" t="s">
        <v>1309</v>
      </c>
      <c r="HU85" t="s">
        <v>1309</v>
      </c>
      <c r="HV85" t="s">
        <v>1309</v>
      </c>
      <c r="HW85" t="s">
        <v>1309</v>
      </c>
      <c r="HX85" t="s">
        <v>1309</v>
      </c>
      <c r="HY85" t="s">
        <v>1309</v>
      </c>
      <c r="IA85" t="s">
        <v>1307</v>
      </c>
      <c r="IQ85" t="s">
        <v>1365</v>
      </c>
      <c r="IS85" t="s">
        <v>1331</v>
      </c>
      <c r="JF85" t="s">
        <v>1331</v>
      </c>
      <c r="JG85" t="s">
        <v>1332</v>
      </c>
      <c r="JH85" t="s">
        <v>1309</v>
      </c>
      <c r="JI85" t="s">
        <v>1309</v>
      </c>
      <c r="JJ85" t="s">
        <v>1309</v>
      </c>
      <c r="JK85" t="s">
        <v>1309</v>
      </c>
      <c r="JL85" t="s">
        <v>1310</v>
      </c>
      <c r="JM85" t="s">
        <v>1309</v>
      </c>
      <c r="JN85" t="s">
        <v>1309</v>
      </c>
      <c r="JO85" t="s">
        <v>1309</v>
      </c>
      <c r="JQ85" s="92" t="s">
        <v>1516</v>
      </c>
      <c r="JR85" s="92" t="s">
        <v>1855</v>
      </c>
      <c r="JS85" s="92">
        <v>68</v>
      </c>
      <c r="JT85" s="92" t="s">
        <v>1319</v>
      </c>
      <c r="JU85" s="92" t="s">
        <v>1335</v>
      </c>
      <c r="JV85" s="92" t="s">
        <v>1336</v>
      </c>
      <c r="JW85" s="92" t="s">
        <v>1296</v>
      </c>
      <c r="JX85" s="92" t="s">
        <v>70</v>
      </c>
      <c r="JY85" s="92" t="s">
        <v>5549</v>
      </c>
      <c r="JZ85" s="92" t="s">
        <v>1369</v>
      </c>
      <c r="KA85" s="92" t="s">
        <v>4845</v>
      </c>
      <c r="KB85" s="92" t="s">
        <v>1476</v>
      </c>
      <c r="KC85" s="92" t="s">
        <v>192</v>
      </c>
      <c r="KD85" s="92" t="s">
        <v>4847</v>
      </c>
      <c r="KE85" s="92" t="s">
        <v>1424</v>
      </c>
      <c r="KF85" s="92">
        <v>300</v>
      </c>
      <c r="KG85" s="92" t="s">
        <v>1372</v>
      </c>
      <c r="KH85" s="92" t="s">
        <v>109</v>
      </c>
      <c r="KI85" s="92" t="s">
        <v>109</v>
      </c>
      <c r="KJ85" s="92" t="s">
        <v>109</v>
      </c>
      <c r="KK85" s="92" t="s">
        <v>109</v>
      </c>
      <c r="KL85" s="92" t="s">
        <v>1373</v>
      </c>
      <c r="KM85" s="92">
        <v>350</v>
      </c>
      <c r="KN85" s="92" t="s">
        <v>1372</v>
      </c>
      <c r="KO85" s="92" t="s">
        <v>1373</v>
      </c>
      <c r="KP85" s="92" t="s">
        <v>1401</v>
      </c>
      <c r="KQ85" s="92" t="s">
        <v>192</v>
      </c>
      <c r="KR85" s="92"/>
      <c r="KS85" s="92" t="s">
        <v>1343</v>
      </c>
      <c r="KT85" s="92" t="s">
        <v>1344</v>
      </c>
      <c r="KU85" s="92"/>
      <c r="KV85" s="92" t="s">
        <v>1345</v>
      </c>
      <c r="KW85" s="92" t="s">
        <v>1344</v>
      </c>
      <c r="KX85" s="92" t="s">
        <v>1376</v>
      </c>
      <c r="KY85" s="92" t="s">
        <v>1377</v>
      </c>
      <c r="KZ85" s="92" t="s">
        <v>5795</v>
      </c>
      <c r="LA85" s="92" t="s">
        <v>109</v>
      </c>
      <c r="LB85" s="92" t="s">
        <v>109</v>
      </c>
      <c r="LC85" s="92" t="s">
        <v>1372</v>
      </c>
      <c r="LD85" s="92" t="s">
        <v>1372</v>
      </c>
      <c r="LE85" s="92" t="s">
        <v>109</v>
      </c>
      <c r="LF85" s="92" t="s">
        <v>109</v>
      </c>
    </row>
    <row r="86" spans="1:318" x14ac:dyDescent="0.25">
      <c r="A86" t="s">
        <v>1856</v>
      </c>
      <c r="B86" t="s">
        <v>1857</v>
      </c>
      <c r="C86" t="s">
        <v>1304</v>
      </c>
      <c r="D86" t="s">
        <v>1305</v>
      </c>
      <c r="E86" t="s">
        <v>1306</v>
      </c>
      <c r="G86" t="s">
        <v>1307</v>
      </c>
      <c r="H86">
        <v>3</v>
      </c>
      <c r="I86" t="s">
        <v>1307</v>
      </c>
      <c r="J86" t="s">
        <v>1548</v>
      </c>
      <c r="K86" t="s">
        <v>1309</v>
      </c>
      <c r="L86" t="s">
        <v>1309</v>
      </c>
      <c r="M86" t="s">
        <v>1310</v>
      </c>
      <c r="N86" t="s">
        <v>1310</v>
      </c>
      <c r="O86" t="s">
        <v>1309</v>
      </c>
      <c r="P86" t="s">
        <v>1309</v>
      </c>
      <c r="Q86" t="s">
        <v>1309</v>
      </c>
      <c r="R86" t="s">
        <v>1309</v>
      </c>
      <c r="T86">
        <v>2</v>
      </c>
      <c r="U86" t="s">
        <v>1486</v>
      </c>
      <c r="V86" t="s">
        <v>1311</v>
      </c>
      <c r="W86" t="s">
        <v>1486</v>
      </c>
      <c r="X86" t="s">
        <v>1311</v>
      </c>
      <c r="Y86" t="s">
        <v>1312</v>
      </c>
      <c r="Z86" t="s">
        <v>1311</v>
      </c>
      <c r="AA86">
        <v>0</v>
      </c>
      <c r="AC86">
        <v>3</v>
      </c>
      <c r="AD86">
        <v>9000</v>
      </c>
      <c r="AE86">
        <v>6000</v>
      </c>
      <c r="AF86" t="s">
        <v>1351</v>
      </c>
      <c r="AH86" t="s">
        <v>1314</v>
      </c>
      <c r="AJ86" t="s">
        <v>1315</v>
      </c>
      <c r="AL86" t="s">
        <v>1316</v>
      </c>
      <c r="BS86" t="s">
        <v>1307</v>
      </c>
      <c r="CE86" t="s">
        <v>1384</v>
      </c>
      <c r="CF86" t="s">
        <v>1310</v>
      </c>
      <c r="CG86" t="s">
        <v>1309</v>
      </c>
      <c r="CH86" t="s">
        <v>1309</v>
      </c>
      <c r="CI86" t="s">
        <v>1309</v>
      </c>
      <c r="CJ86" t="s">
        <v>1309</v>
      </c>
      <c r="CK86" t="s">
        <v>1309</v>
      </c>
      <c r="CL86" t="s">
        <v>1309</v>
      </c>
      <c r="CM86" t="s">
        <v>1309</v>
      </c>
      <c r="CN86" t="s">
        <v>1309</v>
      </c>
      <c r="CO86" t="s">
        <v>1309</v>
      </c>
      <c r="CP86" t="s">
        <v>1309</v>
      </c>
      <c r="CQ86" t="s">
        <v>1309</v>
      </c>
      <c r="CR86" t="s">
        <v>1309</v>
      </c>
      <c r="CT86" t="s">
        <v>4436</v>
      </c>
      <c r="CV86" t="s">
        <v>1308</v>
      </c>
      <c r="CW86" t="s">
        <v>1310</v>
      </c>
      <c r="CX86" t="s">
        <v>1309</v>
      </c>
      <c r="CY86" t="s">
        <v>1309</v>
      </c>
      <c r="CZ86" t="s">
        <v>1309</v>
      </c>
      <c r="DA86" t="s">
        <v>1309</v>
      </c>
      <c r="DB86" t="s">
        <v>1309</v>
      </c>
      <c r="DC86" t="s">
        <v>1309</v>
      </c>
      <c r="DE86" t="s">
        <v>1358</v>
      </c>
      <c r="DF86" t="s">
        <v>1319</v>
      </c>
      <c r="DG86">
        <v>150</v>
      </c>
      <c r="DI86">
        <v>500</v>
      </c>
      <c r="DJ86" t="s">
        <v>1358</v>
      </c>
      <c r="DK86">
        <v>200</v>
      </c>
      <c r="DM86">
        <v>600</v>
      </c>
      <c r="DN86" t="s">
        <v>1320</v>
      </c>
      <c r="DO86" t="s">
        <v>1310</v>
      </c>
      <c r="DP86" t="s">
        <v>1309</v>
      </c>
      <c r="DQ86" t="s">
        <v>1309</v>
      </c>
      <c r="DR86" t="s">
        <v>1309</v>
      </c>
      <c r="DS86" t="s">
        <v>1309</v>
      </c>
      <c r="DT86" t="s">
        <v>1310</v>
      </c>
      <c r="DU86" t="s">
        <v>1309</v>
      </c>
      <c r="DV86" t="s">
        <v>1309</v>
      </c>
      <c r="DW86" t="s">
        <v>1309</v>
      </c>
      <c r="DY86" t="s">
        <v>1456</v>
      </c>
      <c r="DZ86">
        <v>800</v>
      </c>
      <c r="EA86" t="s">
        <v>1319</v>
      </c>
      <c r="EC86" t="s">
        <v>1360</v>
      </c>
      <c r="ED86">
        <v>1000</v>
      </c>
      <c r="EE86" t="s">
        <v>1319</v>
      </c>
      <c r="EG86" t="s">
        <v>5356</v>
      </c>
      <c r="EI86" t="s">
        <v>1307</v>
      </c>
      <c r="ET86" t="s">
        <v>1307</v>
      </c>
      <c r="EV86" t="s">
        <v>1319</v>
      </c>
      <c r="EW86" t="s">
        <v>1409</v>
      </c>
      <c r="EX86" t="s">
        <v>1319</v>
      </c>
      <c r="EY86" t="s">
        <v>1319</v>
      </c>
      <c r="EZ86" t="s">
        <v>1319</v>
      </c>
      <c r="FA86" t="s">
        <v>1858</v>
      </c>
      <c r="FB86" t="s">
        <v>1309</v>
      </c>
      <c r="FC86" t="s">
        <v>1309</v>
      </c>
      <c r="FD86" t="s">
        <v>1310</v>
      </c>
      <c r="FE86" t="s">
        <v>1309</v>
      </c>
      <c r="FF86" t="s">
        <v>1310</v>
      </c>
      <c r="FG86" t="s">
        <v>1309</v>
      </c>
      <c r="FH86" t="s">
        <v>1309</v>
      </c>
      <c r="FI86" t="s">
        <v>1310</v>
      </c>
      <c r="FJ86" t="s">
        <v>1310</v>
      </c>
      <c r="FK86" t="s">
        <v>1309</v>
      </c>
      <c r="FL86" t="s">
        <v>1309</v>
      </c>
      <c r="FM86" t="s">
        <v>1309</v>
      </c>
      <c r="FN86" t="s">
        <v>1310</v>
      </c>
      <c r="FO86" t="s">
        <v>1309</v>
      </c>
      <c r="FP86" t="s">
        <v>1309</v>
      </c>
      <c r="FQ86" t="s">
        <v>1309</v>
      </c>
      <c r="FR86" t="s">
        <v>1309</v>
      </c>
      <c r="FT86" t="s">
        <v>1307</v>
      </c>
      <c r="GI86" t="s">
        <v>1324</v>
      </c>
      <c r="GJ86" t="s">
        <v>1324</v>
      </c>
      <c r="GT86" t="s">
        <v>1325</v>
      </c>
      <c r="GU86" t="s">
        <v>1310</v>
      </c>
      <c r="GV86" t="s">
        <v>1309</v>
      </c>
      <c r="GW86" t="s">
        <v>1309</v>
      </c>
      <c r="GX86" t="s">
        <v>1309</v>
      </c>
      <c r="GY86" t="s">
        <v>1309</v>
      </c>
      <c r="GZ86" t="s">
        <v>1309</v>
      </c>
      <c r="HA86" t="s">
        <v>1309</v>
      </c>
      <c r="HB86" t="s">
        <v>1309</v>
      </c>
      <c r="HC86" t="s">
        <v>1309</v>
      </c>
      <c r="HD86" t="s">
        <v>1309</v>
      </c>
      <c r="HE86" t="s">
        <v>1309</v>
      </c>
      <c r="HF86" t="s">
        <v>1309</v>
      </c>
      <c r="HH86" t="s">
        <v>1390</v>
      </c>
      <c r="HI86" t="s">
        <v>1327</v>
      </c>
      <c r="HJ86" t="s">
        <v>1390</v>
      </c>
      <c r="HK86" t="s">
        <v>1327</v>
      </c>
      <c r="HL86" t="s">
        <v>1328</v>
      </c>
      <c r="HM86" t="s">
        <v>1390</v>
      </c>
      <c r="HN86" t="s">
        <v>1549</v>
      </c>
      <c r="HO86" t="s">
        <v>1310</v>
      </c>
      <c r="HP86" t="s">
        <v>1310</v>
      </c>
      <c r="HQ86" t="s">
        <v>1309</v>
      </c>
      <c r="HR86" t="s">
        <v>1309</v>
      </c>
      <c r="HS86" t="s">
        <v>1309</v>
      </c>
      <c r="HT86" t="s">
        <v>1309</v>
      </c>
      <c r="HU86" t="s">
        <v>1309</v>
      </c>
      <c r="HV86" t="s">
        <v>1309</v>
      </c>
      <c r="HW86" t="s">
        <v>1309</v>
      </c>
      <c r="HX86" t="s">
        <v>1309</v>
      </c>
      <c r="HY86" t="s">
        <v>1309</v>
      </c>
      <c r="IA86" t="s">
        <v>1307</v>
      </c>
      <c r="IQ86" t="s">
        <v>1365</v>
      </c>
      <c r="IS86" t="s">
        <v>1331</v>
      </c>
      <c r="JF86" t="s">
        <v>1331</v>
      </c>
      <c r="JG86" t="s">
        <v>1859</v>
      </c>
      <c r="JH86" t="s">
        <v>1310</v>
      </c>
      <c r="JI86" t="s">
        <v>1309</v>
      </c>
      <c r="JJ86" t="s">
        <v>1310</v>
      </c>
      <c r="JK86" t="s">
        <v>1309</v>
      </c>
      <c r="JL86" t="s">
        <v>1310</v>
      </c>
      <c r="JM86" t="s">
        <v>1309</v>
      </c>
      <c r="JN86" t="s">
        <v>1309</v>
      </c>
      <c r="JO86" t="s">
        <v>1309</v>
      </c>
      <c r="JQ86" s="92" t="s">
        <v>1516</v>
      </c>
      <c r="JR86" s="92" t="s">
        <v>1855</v>
      </c>
      <c r="JS86" s="92">
        <v>41</v>
      </c>
      <c r="JT86" s="92" t="s">
        <v>1319</v>
      </c>
      <c r="JU86" s="92" t="s">
        <v>1335</v>
      </c>
      <c r="JV86" s="92" t="s">
        <v>1336</v>
      </c>
      <c r="JW86" s="92" t="s">
        <v>1296</v>
      </c>
      <c r="JX86" s="92" t="s">
        <v>70</v>
      </c>
      <c r="JY86" s="92" t="s">
        <v>5549</v>
      </c>
      <c r="JZ86" s="92" t="s">
        <v>1337</v>
      </c>
      <c r="KA86" s="92" t="s">
        <v>4845</v>
      </c>
      <c r="KB86" s="92" t="s">
        <v>1439</v>
      </c>
      <c r="KC86" s="92" t="s">
        <v>192</v>
      </c>
      <c r="KD86" s="92" t="s">
        <v>4848</v>
      </c>
      <c r="KE86" s="92" t="s">
        <v>1424</v>
      </c>
      <c r="KF86" s="92">
        <v>650</v>
      </c>
      <c r="KG86" s="92" t="s">
        <v>1372</v>
      </c>
      <c r="KH86" s="92" t="s">
        <v>192</v>
      </c>
      <c r="KI86" s="92" t="s">
        <v>109</v>
      </c>
      <c r="KJ86" s="92" t="s">
        <v>192</v>
      </c>
      <c r="KK86" s="92" t="s">
        <v>109</v>
      </c>
      <c r="KL86" s="92" t="s">
        <v>1374</v>
      </c>
      <c r="KM86" s="92">
        <v>800</v>
      </c>
      <c r="KN86" s="92" t="s">
        <v>1372</v>
      </c>
      <c r="KO86" s="92" t="s">
        <v>1374</v>
      </c>
      <c r="KP86" s="92" t="s">
        <v>1401</v>
      </c>
      <c r="KQ86" s="92" t="s">
        <v>192</v>
      </c>
      <c r="KR86" s="92"/>
      <c r="KS86" s="92" t="s">
        <v>1466</v>
      </c>
      <c r="KT86" s="92" t="s">
        <v>1344</v>
      </c>
      <c r="KU86" s="92"/>
      <c r="KV86" s="92" t="s">
        <v>1461</v>
      </c>
      <c r="KW86" s="92" t="s">
        <v>1344</v>
      </c>
      <c r="KX86" s="92" t="s">
        <v>1376</v>
      </c>
      <c r="KY86" s="92" t="s">
        <v>1377</v>
      </c>
      <c r="KZ86" s="92" t="s">
        <v>5795</v>
      </c>
      <c r="LA86" s="92" t="s">
        <v>109</v>
      </c>
      <c r="LB86" s="92" t="s">
        <v>109</v>
      </c>
      <c r="LC86" s="92" t="s">
        <v>1372</v>
      </c>
      <c r="LD86" s="92" t="s">
        <v>4438</v>
      </c>
      <c r="LE86" s="92" t="s">
        <v>109</v>
      </c>
      <c r="LF86" s="92" t="s">
        <v>109</v>
      </c>
    </row>
    <row r="87" spans="1:318" x14ac:dyDescent="0.25">
      <c r="A87" t="s">
        <v>1860</v>
      </c>
      <c r="B87" t="s">
        <v>1861</v>
      </c>
      <c r="C87" t="s">
        <v>1304</v>
      </c>
      <c r="D87" t="s">
        <v>1429</v>
      </c>
      <c r="E87" t="s">
        <v>1306</v>
      </c>
      <c r="G87" t="s">
        <v>1319</v>
      </c>
      <c r="H87">
        <v>1</v>
      </c>
      <c r="J87" t="s">
        <v>1548</v>
      </c>
      <c r="K87" t="s">
        <v>1309</v>
      </c>
      <c r="L87" t="s">
        <v>1309</v>
      </c>
      <c r="M87" t="s">
        <v>1310</v>
      </c>
      <c r="N87" t="s">
        <v>1310</v>
      </c>
      <c r="O87" t="s">
        <v>1309</v>
      </c>
      <c r="P87" t="s">
        <v>1309</v>
      </c>
      <c r="Q87" t="s">
        <v>1309</v>
      </c>
      <c r="R87" t="s">
        <v>1309</v>
      </c>
      <c r="T87">
        <v>1</v>
      </c>
      <c r="U87" t="s">
        <v>1312</v>
      </c>
      <c r="V87" t="s">
        <v>1312</v>
      </c>
      <c r="W87" t="s">
        <v>1312</v>
      </c>
      <c r="X87" t="s">
        <v>1312</v>
      </c>
      <c r="Y87" t="s">
        <v>1312</v>
      </c>
      <c r="Z87" t="s">
        <v>1312</v>
      </c>
      <c r="AA87">
        <v>0</v>
      </c>
      <c r="AC87">
        <v>1</v>
      </c>
      <c r="AD87">
        <v>5000</v>
      </c>
      <c r="AE87">
        <v>3000</v>
      </c>
      <c r="AF87" t="s">
        <v>1351</v>
      </c>
      <c r="AH87" t="s">
        <v>1383</v>
      </c>
      <c r="AJ87" t="s">
        <v>1315</v>
      </c>
      <c r="AL87" t="s">
        <v>1354</v>
      </c>
      <c r="BS87" t="s">
        <v>1307</v>
      </c>
      <c r="CE87" t="s">
        <v>1414</v>
      </c>
      <c r="CF87" t="s">
        <v>1309</v>
      </c>
      <c r="CG87" t="s">
        <v>1309</v>
      </c>
      <c r="CH87" t="s">
        <v>1309</v>
      </c>
      <c r="CI87" t="s">
        <v>1309</v>
      </c>
      <c r="CJ87" t="s">
        <v>1309</v>
      </c>
      <c r="CK87" t="s">
        <v>1309</v>
      </c>
      <c r="CL87" t="s">
        <v>1309</v>
      </c>
      <c r="CM87" t="s">
        <v>1309</v>
      </c>
      <c r="CN87" t="s">
        <v>1309</v>
      </c>
      <c r="CO87" t="s">
        <v>1309</v>
      </c>
      <c r="CP87" t="s">
        <v>1309</v>
      </c>
      <c r="CQ87" t="s">
        <v>1310</v>
      </c>
      <c r="CR87" t="s">
        <v>1309</v>
      </c>
      <c r="CT87" t="s">
        <v>4434</v>
      </c>
      <c r="CV87" t="s">
        <v>1308</v>
      </c>
      <c r="CW87" t="s">
        <v>1310</v>
      </c>
      <c r="CX87" t="s">
        <v>1309</v>
      </c>
      <c r="CY87" t="s">
        <v>1309</v>
      </c>
      <c r="CZ87" t="s">
        <v>1309</v>
      </c>
      <c r="DA87" t="s">
        <v>1309</v>
      </c>
      <c r="DB87" t="s">
        <v>1309</v>
      </c>
      <c r="DC87" t="s">
        <v>1309</v>
      </c>
      <c r="DE87" t="s">
        <v>1358</v>
      </c>
      <c r="DG87">
        <v>800</v>
      </c>
      <c r="DI87">
        <v>500</v>
      </c>
      <c r="DJ87" t="s">
        <v>1307</v>
      </c>
      <c r="DK87">
        <v>4000</v>
      </c>
      <c r="DM87">
        <v>600</v>
      </c>
      <c r="DN87" t="s">
        <v>1445</v>
      </c>
      <c r="DO87" t="s">
        <v>1310</v>
      </c>
      <c r="DP87" t="s">
        <v>1310</v>
      </c>
      <c r="DQ87" t="s">
        <v>1309</v>
      </c>
      <c r="DR87" t="s">
        <v>1309</v>
      </c>
      <c r="DS87" t="s">
        <v>1309</v>
      </c>
      <c r="DT87" t="s">
        <v>1310</v>
      </c>
      <c r="DU87" t="s">
        <v>1309</v>
      </c>
      <c r="DV87" t="s">
        <v>1309</v>
      </c>
      <c r="DW87" t="s">
        <v>1309</v>
      </c>
      <c r="DY87" t="s">
        <v>1481</v>
      </c>
      <c r="DZ87">
        <v>300</v>
      </c>
      <c r="EA87" t="s">
        <v>1319</v>
      </c>
      <c r="EC87" t="s">
        <v>1360</v>
      </c>
      <c r="ED87">
        <v>500</v>
      </c>
      <c r="EE87" t="s">
        <v>1319</v>
      </c>
      <c r="EG87" t="s">
        <v>5356</v>
      </c>
      <c r="EI87" t="s">
        <v>1307</v>
      </c>
      <c r="ET87" t="s">
        <v>1307</v>
      </c>
      <c r="EV87" t="s">
        <v>1307</v>
      </c>
      <c r="EX87" t="s">
        <v>1307</v>
      </c>
      <c r="EY87" t="s">
        <v>1307</v>
      </c>
      <c r="FT87" t="s">
        <v>1307</v>
      </c>
      <c r="GI87" t="s">
        <v>1324</v>
      </c>
      <c r="GJ87" t="s">
        <v>1436</v>
      </c>
      <c r="GK87" t="s">
        <v>1307</v>
      </c>
      <c r="GT87" t="s">
        <v>1325</v>
      </c>
      <c r="GU87" t="s">
        <v>1310</v>
      </c>
      <c r="GV87" t="s">
        <v>1309</v>
      </c>
      <c r="GW87" t="s">
        <v>1309</v>
      </c>
      <c r="GX87" t="s">
        <v>1309</v>
      </c>
      <c r="GY87" t="s">
        <v>1309</v>
      </c>
      <c r="GZ87" t="s">
        <v>1309</v>
      </c>
      <c r="HA87" t="s">
        <v>1309</v>
      </c>
      <c r="HB87" t="s">
        <v>1309</v>
      </c>
      <c r="HC87" t="s">
        <v>1309</v>
      </c>
      <c r="HD87" t="s">
        <v>1309</v>
      </c>
      <c r="HE87" t="s">
        <v>1309</v>
      </c>
      <c r="HF87" t="s">
        <v>1309</v>
      </c>
      <c r="HH87" t="s">
        <v>1363</v>
      </c>
      <c r="HI87" t="s">
        <v>1363</v>
      </c>
      <c r="HJ87" t="s">
        <v>1363</v>
      </c>
      <c r="HK87" t="s">
        <v>1327</v>
      </c>
      <c r="HL87" t="s">
        <v>1364</v>
      </c>
      <c r="HM87" t="s">
        <v>1363</v>
      </c>
      <c r="IA87" t="s">
        <v>1307</v>
      </c>
      <c r="IQ87" t="s">
        <v>1308</v>
      </c>
      <c r="IS87" t="s">
        <v>1354</v>
      </c>
      <c r="JF87" t="s">
        <v>1316</v>
      </c>
      <c r="JG87" t="s">
        <v>1414</v>
      </c>
      <c r="JH87" t="s">
        <v>1309</v>
      </c>
      <c r="JI87" t="s">
        <v>1309</v>
      </c>
      <c r="JJ87" t="s">
        <v>1309</v>
      </c>
      <c r="JK87" t="s">
        <v>1309</v>
      </c>
      <c r="JL87" t="s">
        <v>1309</v>
      </c>
      <c r="JM87" t="s">
        <v>1309</v>
      </c>
      <c r="JN87" t="s">
        <v>1310</v>
      </c>
      <c r="JO87" t="s">
        <v>1309</v>
      </c>
      <c r="JQ87" s="92" t="s">
        <v>1333</v>
      </c>
      <c r="JR87" s="92" t="s">
        <v>1334</v>
      </c>
      <c r="JS87" s="92">
        <v>66</v>
      </c>
      <c r="JT87" s="92" t="s">
        <v>1319</v>
      </c>
      <c r="JU87" s="92" t="s">
        <v>1396</v>
      </c>
      <c r="JV87" s="92" t="s">
        <v>1336</v>
      </c>
      <c r="JW87" s="92" t="s">
        <v>1296</v>
      </c>
      <c r="JX87" s="92" t="s">
        <v>71</v>
      </c>
      <c r="JY87" s="92" t="s">
        <v>1397</v>
      </c>
      <c r="JZ87" s="92" t="s">
        <v>1369</v>
      </c>
      <c r="KA87" s="92" t="s">
        <v>4844</v>
      </c>
      <c r="KB87" s="92" t="s">
        <v>1476</v>
      </c>
      <c r="KC87" s="92" t="s">
        <v>109</v>
      </c>
      <c r="KD87" s="92" t="s">
        <v>4844</v>
      </c>
      <c r="KE87" s="92" t="s">
        <v>5560</v>
      </c>
      <c r="KF87" s="92">
        <v>1300</v>
      </c>
      <c r="KG87" s="92" t="s">
        <v>4439</v>
      </c>
      <c r="KH87" s="92" t="s">
        <v>192</v>
      </c>
      <c r="KI87" s="92" t="s">
        <v>109</v>
      </c>
      <c r="KJ87" s="92" t="s">
        <v>192</v>
      </c>
      <c r="KK87" s="92" t="s">
        <v>109</v>
      </c>
      <c r="KL87" s="92" t="s">
        <v>1440</v>
      </c>
      <c r="KM87" s="92">
        <v>4600</v>
      </c>
      <c r="KN87" s="92" t="s">
        <v>1426</v>
      </c>
      <c r="KO87" s="92" t="s">
        <v>1341</v>
      </c>
      <c r="KP87" s="92" t="s">
        <v>1460</v>
      </c>
      <c r="KQ87" s="92" t="s">
        <v>192</v>
      </c>
      <c r="KR87" s="92">
        <v>23</v>
      </c>
      <c r="KS87" s="92" t="s">
        <v>1343</v>
      </c>
      <c r="KT87" s="92" t="s">
        <v>1344</v>
      </c>
      <c r="KU87" s="92">
        <v>11</v>
      </c>
      <c r="KV87" s="92" t="s">
        <v>1345</v>
      </c>
      <c r="KW87" s="92" t="s">
        <v>1344</v>
      </c>
      <c r="KX87" s="92" t="s">
        <v>1376</v>
      </c>
      <c r="KY87" s="92" t="s">
        <v>1377</v>
      </c>
      <c r="KZ87" s="92" t="s">
        <v>1403</v>
      </c>
      <c r="LA87" s="92" t="s">
        <v>109</v>
      </c>
      <c r="LB87" s="92" t="s">
        <v>109</v>
      </c>
      <c r="LC87" s="92" t="s">
        <v>4439</v>
      </c>
      <c r="LD87" s="92" t="s">
        <v>1400</v>
      </c>
      <c r="LE87" s="92" t="s">
        <v>109</v>
      </c>
      <c r="LF87" s="92" t="s">
        <v>192</v>
      </c>
    </row>
    <row r="88" spans="1:318" x14ac:dyDescent="0.25">
      <c r="A88" t="s">
        <v>1862</v>
      </c>
      <c r="B88" t="s">
        <v>1863</v>
      </c>
      <c r="C88" t="s">
        <v>1304</v>
      </c>
      <c r="D88" t="s">
        <v>1305</v>
      </c>
      <c r="E88" t="s">
        <v>1306</v>
      </c>
      <c r="G88" t="s">
        <v>1307</v>
      </c>
      <c r="H88">
        <v>2</v>
      </c>
      <c r="I88" t="s">
        <v>1307</v>
      </c>
      <c r="J88" t="s">
        <v>1548</v>
      </c>
      <c r="K88" t="s">
        <v>1309</v>
      </c>
      <c r="L88" t="s">
        <v>1309</v>
      </c>
      <c r="M88" t="s">
        <v>1310</v>
      </c>
      <c r="N88" t="s">
        <v>1310</v>
      </c>
      <c r="O88" t="s">
        <v>1309</v>
      </c>
      <c r="P88" t="s">
        <v>1309</v>
      </c>
      <c r="Q88" t="s">
        <v>1309</v>
      </c>
      <c r="R88" t="s">
        <v>1309</v>
      </c>
      <c r="T88">
        <v>2</v>
      </c>
      <c r="U88" t="s">
        <v>1311</v>
      </c>
      <c r="V88" t="s">
        <v>1312</v>
      </c>
      <c r="W88" t="s">
        <v>1311</v>
      </c>
      <c r="X88" t="s">
        <v>1311</v>
      </c>
      <c r="Y88" t="s">
        <v>1311</v>
      </c>
      <c r="Z88" t="s">
        <v>1311</v>
      </c>
      <c r="AA88">
        <v>1</v>
      </c>
      <c r="AB88">
        <v>1</v>
      </c>
      <c r="AC88">
        <v>2</v>
      </c>
      <c r="AD88">
        <v>7500</v>
      </c>
      <c r="AE88">
        <v>5500</v>
      </c>
      <c r="AF88" t="s">
        <v>1351</v>
      </c>
      <c r="AH88" t="s">
        <v>1314</v>
      </c>
      <c r="AJ88" t="s">
        <v>1353</v>
      </c>
      <c r="AL88" t="s">
        <v>1316</v>
      </c>
      <c r="BA88" t="s">
        <v>1354</v>
      </c>
      <c r="BS88" t="s">
        <v>1307</v>
      </c>
      <c r="CE88" t="s">
        <v>1414</v>
      </c>
      <c r="CF88" t="s">
        <v>1309</v>
      </c>
      <c r="CG88" t="s">
        <v>1309</v>
      </c>
      <c r="CH88" t="s">
        <v>1309</v>
      </c>
      <c r="CI88" t="s">
        <v>1309</v>
      </c>
      <c r="CJ88" t="s">
        <v>1309</v>
      </c>
      <c r="CK88" t="s">
        <v>1309</v>
      </c>
      <c r="CL88" t="s">
        <v>1309</v>
      </c>
      <c r="CM88" t="s">
        <v>1309</v>
      </c>
      <c r="CN88" t="s">
        <v>1309</v>
      </c>
      <c r="CO88" t="s">
        <v>1309</v>
      </c>
      <c r="CP88" t="s">
        <v>1309</v>
      </c>
      <c r="CQ88" t="s">
        <v>1310</v>
      </c>
      <c r="CR88" t="s">
        <v>1309</v>
      </c>
      <c r="CT88" t="s">
        <v>4436</v>
      </c>
      <c r="CV88" t="s">
        <v>1308</v>
      </c>
      <c r="CW88" t="s">
        <v>1310</v>
      </c>
      <c r="CX88" t="s">
        <v>1309</v>
      </c>
      <c r="CY88" t="s">
        <v>1309</v>
      </c>
      <c r="CZ88" t="s">
        <v>1309</v>
      </c>
      <c r="DA88" t="s">
        <v>1309</v>
      </c>
      <c r="DB88" t="s">
        <v>1309</v>
      </c>
      <c r="DC88" t="s">
        <v>1309</v>
      </c>
      <c r="DE88" t="s">
        <v>1358</v>
      </c>
      <c r="DF88" t="s">
        <v>1319</v>
      </c>
      <c r="DG88">
        <v>300</v>
      </c>
      <c r="DI88">
        <v>450</v>
      </c>
      <c r="DJ88" t="s">
        <v>1358</v>
      </c>
      <c r="DK88">
        <v>200</v>
      </c>
      <c r="DM88">
        <v>500</v>
      </c>
      <c r="DN88" t="s">
        <v>1320</v>
      </c>
      <c r="DO88" t="s">
        <v>1310</v>
      </c>
      <c r="DP88" t="s">
        <v>1309</v>
      </c>
      <c r="DQ88" t="s">
        <v>1309</v>
      </c>
      <c r="DR88" t="s">
        <v>1309</v>
      </c>
      <c r="DS88" t="s">
        <v>1309</v>
      </c>
      <c r="DT88" t="s">
        <v>1310</v>
      </c>
      <c r="DU88" t="s">
        <v>1309</v>
      </c>
      <c r="DV88" t="s">
        <v>1309</v>
      </c>
      <c r="DW88" t="s">
        <v>1309</v>
      </c>
      <c r="DY88" t="s">
        <v>1456</v>
      </c>
      <c r="DZ88">
        <v>500</v>
      </c>
      <c r="EA88" t="s">
        <v>1319</v>
      </c>
      <c r="EC88" t="s">
        <v>1457</v>
      </c>
      <c r="ED88">
        <v>700</v>
      </c>
      <c r="EE88" t="s">
        <v>1386</v>
      </c>
      <c r="EG88" t="s">
        <v>5356</v>
      </c>
      <c r="EI88" t="s">
        <v>1307</v>
      </c>
      <c r="ET88" t="s">
        <v>1307</v>
      </c>
      <c r="EV88" t="s">
        <v>1319</v>
      </c>
      <c r="EW88" t="s">
        <v>1421</v>
      </c>
      <c r="EX88" t="s">
        <v>1319</v>
      </c>
      <c r="EY88" t="s">
        <v>1319</v>
      </c>
      <c r="EZ88" t="s">
        <v>1307</v>
      </c>
      <c r="FA88" t="s">
        <v>1654</v>
      </c>
      <c r="FB88" t="s">
        <v>1309</v>
      </c>
      <c r="FC88" t="s">
        <v>1309</v>
      </c>
      <c r="FD88" t="s">
        <v>1309</v>
      </c>
      <c r="FE88" t="s">
        <v>1309</v>
      </c>
      <c r="FF88" t="s">
        <v>1309</v>
      </c>
      <c r="FG88" t="s">
        <v>1309</v>
      </c>
      <c r="FH88" t="s">
        <v>1309</v>
      </c>
      <c r="FI88" t="s">
        <v>1310</v>
      </c>
      <c r="FJ88" t="s">
        <v>1309</v>
      </c>
      <c r="FK88" t="s">
        <v>1310</v>
      </c>
      <c r="FL88" t="s">
        <v>1309</v>
      </c>
      <c r="FM88" t="s">
        <v>1309</v>
      </c>
      <c r="FN88" t="s">
        <v>1310</v>
      </c>
      <c r="FO88" t="s">
        <v>1309</v>
      </c>
      <c r="FP88" t="s">
        <v>1309</v>
      </c>
      <c r="FQ88" t="s">
        <v>1309</v>
      </c>
      <c r="FR88" t="s">
        <v>1309</v>
      </c>
      <c r="FT88" t="s">
        <v>1319</v>
      </c>
      <c r="FU88" t="s">
        <v>1864</v>
      </c>
      <c r="FV88" t="s">
        <v>1310</v>
      </c>
      <c r="FW88" t="s">
        <v>1310</v>
      </c>
      <c r="FX88" t="s">
        <v>1310</v>
      </c>
      <c r="FY88" t="s">
        <v>1309</v>
      </c>
      <c r="FZ88" t="s">
        <v>1309</v>
      </c>
      <c r="GA88" t="s">
        <v>1310</v>
      </c>
      <c r="GB88" t="s">
        <v>1309</v>
      </c>
      <c r="GC88" t="s">
        <v>1309</v>
      </c>
      <c r="GD88" t="s">
        <v>1309</v>
      </c>
      <c r="GE88" t="s">
        <v>1309</v>
      </c>
      <c r="GF88" t="s">
        <v>1309</v>
      </c>
      <c r="GG88" t="s">
        <v>1309</v>
      </c>
      <c r="GI88" t="s">
        <v>1324</v>
      </c>
      <c r="GJ88" t="s">
        <v>1324</v>
      </c>
      <c r="GT88" t="s">
        <v>1325</v>
      </c>
      <c r="GU88" t="s">
        <v>1310</v>
      </c>
      <c r="GV88" t="s">
        <v>1309</v>
      </c>
      <c r="GW88" t="s">
        <v>1309</v>
      </c>
      <c r="GX88" t="s">
        <v>1309</v>
      </c>
      <c r="GY88" t="s">
        <v>1309</v>
      </c>
      <c r="GZ88" t="s">
        <v>1309</v>
      </c>
      <c r="HA88" t="s">
        <v>1309</v>
      </c>
      <c r="HB88" t="s">
        <v>1309</v>
      </c>
      <c r="HC88" t="s">
        <v>1309</v>
      </c>
      <c r="HD88" t="s">
        <v>1309</v>
      </c>
      <c r="HE88" t="s">
        <v>1309</v>
      </c>
      <c r="HF88" t="s">
        <v>1309</v>
      </c>
      <c r="HH88" t="s">
        <v>1390</v>
      </c>
      <c r="HI88" t="s">
        <v>1390</v>
      </c>
      <c r="HJ88" t="s">
        <v>1390</v>
      </c>
      <c r="HK88" t="s">
        <v>1390</v>
      </c>
      <c r="HL88" t="s">
        <v>1364</v>
      </c>
      <c r="HM88" t="s">
        <v>1390</v>
      </c>
      <c r="IA88" t="s">
        <v>1414</v>
      </c>
      <c r="IQ88" t="s">
        <v>1330</v>
      </c>
      <c r="IS88" t="s">
        <v>1316</v>
      </c>
      <c r="JF88" t="s">
        <v>1316</v>
      </c>
      <c r="JG88" t="s">
        <v>1451</v>
      </c>
      <c r="JH88" t="s">
        <v>1310</v>
      </c>
      <c r="JI88" t="s">
        <v>1309</v>
      </c>
      <c r="JJ88" t="s">
        <v>1309</v>
      </c>
      <c r="JK88" t="s">
        <v>1310</v>
      </c>
      <c r="JL88" t="s">
        <v>1309</v>
      </c>
      <c r="JM88" t="s">
        <v>1309</v>
      </c>
      <c r="JN88" t="s">
        <v>1309</v>
      </c>
      <c r="JO88" t="s">
        <v>1309</v>
      </c>
      <c r="JQ88" s="92" t="s">
        <v>1516</v>
      </c>
      <c r="JR88" s="92" t="s">
        <v>1849</v>
      </c>
      <c r="JS88" s="92">
        <v>66</v>
      </c>
      <c r="JT88" s="92" t="s">
        <v>1319</v>
      </c>
      <c r="JU88" s="92" t="s">
        <v>1335</v>
      </c>
      <c r="JV88" s="92" t="s">
        <v>1336</v>
      </c>
      <c r="JW88" s="92" t="s">
        <v>1296</v>
      </c>
      <c r="JX88" s="92" t="s">
        <v>70</v>
      </c>
      <c r="JY88" s="92" t="s">
        <v>5549</v>
      </c>
      <c r="JZ88" s="92" t="s">
        <v>1369</v>
      </c>
      <c r="KA88" s="92" t="s">
        <v>4845</v>
      </c>
      <c r="KB88" s="92" t="s">
        <v>1476</v>
      </c>
      <c r="KC88" s="92" t="s">
        <v>109</v>
      </c>
      <c r="KD88" s="92" t="s">
        <v>4847</v>
      </c>
      <c r="KE88" s="92" t="s">
        <v>1424</v>
      </c>
      <c r="KF88" s="92">
        <v>750</v>
      </c>
      <c r="KG88" s="92" t="s">
        <v>1372</v>
      </c>
      <c r="KH88" s="92" t="s">
        <v>192</v>
      </c>
      <c r="KI88" s="92" t="s">
        <v>109</v>
      </c>
      <c r="KJ88" s="92" t="s">
        <v>192</v>
      </c>
      <c r="KK88" s="92" t="s">
        <v>109</v>
      </c>
      <c r="KL88" s="92" t="s">
        <v>1374</v>
      </c>
      <c r="KM88" s="92">
        <v>700</v>
      </c>
      <c r="KN88" s="92" t="s">
        <v>1372</v>
      </c>
      <c r="KO88" s="92" t="s">
        <v>1374</v>
      </c>
      <c r="KP88" s="92" t="s">
        <v>1401</v>
      </c>
      <c r="KQ88" s="92" t="s">
        <v>192</v>
      </c>
      <c r="KR88" s="92"/>
      <c r="KS88" s="92" t="s">
        <v>1345</v>
      </c>
      <c r="KT88" s="92" t="s">
        <v>1344</v>
      </c>
      <c r="KU88" s="92"/>
      <c r="KV88" s="92" t="s">
        <v>1441</v>
      </c>
      <c r="KW88" s="92" t="s">
        <v>1402</v>
      </c>
      <c r="KX88" s="92" t="s">
        <v>1376</v>
      </c>
      <c r="KY88" s="92" t="s">
        <v>1377</v>
      </c>
      <c r="KZ88" s="92" t="s">
        <v>5795</v>
      </c>
      <c r="LA88" s="92" t="s">
        <v>192</v>
      </c>
      <c r="LB88" s="92" t="s">
        <v>192</v>
      </c>
      <c r="LC88" s="92" t="s">
        <v>4438</v>
      </c>
      <c r="LD88" s="92" t="s">
        <v>4438</v>
      </c>
      <c r="LE88" s="92" t="s">
        <v>109</v>
      </c>
      <c r="LF88" s="92" t="s">
        <v>109</v>
      </c>
    </row>
    <row r="89" spans="1:318" x14ac:dyDescent="0.25">
      <c r="A89" t="s">
        <v>1865</v>
      </c>
      <c r="B89" t="s">
        <v>1866</v>
      </c>
      <c r="C89" t="s">
        <v>1304</v>
      </c>
      <c r="D89" t="s">
        <v>1305</v>
      </c>
      <c r="E89" t="s">
        <v>1381</v>
      </c>
      <c r="G89" t="s">
        <v>1319</v>
      </c>
      <c r="H89">
        <v>2</v>
      </c>
      <c r="I89" t="s">
        <v>1358</v>
      </c>
      <c r="J89" t="s">
        <v>1308</v>
      </c>
      <c r="K89" t="s">
        <v>1309</v>
      </c>
      <c r="L89" t="s">
        <v>1309</v>
      </c>
      <c r="M89" t="s">
        <v>1309</v>
      </c>
      <c r="N89" t="s">
        <v>1309</v>
      </c>
      <c r="O89" t="s">
        <v>1309</v>
      </c>
      <c r="P89" t="s">
        <v>1309</v>
      </c>
      <c r="Q89" t="s">
        <v>1310</v>
      </c>
      <c r="R89" t="s">
        <v>1309</v>
      </c>
      <c r="U89" t="s">
        <v>1311</v>
      </c>
      <c r="V89" t="s">
        <v>1312</v>
      </c>
      <c r="W89" t="s">
        <v>1311</v>
      </c>
      <c r="X89" t="s">
        <v>1311</v>
      </c>
      <c r="Y89" t="s">
        <v>1312</v>
      </c>
      <c r="Z89" t="s">
        <v>1311</v>
      </c>
      <c r="AC89">
        <v>1</v>
      </c>
      <c r="AD89">
        <v>5000</v>
      </c>
      <c r="AE89">
        <v>3000</v>
      </c>
      <c r="AF89" t="s">
        <v>1351</v>
      </c>
      <c r="AH89" t="s">
        <v>1383</v>
      </c>
      <c r="AJ89" t="s">
        <v>1353</v>
      </c>
      <c r="AL89" t="s">
        <v>1316</v>
      </c>
      <c r="BA89" t="s">
        <v>1316</v>
      </c>
      <c r="BS89" t="s">
        <v>1307</v>
      </c>
      <c r="CE89" t="s">
        <v>1867</v>
      </c>
      <c r="CF89" t="s">
        <v>1309</v>
      </c>
      <c r="CG89" t="s">
        <v>1309</v>
      </c>
      <c r="CH89" t="s">
        <v>1309</v>
      </c>
      <c r="CI89" t="s">
        <v>1309</v>
      </c>
      <c r="CJ89" t="s">
        <v>1310</v>
      </c>
      <c r="CK89" t="s">
        <v>1309</v>
      </c>
      <c r="CL89" t="s">
        <v>1309</v>
      </c>
      <c r="CM89" t="s">
        <v>1309</v>
      </c>
      <c r="CN89" t="s">
        <v>1309</v>
      </c>
      <c r="CO89" t="s">
        <v>1310</v>
      </c>
      <c r="CP89" t="s">
        <v>1310</v>
      </c>
      <c r="CQ89" t="s">
        <v>1309</v>
      </c>
      <c r="CR89" t="s">
        <v>1309</v>
      </c>
      <c r="CS89" t="s">
        <v>1868</v>
      </c>
      <c r="CT89" t="s">
        <v>4433</v>
      </c>
      <c r="CV89" t="s">
        <v>1308</v>
      </c>
      <c r="CW89" t="s">
        <v>1310</v>
      </c>
      <c r="CX89" t="s">
        <v>1309</v>
      </c>
      <c r="CY89" t="s">
        <v>1309</v>
      </c>
      <c r="CZ89" t="s">
        <v>1309</v>
      </c>
      <c r="DA89" t="s">
        <v>1309</v>
      </c>
      <c r="DB89" t="s">
        <v>1309</v>
      </c>
      <c r="DC89" t="s">
        <v>1309</v>
      </c>
      <c r="DE89" t="s">
        <v>1358</v>
      </c>
      <c r="DF89" t="s">
        <v>1319</v>
      </c>
      <c r="DG89">
        <v>200</v>
      </c>
      <c r="DI89">
        <v>1000</v>
      </c>
      <c r="DJ89" t="s">
        <v>1358</v>
      </c>
      <c r="DK89">
        <v>200</v>
      </c>
      <c r="DM89">
        <v>1000</v>
      </c>
      <c r="DN89" t="s">
        <v>1320</v>
      </c>
      <c r="DO89" t="s">
        <v>1310</v>
      </c>
      <c r="DP89" t="s">
        <v>1309</v>
      </c>
      <c r="DQ89" t="s">
        <v>1309</v>
      </c>
      <c r="DR89" t="s">
        <v>1309</v>
      </c>
      <c r="DS89" t="s">
        <v>1309</v>
      </c>
      <c r="DT89" t="s">
        <v>1310</v>
      </c>
      <c r="DU89" t="s">
        <v>1309</v>
      </c>
      <c r="DV89" t="s">
        <v>1309</v>
      </c>
      <c r="DW89" t="s">
        <v>1309</v>
      </c>
      <c r="DY89" t="s">
        <v>1490</v>
      </c>
      <c r="DZ89">
        <v>400</v>
      </c>
      <c r="EA89" t="s">
        <v>1386</v>
      </c>
      <c r="EC89" t="s">
        <v>1322</v>
      </c>
      <c r="ED89">
        <v>500</v>
      </c>
      <c r="EE89" t="s">
        <v>1386</v>
      </c>
      <c r="EG89" t="s">
        <v>5356</v>
      </c>
      <c r="EI89" t="s">
        <v>1307</v>
      </c>
      <c r="ET89" t="s">
        <v>1434</v>
      </c>
      <c r="EV89" t="s">
        <v>1307</v>
      </c>
      <c r="EX89" t="s">
        <v>1319</v>
      </c>
      <c r="EY89" t="s">
        <v>1319</v>
      </c>
      <c r="FA89" t="s">
        <v>1869</v>
      </c>
      <c r="FB89" t="s">
        <v>1310</v>
      </c>
      <c r="FC89" t="s">
        <v>1309</v>
      </c>
      <c r="FD89" t="s">
        <v>1310</v>
      </c>
      <c r="FE89" t="s">
        <v>1310</v>
      </c>
      <c r="FF89" t="s">
        <v>1309</v>
      </c>
      <c r="FG89" t="s">
        <v>1310</v>
      </c>
      <c r="FH89" t="s">
        <v>1309</v>
      </c>
      <c r="FI89" t="s">
        <v>1309</v>
      </c>
      <c r="FJ89" t="s">
        <v>1309</v>
      </c>
      <c r="FK89" t="s">
        <v>1310</v>
      </c>
      <c r="FL89" t="s">
        <v>1309</v>
      </c>
      <c r="FM89" t="s">
        <v>1309</v>
      </c>
      <c r="FN89" t="s">
        <v>1309</v>
      </c>
      <c r="FO89" t="s">
        <v>1309</v>
      </c>
      <c r="FP89" t="s">
        <v>1309</v>
      </c>
      <c r="FQ89" t="s">
        <v>1309</v>
      </c>
      <c r="FR89" t="s">
        <v>1309</v>
      </c>
      <c r="FT89" t="s">
        <v>1319</v>
      </c>
      <c r="FU89" t="s">
        <v>1649</v>
      </c>
      <c r="FV89" t="s">
        <v>1310</v>
      </c>
      <c r="FW89" t="s">
        <v>1310</v>
      </c>
      <c r="FX89" t="s">
        <v>1309</v>
      </c>
      <c r="FY89" t="s">
        <v>1309</v>
      </c>
      <c r="FZ89" t="s">
        <v>1309</v>
      </c>
      <c r="GA89" t="s">
        <v>1309</v>
      </c>
      <c r="GB89" t="s">
        <v>1309</v>
      </c>
      <c r="GC89" t="s">
        <v>1309</v>
      </c>
      <c r="GD89" t="s">
        <v>1309</v>
      </c>
      <c r="GE89" t="s">
        <v>1309</v>
      </c>
      <c r="GF89" t="s">
        <v>1309</v>
      </c>
      <c r="GG89" t="s">
        <v>1309</v>
      </c>
      <c r="GI89" t="s">
        <v>1324</v>
      </c>
      <c r="GJ89" t="s">
        <v>1324</v>
      </c>
      <c r="GT89" t="s">
        <v>1325</v>
      </c>
      <c r="GU89" t="s">
        <v>1310</v>
      </c>
      <c r="GV89" t="s">
        <v>1309</v>
      </c>
      <c r="GW89" t="s">
        <v>1309</v>
      </c>
      <c r="GX89" t="s">
        <v>1309</v>
      </c>
      <c r="GY89" t="s">
        <v>1309</v>
      </c>
      <c r="GZ89" t="s">
        <v>1309</v>
      </c>
      <c r="HA89" t="s">
        <v>1309</v>
      </c>
      <c r="HB89" t="s">
        <v>1309</v>
      </c>
      <c r="HC89" t="s">
        <v>1309</v>
      </c>
      <c r="HD89" t="s">
        <v>1309</v>
      </c>
      <c r="HE89" t="s">
        <v>1309</v>
      </c>
      <c r="HF89" t="s">
        <v>1309</v>
      </c>
      <c r="HH89" t="s">
        <v>1390</v>
      </c>
      <c r="HI89" t="s">
        <v>1327</v>
      </c>
      <c r="HJ89" t="s">
        <v>1390</v>
      </c>
      <c r="HK89" t="s">
        <v>1327</v>
      </c>
      <c r="HL89" t="s">
        <v>1437</v>
      </c>
      <c r="HM89" t="s">
        <v>1390</v>
      </c>
      <c r="HN89" t="s">
        <v>1549</v>
      </c>
      <c r="HO89" t="s">
        <v>1310</v>
      </c>
      <c r="HP89" t="s">
        <v>1310</v>
      </c>
      <c r="HQ89" t="s">
        <v>1309</v>
      </c>
      <c r="HR89" t="s">
        <v>1309</v>
      </c>
      <c r="HS89" t="s">
        <v>1309</v>
      </c>
      <c r="HT89" t="s">
        <v>1309</v>
      </c>
      <c r="HU89" t="s">
        <v>1309</v>
      </c>
      <c r="HV89" t="s">
        <v>1309</v>
      </c>
      <c r="HW89" t="s">
        <v>1309</v>
      </c>
      <c r="HX89" t="s">
        <v>1309</v>
      </c>
      <c r="HY89" t="s">
        <v>1309</v>
      </c>
      <c r="IA89" t="s">
        <v>1319</v>
      </c>
      <c r="IB89" t="s">
        <v>1870</v>
      </c>
      <c r="IC89" t="s">
        <v>1309</v>
      </c>
      <c r="ID89" t="s">
        <v>1309</v>
      </c>
      <c r="IE89" t="s">
        <v>1309</v>
      </c>
      <c r="IF89" t="s">
        <v>1310</v>
      </c>
      <c r="IG89" t="s">
        <v>1310</v>
      </c>
      <c r="IH89" t="s">
        <v>1309</v>
      </c>
      <c r="II89" t="s">
        <v>1309</v>
      </c>
      <c r="IJ89" t="s">
        <v>1309</v>
      </c>
      <c r="IK89" t="s">
        <v>1309</v>
      </c>
      <c r="IL89" t="s">
        <v>1309</v>
      </c>
      <c r="IM89" t="s">
        <v>1309</v>
      </c>
      <c r="IN89" t="s">
        <v>1309</v>
      </c>
      <c r="IO89" t="s">
        <v>1309</v>
      </c>
      <c r="IQ89" t="s">
        <v>1330</v>
      </c>
      <c r="IS89" t="s">
        <v>1316</v>
      </c>
      <c r="JF89" t="s">
        <v>1316</v>
      </c>
      <c r="JG89" t="s">
        <v>1523</v>
      </c>
      <c r="JH89" t="s">
        <v>1309</v>
      </c>
      <c r="JI89" t="s">
        <v>1309</v>
      </c>
      <c r="JJ89" t="s">
        <v>1309</v>
      </c>
      <c r="JK89" t="s">
        <v>1310</v>
      </c>
      <c r="JL89" t="s">
        <v>1309</v>
      </c>
      <c r="JM89" t="s">
        <v>1309</v>
      </c>
      <c r="JN89" t="s">
        <v>1309</v>
      </c>
      <c r="JO89" t="s">
        <v>1309</v>
      </c>
      <c r="JQ89" s="92" t="s">
        <v>1721</v>
      </c>
      <c r="JR89" s="92" t="s">
        <v>1871</v>
      </c>
      <c r="JS89" s="92">
        <v>46</v>
      </c>
      <c r="JT89" s="92" t="s">
        <v>1319</v>
      </c>
      <c r="JU89" s="92" t="s">
        <v>1575</v>
      </c>
      <c r="JV89" s="92" t="s">
        <v>1526</v>
      </c>
      <c r="JW89" s="92" t="s">
        <v>1296</v>
      </c>
      <c r="JX89" s="92" t="s">
        <v>70</v>
      </c>
      <c r="JY89" s="92" t="s">
        <v>1397</v>
      </c>
      <c r="JZ89" s="92" t="s">
        <v>1337</v>
      </c>
      <c r="KA89" s="92" t="s">
        <v>4845</v>
      </c>
      <c r="KB89" s="92" t="s">
        <v>1338</v>
      </c>
      <c r="KC89" s="92" t="s">
        <v>109</v>
      </c>
      <c r="KD89" s="92" t="s">
        <v>4844</v>
      </c>
      <c r="KE89" s="92" t="s">
        <v>5560</v>
      </c>
      <c r="KF89" s="92">
        <v>1200</v>
      </c>
      <c r="KG89" s="92" t="s">
        <v>4438</v>
      </c>
      <c r="KH89" s="92" t="s">
        <v>192</v>
      </c>
      <c r="KI89" s="92" t="s">
        <v>109</v>
      </c>
      <c r="KJ89" s="92" t="s">
        <v>192</v>
      </c>
      <c r="KK89" s="92" t="s">
        <v>109</v>
      </c>
      <c r="KL89" s="92" t="s">
        <v>1440</v>
      </c>
      <c r="KM89" s="92">
        <v>1200</v>
      </c>
      <c r="KN89" s="92" t="s">
        <v>4438</v>
      </c>
      <c r="KO89" s="92" t="s">
        <v>1440</v>
      </c>
      <c r="KP89" s="92" t="s">
        <v>1561</v>
      </c>
      <c r="KQ89" s="92" t="s">
        <v>192</v>
      </c>
      <c r="KR89" s="92">
        <v>33</v>
      </c>
      <c r="KS89" s="92" t="s">
        <v>1343</v>
      </c>
      <c r="KT89" s="92" t="s">
        <v>1402</v>
      </c>
      <c r="KU89" s="92">
        <v>42</v>
      </c>
      <c r="KV89" s="92" t="s">
        <v>1345</v>
      </c>
      <c r="KW89" s="92" t="s">
        <v>1402</v>
      </c>
      <c r="KX89" s="92" t="s">
        <v>1346</v>
      </c>
      <c r="KY89" s="92" t="s">
        <v>1347</v>
      </c>
      <c r="KZ89" s="92" t="s">
        <v>1403</v>
      </c>
      <c r="LA89" s="92" t="s">
        <v>109</v>
      </c>
      <c r="LB89" s="92" t="s">
        <v>109</v>
      </c>
      <c r="LC89" s="92" t="s">
        <v>4439</v>
      </c>
      <c r="LD89" s="92" t="s">
        <v>4439</v>
      </c>
      <c r="LE89" s="92" t="s">
        <v>109</v>
      </c>
      <c r="LF89" s="92" t="s">
        <v>109</v>
      </c>
    </row>
    <row r="90" spans="1:318" x14ac:dyDescent="0.25">
      <c r="A90" t="s">
        <v>1872</v>
      </c>
      <c r="B90" t="s">
        <v>1873</v>
      </c>
      <c r="C90" t="s">
        <v>1304</v>
      </c>
      <c r="D90" t="s">
        <v>1305</v>
      </c>
      <c r="E90" t="s">
        <v>1381</v>
      </c>
      <c r="G90" t="s">
        <v>1319</v>
      </c>
      <c r="H90">
        <v>4</v>
      </c>
      <c r="I90" t="s">
        <v>1358</v>
      </c>
      <c r="J90" t="s">
        <v>1406</v>
      </c>
      <c r="K90" t="s">
        <v>1309</v>
      </c>
      <c r="L90" t="s">
        <v>1310</v>
      </c>
      <c r="M90" t="s">
        <v>1309</v>
      </c>
      <c r="N90" t="s">
        <v>1309</v>
      </c>
      <c r="O90" t="s">
        <v>1309</v>
      </c>
      <c r="P90" t="s">
        <v>1309</v>
      </c>
      <c r="Q90" t="s">
        <v>1309</v>
      </c>
      <c r="R90" t="s">
        <v>1309</v>
      </c>
      <c r="S90">
        <v>2</v>
      </c>
      <c r="U90" t="s">
        <v>1312</v>
      </c>
      <c r="V90" t="s">
        <v>1312</v>
      </c>
      <c r="W90" t="s">
        <v>1312</v>
      </c>
      <c r="X90" t="s">
        <v>1312</v>
      </c>
      <c r="Y90" t="s">
        <v>1312</v>
      </c>
      <c r="Z90" t="s">
        <v>1312</v>
      </c>
      <c r="AC90">
        <v>2</v>
      </c>
      <c r="AD90">
        <v>5500</v>
      </c>
      <c r="AE90">
        <v>5000</v>
      </c>
      <c r="AF90" t="s">
        <v>1313</v>
      </c>
      <c r="AH90" t="s">
        <v>1383</v>
      </c>
      <c r="AJ90" t="s">
        <v>1315</v>
      </c>
      <c r="AL90" t="s">
        <v>1354</v>
      </c>
      <c r="BS90" t="s">
        <v>1307</v>
      </c>
      <c r="CE90" t="s">
        <v>1355</v>
      </c>
      <c r="CF90" t="s">
        <v>1309</v>
      </c>
      <c r="CG90" t="s">
        <v>1309</v>
      </c>
      <c r="CH90" t="s">
        <v>1309</v>
      </c>
      <c r="CI90" t="s">
        <v>1309</v>
      </c>
      <c r="CJ90" t="s">
        <v>1309</v>
      </c>
      <c r="CK90" t="s">
        <v>1309</v>
      </c>
      <c r="CL90" t="s">
        <v>1309</v>
      </c>
      <c r="CM90" t="s">
        <v>1309</v>
      </c>
      <c r="CN90" t="s">
        <v>1310</v>
      </c>
      <c r="CO90" t="s">
        <v>1309</v>
      </c>
      <c r="CP90" t="s">
        <v>1309</v>
      </c>
      <c r="CQ90" t="s">
        <v>1309</v>
      </c>
      <c r="CR90" t="s">
        <v>1309</v>
      </c>
      <c r="CT90" t="s">
        <v>4434</v>
      </c>
      <c r="CV90" t="s">
        <v>1308</v>
      </c>
      <c r="CW90" t="s">
        <v>1310</v>
      </c>
      <c r="CX90" t="s">
        <v>1309</v>
      </c>
      <c r="CY90" t="s">
        <v>1309</v>
      </c>
      <c r="CZ90" t="s">
        <v>1309</v>
      </c>
      <c r="DA90" t="s">
        <v>1309</v>
      </c>
      <c r="DB90" t="s">
        <v>1309</v>
      </c>
      <c r="DC90" t="s">
        <v>1309</v>
      </c>
      <c r="DE90" t="s">
        <v>1358</v>
      </c>
      <c r="DG90">
        <v>2400</v>
      </c>
      <c r="DI90">
        <v>300</v>
      </c>
      <c r="DJ90" t="s">
        <v>1318</v>
      </c>
      <c r="DK90">
        <v>1300</v>
      </c>
      <c r="DN90" t="s">
        <v>1676</v>
      </c>
      <c r="DO90" t="s">
        <v>1309</v>
      </c>
      <c r="DP90" t="s">
        <v>1309</v>
      </c>
      <c r="DQ90" t="s">
        <v>1309</v>
      </c>
      <c r="DR90" t="s">
        <v>1309</v>
      </c>
      <c r="DS90" t="s">
        <v>1310</v>
      </c>
      <c r="DT90" t="s">
        <v>1310</v>
      </c>
      <c r="DU90" t="s">
        <v>1309</v>
      </c>
      <c r="DV90" t="s">
        <v>1309</v>
      </c>
      <c r="DW90" t="s">
        <v>1309</v>
      </c>
      <c r="DY90" t="s">
        <v>1322</v>
      </c>
      <c r="DZ90">
        <v>300</v>
      </c>
      <c r="EA90" t="s">
        <v>1319</v>
      </c>
      <c r="EC90" t="s">
        <v>1322</v>
      </c>
      <c r="ED90">
        <v>1000</v>
      </c>
      <c r="EE90" t="s">
        <v>1319</v>
      </c>
      <c r="EG90" t="s">
        <v>5356</v>
      </c>
      <c r="EI90" t="s">
        <v>1307</v>
      </c>
      <c r="ET90" t="s">
        <v>1307</v>
      </c>
      <c r="EV90" t="s">
        <v>1319</v>
      </c>
      <c r="EW90" t="s">
        <v>1421</v>
      </c>
      <c r="EX90" t="s">
        <v>1319</v>
      </c>
      <c r="EY90" t="s">
        <v>1319</v>
      </c>
      <c r="FA90" t="s">
        <v>1323</v>
      </c>
      <c r="FB90" t="s">
        <v>1310</v>
      </c>
      <c r="FC90" t="s">
        <v>1309</v>
      </c>
      <c r="FD90" t="s">
        <v>1309</v>
      </c>
      <c r="FE90" t="s">
        <v>1309</v>
      </c>
      <c r="FF90" t="s">
        <v>1309</v>
      </c>
      <c r="FG90" t="s">
        <v>1309</v>
      </c>
      <c r="FH90" t="s">
        <v>1309</v>
      </c>
      <c r="FI90" t="s">
        <v>1309</v>
      </c>
      <c r="FJ90" t="s">
        <v>1309</v>
      </c>
      <c r="FK90" t="s">
        <v>1309</v>
      </c>
      <c r="FL90" t="s">
        <v>1309</v>
      </c>
      <c r="FM90" t="s">
        <v>1309</v>
      </c>
      <c r="FN90" t="s">
        <v>1309</v>
      </c>
      <c r="FO90" t="s">
        <v>1309</v>
      </c>
      <c r="FP90" t="s">
        <v>1309</v>
      </c>
      <c r="FQ90" t="s">
        <v>1309</v>
      </c>
      <c r="FR90" t="s">
        <v>1309</v>
      </c>
      <c r="FT90" t="s">
        <v>1307</v>
      </c>
      <c r="GI90" t="s">
        <v>1324</v>
      </c>
      <c r="GJ90" t="s">
        <v>1324</v>
      </c>
      <c r="GT90" t="s">
        <v>1325</v>
      </c>
      <c r="GU90" t="s">
        <v>1310</v>
      </c>
      <c r="GV90" t="s">
        <v>1309</v>
      </c>
      <c r="GW90" t="s">
        <v>1309</v>
      </c>
      <c r="GX90" t="s">
        <v>1309</v>
      </c>
      <c r="GY90" t="s">
        <v>1309</v>
      </c>
      <c r="GZ90" t="s">
        <v>1309</v>
      </c>
      <c r="HA90" t="s">
        <v>1309</v>
      </c>
      <c r="HB90" t="s">
        <v>1309</v>
      </c>
      <c r="HC90" t="s">
        <v>1309</v>
      </c>
      <c r="HD90" t="s">
        <v>1309</v>
      </c>
      <c r="HE90" t="s">
        <v>1309</v>
      </c>
      <c r="HF90" t="s">
        <v>1309</v>
      </c>
      <c r="HH90" t="s">
        <v>1390</v>
      </c>
      <c r="HI90" t="s">
        <v>1326</v>
      </c>
      <c r="HJ90" t="s">
        <v>1326</v>
      </c>
      <c r="HK90" t="s">
        <v>1327</v>
      </c>
      <c r="HL90" t="s">
        <v>1364</v>
      </c>
      <c r="HM90" t="s">
        <v>1390</v>
      </c>
      <c r="IA90" t="s">
        <v>1307</v>
      </c>
      <c r="IQ90" t="s">
        <v>1365</v>
      </c>
      <c r="IS90" t="s">
        <v>1316</v>
      </c>
      <c r="JF90" t="s">
        <v>1331</v>
      </c>
      <c r="JG90" t="s">
        <v>1523</v>
      </c>
      <c r="JH90" t="s">
        <v>1309</v>
      </c>
      <c r="JI90" t="s">
        <v>1309</v>
      </c>
      <c r="JJ90" t="s">
        <v>1309</v>
      </c>
      <c r="JK90" t="s">
        <v>1310</v>
      </c>
      <c r="JL90" t="s">
        <v>1309</v>
      </c>
      <c r="JM90" t="s">
        <v>1309</v>
      </c>
      <c r="JN90" t="s">
        <v>1309</v>
      </c>
      <c r="JO90" t="s">
        <v>1309</v>
      </c>
      <c r="JQ90" s="92" t="s">
        <v>1333</v>
      </c>
      <c r="JR90" s="92" t="s">
        <v>1334</v>
      </c>
      <c r="JS90" s="92">
        <v>43</v>
      </c>
      <c r="JT90" s="92" t="s">
        <v>1319</v>
      </c>
      <c r="JU90" s="92" t="s">
        <v>1396</v>
      </c>
      <c r="JV90" s="92" t="s">
        <v>1336</v>
      </c>
      <c r="JW90" s="92" t="s">
        <v>1296</v>
      </c>
      <c r="JX90" s="92" t="s">
        <v>71</v>
      </c>
      <c r="JY90" s="92" t="s">
        <v>1397</v>
      </c>
      <c r="JZ90" s="92" t="s">
        <v>1337</v>
      </c>
      <c r="KA90" s="92" t="s">
        <v>4845</v>
      </c>
      <c r="KB90" s="92" t="s">
        <v>1415</v>
      </c>
      <c r="KC90" s="92" t="s">
        <v>109</v>
      </c>
      <c r="KD90" s="92" t="s">
        <v>4847</v>
      </c>
      <c r="KE90" s="92" t="s">
        <v>1424</v>
      </c>
      <c r="KF90" s="92">
        <v>2700</v>
      </c>
      <c r="KG90" s="92" t="s">
        <v>4439</v>
      </c>
      <c r="KH90" s="92" t="s">
        <v>192</v>
      </c>
      <c r="KI90" s="92" t="s">
        <v>109</v>
      </c>
      <c r="KJ90" s="92" t="s">
        <v>192</v>
      </c>
      <c r="KK90" s="92" t="s">
        <v>109</v>
      </c>
      <c r="KL90" s="92" t="s">
        <v>1425</v>
      </c>
      <c r="KM90" s="92">
        <v>1300</v>
      </c>
      <c r="KN90" s="92" t="s">
        <v>4438</v>
      </c>
      <c r="KO90" s="92" t="s">
        <v>1440</v>
      </c>
      <c r="KP90" s="92" t="s">
        <v>1460</v>
      </c>
      <c r="KQ90" s="92" t="s">
        <v>192</v>
      </c>
      <c r="KR90" s="92">
        <v>11</v>
      </c>
      <c r="KS90" s="92" t="s">
        <v>1343</v>
      </c>
      <c r="KT90" s="92" t="s">
        <v>1344</v>
      </c>
      <c r="KU90" s="92">
        <v>77</v>
      </c>
      <c r="KV90" s="92" t="s">
        <v>1461</v>
      </c>
      <c r="KW90" s="92" t="s">
        <v>1344</v>
      </c>
      <c r="KX90" s="92" t="s">
        <v>1799</v>
      </c>
      <c r="KY90" s="92" t="s">
        <v>1347</v>
      </c>
      <c r="KZ90" s="92" t="s">
        <v>1403</v>
      </c>
      <c r="LA90" s="92" t="s">
        <v>109</v>
      </c>
      <c r="LB90" s="92" t="s">
        <v>109</v>
      </c>
      <c r="LC90" s="92" t="s">
        <v>4439</v>
      </c>
      <c r="LD90" s="92" t="s">
        <v>4438</v>
      </c>
      <c r="LE90" s="92" t="s">
        <v>192</v>
      </c>
      <c r="LF90" s="92" t="s">
        <v>192</v>
      </c>
    </row>
    <row r="91" spans="1:318" x14ac:dyDescent="0.25">
      <c r="A91" t="s">
        <v>1874</v>
      </c>
      <c r="B91" t="s">
        <v>1875</v>
      </c>
      <c r="C91" t="s">
        <v>1304</v>
      </c>
      <c r="D91" t="s">
        <v>1429</v>
      </c>
      <c r="E91" t="s">
        <v>1306</v>
      </c>
      <c r="G91" t="s">
        <v>1307</v>
      </c>
      <c r="H91">
        <v>2</v>
      </c>
      <c r="I91" t="s">
        <v>1307</v>
      </c>
      <c r="J91" t="s">
        <v>1430</v>
      </c>
      <c r="K91" t="s">
        <v>1309</v>
      </c>
      <c r="L91" t="s">
        <v>1309</v>
      </c>
      <c r="M91" t="s">
        <v>1310</v>
      </c>
      <c r="N91" t="s">
        <v>1309</v>
      </c>
      <c r="O91" t="s">
        <v>1309</v>
      </c>
      <c r="P91" t="s">
        <v>1309</v>
      </c>
      <c r="Q91" t="s">
        <v>1309</v>
      </c>
      <c r="R91" t="s">
        <v>1309</v>
      </c>
      <c r="T91">
        <v>2</v>
      </c>
      <c r="U91" t="s">
        <v>1312</v>
      </c>
      <c r="V91" t="s">
        <v>1312</v>
      </c>
      <c r="W91" t="s">
        <v>1312</v>
      </c>
      <c r="X91" t="s">
        <v>1312</v>
      </c>
      <c r="Y91" t="s">
        <v>1312</v>
      </c>
      <c r="Z91" t="s">
        <v>1312</v>
      </c>
      <c r="AC91">
        <v>1</v>
      </c>
      <c r="AD91">
        <v>3000</v>
      </c>
      <c r="AE91">
        <v>2000</v>
      </c>
      <c r="AF91" t="s">
        <v>1351</v>
      </c>
      <c r="AH91" t="s">
        <v>1314</v>
      </c>
      <c r="AJ91" t="s">
        <v>1315</v>
      </c>
      <c r="AL91" t="s">
        <v>1316</v>
      </c>
      <c r="BS91" t="s">
        <v>1307</v>
      </c>
      <c r="CE91" t="s">
        <v>1597</v>
      </c>
      <c r="CF91" t="s">
        <v>1309</v>
      </c>
      <c r="CG91" t="s">
        <v>1309</v>
      </c>
      <c r="CH91" t="s">
        <v>1309</v>
      </c>
      <c r="CI91" t="s">
        <v>1309</v>
      </c>
      <c r="CJ91" t="s">
        <v>1309</v>
      </c>
      <c r="CK91" t="s">
        <v>1309</v>
      </c>
      <c r="CL91" t="s">
        <v>1310</v>
      </c>
      <c r="CM91" t="s">
        <v>1309</v>
      </c>
      <c r="CN91" t="s">
        <v>1309</v>
      </c>
      <c r="CO91" t="s">
        <v>1309</v>
      </c>
      <c r="CP91" t="s">
        <v>1309</v>
      </c>
      <c r="CQ91" t="s">
        <v>1309</v>
      </c>
      <c r="CR91" t="s">
        <v>1309</v>
      </c>
      <c r="CT91" t="s">
        <v>4436</v>
      </c>
      <c r="CV91" t="s">
        <v>1308</v>
      </c>
      <c r="CW91" t="s">
        <v>1310</v>
      </c>
      <c r="CX91" t="s">
        <v>1309</v>
      </c>
      <c r="CY91" t="s">
        <v>1309</v>
      </c>
      <c r="CZ91" t="s">
        <v>1309</v>
      </c>
      <c r="DA91" t="s">
        <v>1309</v>
      </c>
      <c r="DB91" t="s">
        <v>1309</v>
      </c>
      <c r="DC91" t="s">
        <v>1309</v>
      </c>
      <c r="DE91" t="s">
        <v>1358</v>
      </c>
      <c r="DF91" t="s">
        <v>1319</v>
      </c>
      <c r="DG91">
        <v>300</v>
      </c>
      <c r="DI91">
        <v>300</v>
      </c>
      <c r="DJ91" t="s">
        <v>1358</v>
      </c>
      <c r="DK91">
        <v>300</v>
      </c>
      <c r="DM91">
        <v>300</v>
      </c>
      <c r="DN91" t="s">
        <v>1320</v>
      </c>
      <c r="DO91" t="s">
        <v>1310</v>
      </c>
      <c r="DP91" t="s">
        <v>1309</v>
      </c>
      <c r="DQ91" t="s">
        <v>1309</v>
      </c>
      <c r="DR91" t="s">
        <v>1309</v>
      </c>
      <c r="DS91" t="s">
        <v>1309</v>
      </c>
      <c r="DT91" t="s">
        <v>1310</v>
      </c>
      <c r="DU91" t="s">
        <v>1309</v>
      </c>
      <c r="DV91" t="s">
        <v>1309</v>
      </c>
      <c r="DW91" t="s">
        <v>1309</v>
      </c>
      <c r="DY91" t="s">
        <v>1408</v>
      </c>
      <c r="DZ91">
        <v>400</v>
      </c>
      <c r="EA91" t="s">
        <v>1386</v>
      </c>
      <c r="EC91" t="s">
        <v>1738</v>
      </c>
      <c r="ED91">
        <v>800</v>
      </c>
      <c r="EE91" t="s">
        <v>1386</v>
      </c>
      <c r="EG91" t="s">
        <v>5356</v>
      </c>
      <c r="EI91" t="s">
        <v>1307</v>
      </c>
      <c r="ET91" t="s">
        <v>1434</v>
      </c>
      <c r="EV91" t="s">
        <v>1319</v>
      </c>
      <c r="EW91" t="s">
        <v>1529</v>
      </c>
      <c r="EX91" t="s">
        <v>1319</v>
      </c>
      <c r="EY91" t="s">
        <v>1319</v>
      </c>
      <c r="EZ91" t="s">
        <v>1319</v>
      </c>
      <c r="FA91" t="s">
        <v>1876</v>
      </c>
      <c r="FB91" t="s">
        <v>1309</v>
      </c>
      <c r="FC91" t="s">
        <v>1310</v>
      </c>
      <c r="FD91" t="s">
        <v>1309</v>
      </c>
      <c r="FE91" t="s">
        <v>1309</v>
      </c>
      <c r="FF91" t="s">
        <v>1310</v>
      </c>
      <c r="FG91" t="s">
        <v>1310</v>
      </c>
      <c r="FH91" t="s">
        <v>1309</v>
      </c>
      <c r="FI91" t="s">
        <v>1310</v>
      </c>
      <c r="FJ91" t="s">
        <v>1309</v>
      </c>
      <c r="FK91" t="s">
        <v>1310</v>
      </c>
      <c r="FL91" t="s">
        <v>1309</v>
      </c>
      <c r="FM91" t="s">
        <v>1309</v>
      </c>
      <c r="FN91" t="s">
        <v>1310</v>
      </c>
      <c r="FO91" t="s">
        <v>1309</v>
      </c>
      <c r="FP91" t="s">
        <v>1309</v>
      </c>
      <c r="FQ91" t="s">
        <v>1309</v>
      </c>
      <c r="FR91" t="s">
        <v>1309</v>
      </c>
      <c r="FT91" t="s">
        <v>1307</v>
      </c>
      <c r="GI91" t="s">
        <v>1324</v>
      </c>
      <c r="GJ91" t="s">
        <v>1324</v>
      </c>
      <c r="GT91" t="s">
        <v>1325</v>
      </c>
      <c r="GU91" t="s">
        <v>1310</v>
      </c>
      <c r="GV91" t="s">
        <v>1309</v>
      </c>
      <c r="GW91" t="s">
        <v>1309</v>
      </c>
      <c r="GX91" t="s">
        <v>1309</v>
      </c>
      <c r="GY91" t="s">
        <v>1309</v>
      </c>
      <c r="GZ91" t="s">
        <v>1309</v>
      </c>
      <c r="HA91" t="s">
        <v>1309</v>
      </c>
      <c r="HB91" t="s">
        <v>1309</v>
      </c>
      <c r="HC91" t="s">
        <v>1309</v>
      </c>
      <c r="HD91" t="s">
        <v>1309</v>
      </c>
      <c r="HE91" t="s">
        <v>1309</v>
      </c>
      <c r="HF91" t="s">
        <v>1309</v>
      </c>
      <c r="HH91" t="s">
        <v>1390</v>
      </c>
      <c r="HI91" t="s">
        <v>1327</v>
      </c>
      <c r="HJ91" t="s">
        <v>1390</v>
      </c>
      <c r="HK91" t="s">
        <v>1327</v>
      </c>
      <c r="HL91" t="s">
        <v>1364</v>
      </c>
      <c r="HM91" t="s">
        <v>1390</v>
      </c>
      <c r="IA91" t="s">
        <v>1319</v>
      </c>
      <c r="IB91" t="s">
        <v>1540</v>
      </c>
      <c r="IC91" t="s">
        <v>1309</v>
      </c>
      <c r="ID91" t="s">
        <v>1309</v>
      </c>
      <c r="IE91" t="s">
        <v>1309</v>
      </c>
      <c r="IF91" t="s">
        <v>1309</v>
      </c>
      <c r="IG91" t="s">
        <v>1310</v>
      </c>
      <c r="IH91" t="s">
        <v>1309</v>
      </c>
      <c r="II91" t="s">
        <v>1310</v>
      </c>
      <c r="IJ91" t="s">
        <v>1309</v>
      </c>
      <c r="IK91" t="s">
        <v>1310</v>
      </c>
      <c r="IL91" t="s">
        <v>1309</v>
      </c>
      <c r="IM91" t="s">
        <v>1309</v>
      </c>
      <c r="IN91" t="s">
        <v>1309</v>
      </c>
      <c r="IO91" t="s">
        <v>1309</v>
      </c>
      <c r="IQ91" t="s">
        <v>1330</v>
      </c>
      <c r="IS91" t="s">
        <v>1316</v>
      </c>
      <c r="JF91" t="s">
        <v>1316</v>
      </c>
      <c r="JG91" t="s">
        <v>1393</v>
      </c>
      <c r="JH91" t="s">
        <v>1310</v>
      </c>
      <c r="JI91" t="s">
        <v>1309</v>
      </c>
      <c r="JJ91" t="s">
        <v>1309</v>
      </c>
      <c r="JK91" t="s">
        <v>1309</v>
      </c>
      <c r="JL91" t="s">
        <v>1309</v>
      </c>
      <c r="JM91" t="s">
        <v>1309</v>
      </c>
      <c r="JN91" t="s">
        <v>1309</v>
      </c>
      <c r="JO91" t="s">
        <v>1309</v>
      </c>
      <c r="JQ91" s="92" t="s">
        <v>1366</v>
      </c>
      <c r="JR91" s="92" t="s">
        <v>1741</v>
      </c>
      <c r="JS91" s="92">
        <v>68</v>
      </c>
      <c r="JT91" s="92" t="s">
        <v>1319</v>
      </c>
      <c r="JU91" s="92" t="s">
        <v>1335</v>
      </c>
      <c r="JV91" s="92" t="s">
        <v>1368</v>
      </c>
      <c r="JW91" s="92" t="s">
        <v>1296</v>
      </c>
      <c r="JX91" s="92" t="s">
        <v>70</v>
      </c>
      <c r="JY91" s="92" t="s">
        <v>5549</v>
      </c>
      <c r="JZ91" s="92" t="s">
        <v>1369</v>
      </c>
      <c r="KA91" s="92" t="s">
        <v>4845</v>
      </c>
      <c r="KB91" s="92" t="s">
        <v>1476</v>
      </c>
      <c r="KC91" s="92" t="s">
        <v>109</v>
      </c>
      <c r="KD91" s="92" t="s">
        <v>4844</v>
      </c>
      <c r="KE91" s="92" t="s">
        <v>5560</v>
      </c>
      <c r="KF91" s="92">
        <v>600</v>
      </c>
      <c r="KG91" s="92" t="s">
        <v>4438</v>
      </c>
      <c r="KH91" s="92" t="s">
        <v>192</v>
      </c>
      <c r="KI91" s="92" t="s">
        <v>109</v>
      </c>
      <c r="KJ91" s="92" t="s">
        <v>192</v>
      </c>
      <c r="KK91" s="92" t="s">
        <v>109</v>
      </c>
      <c r="KL91" s="92" t="s">
        <v>1374</v>
      </c>
      <c r="KM91" s="92">
        <v>600</v>
      </c>
      <c r="KN91" s="92" t="s">
        <v>4438</v>
      </c>
      <c r="KO91" s="92" t="s">
        <v>1374</v>
      </c>
      <c r="KP91" s="92" t="s">
        <v>1401</v>
      </c>
      <c r="KQ91" s="92" t="s">
        <v>192</v>
      </c>
      <c r="KR91" s="92"/>
      <c r="KS91" s="92" t="s">
        <v>1343</v>
      </c>
      <c r="KT91" s="92" t="s">
        <v>1402</v>
      </c>
      <c r="KU91" s="92"/>
      <c r="KV91" s="92" t="s">
        <v>1441</v>
      </c>
      <c r="KW91" s="92" t="s">
        <v>1402</v>
      </c>
      <c r="KX91" s="92" t="s">
        <v>1346</v>
      </c>
      <c r="KY91" s="92" t="s">
        <v>1347</v>
      </c>
      <c r="KZ91" s="92" t="s">
        <v>5795</v>
      </c>
      <c r="LA91" s="92" t="s">
        <v>109</v>
      </c>
      <c r="LB91" s="92" t="s">
        <v>109</v>
      </c>
      <c r="LC91" s="92" t="s">
        <v>4438</v>
      </c>
      <c r="LD91" s="92" t="s">
        <v>4438</v>
      </c>
      <c r="LE91" s="92" t="s">
        <v>109</v>
      </c>
      <c r="LF91" s="92" t="s">
        <v>109</v>
      </c>
    </row>
    <row r="92" spans="1:318" x14ac:dyDescent="0.25">
      <c r="A92" t="s">
        <v>1877</v>
      </c>
      <c r="B92" t="s">
        <v>1878</v>
      </c>
      <c r="C92" t="s">
        <v>1304</v>
      </c>
      <c r="D92" t="s">
        <v>1305</v>
      </c>
      <c r="E92" t="s">
        <v>1381</v>
      </c>
      <c r="G92" t="s">
        <v>1319</v>
      </c>
      <c r="H92">
        <v>2</v>
      </c>
      <c r="I92" t="s">
        <v>1358</v>
      </c>
      <c r="J92" t="s">
        <v>1382</v>
      </c>
      <c r="K92" t="s">
        <v>1309</v>
      </c>
      <c r="L92" t="s">
        <v>1310</v>
      </c>
      <c r="M92" t="s">
        <v>1309</v>
      </c>
      <c r="N92" t="s">
        <v>1309</v>
      </c>
      <c r="O92" t="s">
        <v>1309</v>
      </c>
      <c r="P92" t="s">
        <v>1310</v>
      </c>
      <c r="Q92" t="s">
        <v>1309</v>
      </c>
      <c r="R92" t="s">
        <v>1309</v>
      </c>
      <c r="S92">
        <v>1</v>
      </c>
      <c r="U92" t="s">
        <v>1312</v>
      </c>
      <c r="V92" t="s">
        <v>1312</v>
      </c>
      <c r="W92" t="s">
        <v>1312</v>
      </c>
      <c r="X92" t="s">
        <v>1312</v>
      </c>
      <c r="Y92" t="s">
        <v>1312</v>
      </c>
      <c r="Z92" t="s">
        <v>1312</v>
      </c>
      <c r="AC92">
        <v>1</v>
      </c>
      <c r="AD92">
        <v>5000</v>
      </c>
      <c r="AE92">
        <v>5000</v>
      </c>
      <c r="AF92" t="s">
        <v>1351</v>
      </c>
      <c r="AH92" t="s">
        <v>1383</v>
      </c>
      <c r="AJ92" t="s">
        <v>1353</v>
      </c>
      <c r="AL92" t="s">
        <v>1354</v>
      </c>
      <c r="BA92" t="s">
        <v>1316</v>
      </c>
      <c r="BS92" t="s">
        <v>1307</v>
      </c>
      <c r="CE92" t="s">
        <v>1355</v>
      </c>
      <c r="CF92" t="s">
        <v>1309</v>
      </c>
      <c r="CG92" t="s">
        <v>1309</v>
      </c>
      <c r="CH92" t="s">
        <v>1309</v>
      </c>
      <c r="CI92" t="s">
        <v>1309</v>
      </c>
      <c r="CJ92" t="s">
        <v>1309</v>
      </c>
      <c r="CK92" t="s">
        <v>1309</v>
      </c>
      <c r="CL92" t="s">
        <v>1309</v>
      </c>
      <c r="CM92" t="s">
        <v>1309</v>
      </c>
      <c r="CN92" t="s">
        <v>1310</v>
      </c>
      <c r="CO92" t="s">
        <v>1309</v>
      </c>
      <c r="CP92" t="s">
        <v>1309</v>
      </c>
      <c r="CQ92" t="s">
        <v>1309</v>
      </c>
      <c r="CR92" t="s">
        <v>1309</v>
      </c>
      <c r="CT92" t="s">
        <v>4436</v>
      </c>
      <c r="CV92" t="s">
        <v>1308</v>
      </c>
      <c r="CW92" t="s">
        <v>1310</v>
      </c>
      <c r="CX92" t="s">
        <v>1309</v>
      </c>
      <c r="CY92" t="s">
        <v>1309</v>
      </c>
      <c r="CZ92" t="s">
        <v>1309</v>
      </c>
      <c r="DA92" t="s">
        <v>1309</v>
      </c>
      <c r="DB92" t="s">
        <v>1309</v>
      </c>
      <c r="DC92" t="s">
        <v>1309</v>
      </c>
      <c r="DE92" t="s">
        <v>1358</v>
      </c>
      <c r="DF92" t="s">
        <v>1307</v>
      </c>
      <c r="DI92">
        <v>1000</v>
      </c>
      <c r="DJ92" t="s">
        <v>1318</v>
      </c>
      <c r="DM92">
        <v>900</v>
      </c>
      <c r="DN92" t="s">
        <v>1432</v>
      </c>
      <c r="DO92" t="s">
        <v>1310</v>
      </c>
      <c r="DP92" t="s">
        <v>1309</v>
      </c>
      <c r="DQ92" t="s">
        <v>1309</v>
      </c>
      <c r="DR92" t="s">
        <v>1310</v>
      </c>
      <c r="DS92" t="s">
        <v>1309</v>
      </c>
      <c r="DT92" t="s">
        <v>1310</v>
      </c>
      <c r="DU92" t="s">
        <v>1309</v>
      </c>
      <c r="DV92" t="s">
        <v>1309</v>
      </c>
      <c r="DW92" t="s">
        <v>1309</v>
      </c>
      <c r="DY92" t="s">
        <v>1419</v>
      </c>
      <c r="DZ92">
        <v>800</v>
      </c>
      <c r="EA92" t="s">
        <v>1319</v>
      </c>
      <c r="EC92" t="s">
        <v>1360</v>
      </c>
      <c r="ED92">
        <v>800</v>
      </c>
      <c r="EE92" t="s">
        <v>1319</v>
      </c>
      <c r="EG92" t="s">
        <v>5356</v>
      </c>
      <c r="EI92" t="s">
        <v>1307</v>
      </c>
      <c r="ET92" t="s">
        <v>1307</v>
      </c>
      <c r="EV92" t="s">
        <v>1307</v>
      </c>
      <c r="EX92" t="s">
        <v>1319</v>
      </c>
      <c r="EZ92" t="s">
        <v>1307</v>
      </c>
      <c r="FA92" t="s">
        <v>1697</v>
      </c>
      <c r="FB92" t="s">
        <v>1309</v>
      </c>
      <c r="FC92" t="s">
        <v>1309</v>
      </c>
      <c r="FD92" t="s">
        <v>1309</v>
      </c>
      <c r="FE92" t="s">
        <v>1309</v>
      </c>
      <c r="FF92" t="s">
        <v>1309</v>
      </c>
      <c r="FG92" t="s">
        <v>1309</v>
      </c>
      <c r="FH92" t="s">
        <v>1309</v>
      </c>
      <c r="FI92" t="s">
        <v>1310</v>
      </c>
      <c r="FJ92" t="s">
        <v>1309</v>
      </c>
      <c r="FK92" t="s">
        <v>1309</v>
      </c>
      <c r="FL92" t="s">
        <v>1309</v>
      </c>
      <c r="FM92" t="s">
        <v>1309</v>
      </c>
      <c r="FN92" t="s">
        <v>1309</v>
      </c>
      <c r="FO92" t="s">
        <v>1309</v>
      </c>
      <c r="FP92" t="s">
        <v>1309</v>
      </c>
      <c r="FQ92" t="s">
        <v>1309</v>
      </c>
      <c r="FR92" t="s">
        <v>1309</v>
      </c>
      <c r="FT92" t="s">
        <v>1319</v>
      </c>
      <c r="FU92" t="s">
        <v>1599</v>
      </c>
      <c r="FV92" t="s">
        <v>1309</v>
      </c>
      <c r="FW92" t="s">
        <v>1309</v>
      </c>
      <c r="FX92" t="s">
        <v>1309</v>
      </c>
      <c r="FY92" t="s">
        <v>1309</v>
      </c>
      <c r="FZ92" t="s">
        <v>1309</v>
      </c>
      <c r="GA92" t="s">
        <v>1310</v>
      </c>
      <c r="GB92" t="s">
        <v>1309</v>
      </c>
      <c r="GC92" t="s">
        <v>1309</v>
      </c>
      <c r="GD92" t="s">
        <v>1309</v>
      </c>
      <c r="GE92" t="s">
        <v>1309</v>
      </c>
      <c r="GF92" t="s">
        <v>1309</v>
      </c>
      <c r="GG92" t="s">
        <v>1309</v>
      </c>
      <c r="GI92" t="s">
        <v>1324</v>
      </c>
      <c r="GJ92" t="s">
        <v>1324</v>
      </c>
      <c r="GT92" t="s">
        <v>1325</v>
      </c>
      <c r="GU92" t="s">
        <v>1310</v>
      </c>
      <c r="GV92" t="s">
        <v>1309</v>
      </c>
      <c r="GW92" t="s">
        <v>1309</v>
      </c>
      <c r="GX92" t="s">
        <v>1309</v>
      </c>
      <c r="GY92" t="s">
        <v>1309</v>
      </c>
      <c r="GZ92" t="s">
        <v>1309</v>
      </c>
      <c r="HA92" t="s">
        <v>1309</v>
      </c>
      <c r="HB92" t="s">
        <v>1309</v>
      </c>
      <c r="HC92" t="s">
        <v>1309</v>
      </c>
      <c r="HD92" t="s">
        <v>1309</v>
      </c>
      <c r="HE92" t="s">
        <v>1309</v>
      </c>
      <c r="HF92" t="s">
        <v>1309</v>
      </c>
      <c r="HH92" t="s">
        <v>1363</v>
      </c>
      <c r="HI92" t="s">
        <v>1390</v>
      </c>
      <c r="HJ92" t="s">
        <v>1363</v>
      </c>
      <c r="HK92" t="s">
        <v>1327</v>
      </c>
      <c r="HL92" t="s">
        <v>1328</v>
      </c>
      <c r="HM92" t="s">
        <v>1363</v>
      </c>
      <c r="HN92" t="s">
        <v>1879</v>
      </c>
      <c r="HO92" t="s">
        <v>1310</v>
      </c>
      <c r="HP92" t="s">
        <v>1309</v>
      </c>
      <c r="HQ92" t="s">
        <v>1309</v>
      </c>
      <c r="HR92" t="s">
        <v>1309</v>
      </c>
      <c r="HS92" t="s">
        <v>1310</v>
      </c>
      <c r="HT92" t="s">
        <v>1309</v>
      </c>
      <c r="HU92" t="s">
        <v>1309</v>
      </c>
      <c r="HV92" t="s">
        <v>1309</v>
      </c>
      <c r="HW92" t="s">
        <v>1309</v>
      </c>
      <c r="HX92" t="s">
        <v>1309</v>
      </c>
      <c r="HY92" t="s">
        <v>1309</v>
      </c>
      <c r="IA92" t="s">
        <v>1414</v>
      </c>
      <c r="IQ92" t="s">
        <v>1365</v>
      </c>
      <c r="IS92" t="s">
        <v>1354</v>
      </c>
      <c r="JF92" t="s">
        <v>1354</v>
      </c>
      <c r="JG92" t="s">
        <v>1332</v>
      </c>
      <c r="JH92" t="s">
        <v>1309</v>
      </c>
      <c r="JI92" t="s">
        <v>1309</v>
      </c>
      <c r="JJ92" t="s">
        <v>1309</v>
      </c>
      <c r="JK92" t="s">
        <v>1309</v>
      </c>
      <c r="JL92" t="s">
        <v>1310</v>
      </c>
      <c r="JM92" t="s">
        <v>1309</v>
      </c>
      <c r="JN92" t="s">
        <v>1309</v>
      </c>
      <c r="JO92" t="s">
        <v>1309</v>
      </c>
      <c r="JQ92" s="92" t="s">
        <v>1721</v>
      </c>
      <c r="JR92" s="92" t="s">
        <v>1722</v>
      </c>
      <c r="JS92" s="92">
        <v>28</v>
      </c>
      <c r="JT92" s="92" t="s">
        <v>1319</v>
      </c>
      <c r="JU92" s="92" t="s">
        <v>1396</v>
      </c>
      <c r="JV92" s="92" t="s">
        <v>1526</v>
      </c>
      <c r="JW92" s="92" t="s">
        <v>1296</v>
      </c>
      <c r="JX92" s="92" t="s">
        <v>70</v>
      </c>
      <c r="JY92" s="92" t="s">
        <v>1397</v>
      </c>
      <c r="JZ92" s="92" t="s">
        <v>1398</v>
      </c>
      <c r="KA92" s="92" t="s">
        <v>4845</v>
      </c>
      <c r="KB92" s="92" t="s">
        <v>1399</v>
      </c>
      <c r="KC92" s="92" t="s">
        <v>109</v>
      </c>
      <c r="KD92" s="92" t="s">
        <v>4844</v>
      </c>
      <c r="KE92" s="92" t="s">
        <v>5560</v>
      </c>
      <c r="KF92" s="92">
        <v>1000</v>
      </c>
      <c r="KG92" s="92" t="s">
        <v>4438</v>
      </c>
      <c r="KH92" s="92" t="s">
        <v>109</v>
      </c>
      <c r="KI92" s="92" t="s">
        <v>109</v>
      </c>
      <c r="KJ92" s="92" t="s">
        <v>109</v>
      </c>
      <c r="KK92" s="92" t="s">
        <v>109</v>
      </c>
      <c r="KL92" s="92" t="s">
        <v>1374</v>
      </c>
      <c r="KM92" s="92">
        <v>900</v>
      </c>
      <c r="KN92" s="92" t="s">
        <v>4438</v>
      </c>
      <c r="KO92" s="92" t="s">
        <v>1374</v>
      </c>
      <c r="KP92" s="92" t="s">
        <v>1401</v>
      </c>
      <c r="KQ92" s="92" t="s">
        <v>109</v>
      </c>
      <c r="KR92" s="92"/>
      <c r="KS92" s="92" t="s">
        <v>1466</v>
      </c>
      <c r="KT92" s="92" t="s">
        <v>1344</v>
      </c>
      <c r="KU92" s="92"/>
      <c r="KV92" s="92" t="s">
        <v>1441</v>
      </c>
      <c r="KW92" s="92" t="s">
        <v>1344</v>
      </c>
      <c r="KX92" s="92" t="s">
        <v>1376</v>
      </c>
      <c r="KY92" s="92" t="s">
        <v>1377</v>
      </c>
      <c r="KZ92" s="92" t="s">
        <v>1403</v>
      </c>
      <c r="LA92" s="92" t="s">
        <v>109</v>
      </c>
      <c r="LB92" s="92" t="s">
        <v>109</v>
      </c>
      <c r="LC92" s="92" t="s">
        <v>4438</v>
      </c>
      <c r="LD92" s="92" t="s">
        <v>4438</v>
      </c>
      <c r="LE92" s="92" t="s">
        <v>192</v>
      </c>
      <c r="LF92" s="92" t="s">
        <v>192</v>
      </c>
    </row>
    <row r="93" spans="1:318" x14ac:dyDescent="0.25">
      <c r="A93" t="s">
        <v>1880</v>
      </c>
      <c r="B93" t="s">
        <v>1881</v>
      </c>
      <c r="C93" t="s">
        <v>1304</v>
      </c>
      <c r="D93" t="s">
        <v>1305</v>
      </c>
      <c r="E93" t="s">
        <v>1381</v>
      </c>
      <c r="G93" t="s">
        <v>1319</v>
      </c>
      <c r="H93">
        <v>3</v>
      </c>
      <c r="I93" t="s">
        <v>1358</v>
      </c>
      <c r="J93" t="s">
        <v>1382</v>
      </c>
      <c r="K93" t="s">
        <v>1309</v>
      </c>
      <c r="L93" t="s">
        <v>1310</v>
      </c>
      <c r="M93" t="s">
        <v>1309</v>
      </c>
      <c r="N93" t="s">
        <v>1309</v>
      </c>
      <c r="O93" t="s">
        <v>1309</v>
      </c>
      <c r="P93" t="s">
        <v>1310</v>
      </c>
      <c r="Q93" t="s">
        <v>1309</v>
      </c>
      <c r="R93" t="s">
        <v>1309</v>
      </c>
      <c r="S93">
        <v>2</v>
      </c>
      <c r="U93" t="s">
        <v>1312</v>
      </c>
      <c r="V93" t="s">
        <v>1312</v>
      </c>
      <c r="W93" t="s">
        <v>1312</v>
      </c>
      <c r="X93" t="s">
        <v>1312</v>
      </c>
      <c r="Y93" t="s">
        <v>1312</v>
      </c>
      <c r="Z93" t="s">
        <v>1312</v>
      </c>
      <c r="AC93">
        <v>3</v>
      </c>
      <c r="AD93">
        <v>6500</v>
      </c>
      <c r="AE93">
        <v>10000</v>
      </c>
      <c r="AF93" t="s">
        <v>1313</v>
      </c>
      <c r="AH93" t="s">
        <v>1315</v>
      </c>
      <c r="AJ93" t="s">
        <v>1315</v>
      </c>
      <c r="AL93" t="s">
        <v>1316</v>
      </c>
      <c r="BS93" t="s">
        <v>1307</v>
      </c>
      <c r="CE93" t="s">
        <v>1355</v>
      </c>
      <c r="CF93" t="s">
        <v>1309</v>
      </c>
      <c r="CG93" t="s">
        <v>1309</v>
      </c>
      <c r="CH93" t="s">
        <v>1309</v>
      </c>
      <c r="CI93" t="s">
        <v>1309</v>
      </c>
      <c r="CJ93" t="s">
        <v>1309</v>
      </c>
      <c r="CK93" t="s">
        <v>1309</v>
      </c>
      <c r="CL93" t="s">
        <v>1309</v>
      </c>
      <c r="CM93" t="s">
        <v>1309</v>
      </c>
      <c r="CN93" t="s">
        <v>1310</v>
      </c>
      <c r="CO93" t="s">
        <v>1309</v>
      </c>
      <c r="CP93" t="s">
        <v>1309</v>
      </c>
      <c r="CQ93" t="s">
        <v>1309</v>
      </c>
      <c r="CR93" t="s">
        <v>1309</v>
      </c>
      <c r="CT93" t="s">
        <v>4434</v>
      </c>
      <c r="CV93" t="s">
        <v>1308</v>
      </c>
      <c r="CW93" t="s">
        <v>1310</v>
      </c>
      <c r="CX93" t="s">
        <v>1309</v>
      </c>
      <c r="CY93" t="s">
        <v>1309</v>
      </c>
      <c r="CZ93" t="s">
        <v>1309</v>
      </c>
      <c r="DA93" t="s">
        <v>1309</v>
      </c>
      <c r="DB93" t="s">
        <v>1309</v>
      </c>
      <c r="DC93" t="s">
        <v>1309</v>
      </c>
      <c r="DE93" t="s">
        <v>1358</v>
      </c>
      <c r="DG93">
        <v>1500</v>
      </c>
      <c r="DI93">
        <v>500</v>
      </c>
      <c r="DJ93" t="s">
        <v>1318</v>
      </c>
      <c r="DK93">
        <v>2000</v>
      </c>
      <c r="DM93">
        <v>600</v>
      </c>
      <c r="DN93" t="s">
        <v>1445</v>
      </c>
      <c r="DO93" t="s">
        <v>1310</v>
      </c>
      <c r="DP93" t="s">
        <v>1310</v>
      </c>
      <c r="DQ93" t="s">
        <v>1309</v>
      </c>
      <c r="DR93" t="s">
        <v>1309</v>
      </c>
      <c r="DS93" t="s">
        <v>1309</v>
      </c>
      <c r="DT93" t="s">
        <v>1310</v>
      </c>
      <c r="DU93" t="s">
        <v>1309</v>
      </c>
      <c r="DV93" t="s">
        <v>1309</v>
      </c>
      <c r="DW93" t="s">
        <v>1309</v>
      </c>
      <c r="DY93" t="s">
        <v>1490</v>
      </c>
      <c r="DZ93">
        <v>300</v>
      </c>
      <c r="EA93" t="s">
        <v>1319</v>
      </c>
      <c r="EC93" t="s">
        <v>1420</v>
      </c>
      <c r="ED93">
        <v>1000</v>
      </c>
      <c r="EE93" t="s">
        <v>1319</v>
      </c>
      <c r="EG93" t="s">
        <v>5357</v>
      </c>
      <c r="ET93" t="s">
        <v>1307</v>
      </c>
      <c r="EV93" t="s">
        <v>1319</v>
      </c>
      <c r="EW93" t="s">
        <v>1421</v>
      </c>
      <c r="EX93" t="s">
        <v>1319</v>
      </c>
      <c r="EY93" t="s">
        <v>1307</v>
      </c>
      <c r="FA93" t="s">
        <v>1697</v>
      </c>
      <c r="FB93" t="s">
        <v>1309</v>
      </c>
      <c r="FC93" t="s">
        <v>1309</v>
      </c>
      <c r="FD93" t="s">
        <v>1309</v>
      </c>
      <c r="FE93" t="s">
        <v>1309</v>
      </c>
      <c r="FF93" t="s">
        <v>1309</v>
      </c>
      <c r="FG93" t="s">
        <v>1309</v>
      </c>
      <c r="FH93" t="s">
        <v>1309</v>
      </c>
      <c r="FI93" t="s">
        <v>1310</v>
      </c>
      <c r="FJ93" t="s">
        <v>1309</v>
      </c>
      <c r="FK93" t="s">
        <v>1309</v>
      </c>
      <c r="FL93" t="s">
        <v>1309</v>
      </c>
      <c r="FM93" t="s">
        <v>1309</v>
      </c>
      <c r="FN93" t="s">
        <v>1309</v>
      </c>
      <c r="FO93" t="s">
        <v>1309</v>
      </c>
      <c r="FP93" t="s">
        <v>1309</v>
      </c>
      <c r="FQ93" t="s">
        <v>1309</v>
      </c>
      <c r="FR93" t="s">
        <v>1309</v>
      </c>
      <c r="FT93" t="s">
        <v>1307</v>
      </c>
      <c r="GI93" t="s">
        <v>1436</v>
      </c>
      <c r="GJ93" t="s">
        <v>1436</v>
      </c>
      <c r="GK93" t="s">
        <v>1307</v>
      </c>
      <c r="GT93" t="s">
        <v>1325</v>
      </c>
      <c r="GU93" t="s">
        <v>1310</v>
      </c>
      <c r="GV93" t="s">
        <v>1309</v>
      </c>
      <c r="GW93" t="s">
        <v>1309</v>
      </c>
      <c r="GX93" t="s">
        <v>1309</v>
      </c>
      <c r="GY93" t="s">
        <v>1309</v>
      </c>
      <c r="GZ93" t="s">
        <v>1309</v>
      </c>
      <c r="HA93" t="s">
        <v>1309</v>
      </c>
      <c r="HB93" t="s">
        <v>1309</v>
      </c>
      <c r="HC93" t="s">
        <v>1309</v>
      </c>
      <c r="HD93" t="s">
        <v>1309</v>
      </c>
      <c r="HE93" t="s">
        <v>1309</v>
      </c>
      <c r="HF93" t="s">
        <v>1309</v>
      </c>
      <c r="HH93" t="s">
        <v>1390</v>
      </c>
      <c r="HI93" t="s">
        <v>1390</v>
      </c>
      <c r="HJ93" t="s">
        <v>1363</v>
      </c>
      <c r="HK93" t="s">
        <v>1327</v>
      </c>
      <c r="HL93" t="s">
        <v>1437</v>
      </c>
      <c r="HM93" t="s">
        <v>1390</v>
      </c>
      <c r="HN93" t="s">
        <v>1882</v>
      </c>
      <c r="HO93" t="s">
        <v>1309</v>
      </c>
      <c r="HP93" t="s">
        <v>1309</v>
      </c>
      <c r="HQ93" t="s">
        <v>1309</v>
      </c>
      <c r="HR93" t="s">
        <v>1309</v>
      </c>
      <c r="HS93" t="s">
        <v>1310</v>
      </c>
      <c r="HT93" t="s">
        <v>1309</v>
      </c>
      <c r="HU93" t="s">
        <v>1309</v>
      </c>
      <c r="HV93" t="s">
        <v>1309</v>
      </c>
      <c r="HW93" t="s">
        <v>1309</v>
      </c>
      <c r="HX93" t="s">
        <v>1309</v>
      </c>
      <c r="HY93" t="s">
        <v>1309</v>
      </c>
      <c r="IA93" t="s">
        <v>1307</v>
      </c>
      <c r="IQ93" t="s">
        <v>1330</v>
      </c>
      <c r="IS93" t="s">
        <v>1316</v>
      </c>
      <c r="JF93" t="s">
        <v>1331</v>
      </c>
      <c r="JG93" t="s">
        <v>1414</v>
      </c>
      <c r="JH93" t="s">
        <v>1309</v>
      </c>
      <c r="JI93" t="s">
        <v>1309</v>
      </c>
      <c r="JJ93" t="s">
        <v>1309</v>
      </c>
      <c r="JK93" t="s">
        <v>1309</v>
      </c>
      <c r="JL93" t="s">
        <v>1309</v>
      </c>
      <c r="JM93" t="s">
        <v>1309</v>
      </c>
      <c r="JN93" t="s">
        <v>1310</v>
      </c>
      <c r="JO93" t="s">
        <v>1309</v>
      </c>
      <c r="JQ93" s="92" t="s">
        <v>1333</v>
      </c>
      <c r="JR93" s="92" t="s">
        <v>1334</v>
      </c>
      <c r="JS93" s="92">
        <v>41</v>
      </c>
      <c r="JT93" s="92" t="s">
        <v>1319</v>
      </c>
      <c r="JU93" s="92" t="s">
        <v>1396</v>
      </c>
      <c r="JV93" s="92" t="s">
        <v>1336</v>
      </c>
      <c r="JW93" s="92" t="s">
        <v>1296</v>
      </c>
      <c r="JX93" s="92" t="s">
        <v>71</v>
      </c>
      <c r="JY93" s="92" t="s">
        <v>1397</v>
      </c>
      <c r="JZ93" s="92" t="s">
        <v>1337</v>
      </c>
      <c r="KA93" s="92" t="s">
        <v>4845</v>
      </c>
      <c r="KB93" s="92" t="s">
        <v>1399</v>
      </c>
      <c r="KC93" s="92" t="s">
        <v>109</v>
      </c>
      <c r="KD93" s="92" t="s">
        <v>4848</v>
      </c>
      <c r="KE93" s="92" t="s">
        <v>1424</v>
      </c>
      <c r="KF93" s="92">
        <v>2000</v>
      </c>
      <c r="KG93" s="92" t="s">
        <v>4439</v>
      </c>
      <c r="KH93" s="92" t="s">
        <v>192</v>
      </c>
      <c r="KI93" s="92" t="s">
        <v>109</v>
      </c>
      <c r="KJ93" s="92" t="s">
        <v>192</v>
      </c>
      <c r="KK93" s="92" t="s">
        <v>109</v>
      </c>
      <c r="KL93" s="92" t="s">
        <v>1440</v>
      </c>
      <c r="KM93" s="92">
        <v>2600</v>
      </c>
      <c r="KN93" s="92" t="s">
        <v>4439</v>
      </c>
      <c r="KO93" s="92" t="s">
        <v>1425</v>
      </c>
      <c r="KP93" s="92" t="s">
        <v>1460</v>
      </c>
      <c r="KQ93" s="92" t="s">
        <v>192</v>
      </c>
      <c r="KR93" s="92">
        <v>15</v>
      </c>
      <c r="KS93" s="92" t="s">
        <v>1343</v>
      </c>
      <c r="KT93" s="92" t="s">
        <v>1344</v>
      </c>
      <c r="KU93" s="92">
        <v>38</v>
      </c>
      <c r="KV93" s="92" t="s">
        <v>1461</v>
      </c>
      <c r="KW93" s="92" t="s">
        <v>1344</v>
      </c>
      <c r="KX93" s="92" t="s">
        <v>1346</v>
      </c>
      <c r="KY93" s="92" t="s">
        <v>1377</v>
      </c>
      <c r="KZ93" s="92" t="s">
        <v>1403</v>
      </c>
      <c r="LA93" s="92" t="s">
        <v>109</v>
      </c>
      <c r="LB93" s="92" t="s">
        <v>109</v>
      </c>
      <c r="LC93" s="92" t="s">
        <v>4438</v>
      </c>
      <c r="LD93" s="92" t="s">
        <v>4438</v>
      </c>
      <c r="LE93" s="92" t="s">
        <v>192</v>
      </c>
      <c r="LF93" s="92" t="s">
        <v>192</v>
      </c>
    </row>
    <row r="94" spans="1:318" x14ac:dyDescent="0.25">
      <c r="A94" t="s">
        <v>1883</v>
      </c>
      <c r="B94" t="s">
        <v>1884</v>
      </c>
      <c r="C94" t="s">
        <v>1304</v>
      </c>
      <c r="D94" t="s">
        <v>1305</v>
      </c>
      <c r="E94" t="s">
        <v>1381</v>
      </c>
      <c r="G94" t="s">
        <v>1319</v>
      </c>
      <c r="H94">
        <v>1</v>
      </c>
      <c r="J94" t="s">
        <v>1308</v>
      </c>
      <c r="K94" t="s">
        <v>1309</v>
      </c>
      <c r="L94" t="s">
        <v>1309</v>
      </c>
      <c r="M94" t="s">
        <v>1309</v>
      </c>
      <c r="N94" t="s">
        <v>1309</v>
      </c>
      <c r="O94" t="s">
        <v>1309</v>
      </c>
      <c r="P94" t="s">
        <v>1309</v>
      </c>
      <c r="Q94" t="s">
        <v>1310</v>
      </c>
      <c r="R94" t="s">
        <v>1309</v>
      </c>
      <c r="U94" t="s">
        <v>1312</v>
      </c>
      <c r="V94" t="s">
        <v>1312</v>
      </c>
      <c r="W94" t="s">
        <v>1312</v>
      </c>
      <c r="X94" t="s">
        <v>1312</v>
      </c>
      <c r="Y94" t="s">
        <v>1312</v>
      </c>
      <c r="Z94" t="s">
        <v>1312</v>
      </c>
      <c r="AC94">
        <v>1</v>
      </c>
      <c r="AD94">
        <v>8000</v>
      </c>
      <c r="AE94">
        <v>5000</v>
      </c>
      <c r="AF94" t="s">
        <v>1351</v>
      </c>
      <c r="AH94" t="s">
        <v>1383</v>
      </c>
      <c r="AJ94" t="s">
        <v>1353</v>
      </c>
      <c r="AL94" t="s">
        <v>1316</v>
      </c>
      <c r="BA94" t="s">
        <v>1316</v>
      </c>
      <c r="BS94" t="s">
        <v>1307</v>
      </c>
      <c r="CE94" t="s">
        <v>1885</v>
      </c>
      <c r="CF94" t="s">
        <v>1309</v>
      </c>
      <c r="CG94" t="s">
        <v>1309</v>
      </c>
      <c r="CH94" t="s">
        <v>1309</v>
      </c>
      <c r="CI94" t="s">
        <v>1309</v>
      </c>
      <c r="CJ94" t="s">
        <v>1309</v>
      </c>
      <c r="CK94" t="s">
        <v>1310</v>
      </c>
      <c r="CL94" t="s">
        <v>1309</v>
      </c>
      <c r="CM94" t="s">
        <v>1309</v>
      </c>
      <c r="CN94" t="s">
        <v>1310</v>
      </c>
      <c r="CO94" t="s">
        <v>1310</v>
      </c>
      <c r="CP94" t="s">
        <v>1309</v>
      </c>
      <c r="CQ94" t="s">
        <v>1309</v>
      </c>
      <c r="CR94" t="s">
        <v>1309</v>
      </c>
      <c r="CT94" t="s">
        <v>4436</v>
      </c>
      <c r="CV94" t="s">
        <v>1308</v>
      </c>
      <c r="CW94" t="s">
        <v>1310</v>
      </c>
      <c r="CX94" t="s">
        <v>1309</v>
      </c>
      <c r="CY94" t="s">
        <v>1309</v>
      </c>
      <c r="CZ94" t="s">
        <v>1309</v>
      </c>
      <c r="DA94" t="s">
        <v>1309</v>
      </c>
      <c r="DB94" t="s">
        <v>1309</v>
      </c>
      <c r="DC94" t="s">
        <v>1309</v>
      </c>
      <c r="DE94" t="s">
        <v>1358</v>
      </c>
      <c r="DF94" t="s">
        <v>1319</v>
      </c>
      <c r="DG94">
        <v>300</v>
      </c>
      <c r="DI94">
        <v>200</v>
      </c>
      <c r="DJ94" t="s">
        <v>1358</v>
      </c>
      <c r="DK94">
        <v>300</v>
      </c>
      <c r="DM94">
        <v>250</v>
      </c>
      <c r="DN94" t="s">
        <v>1320</v>
      </c>
      <c r="DO94" t="s">
        <v>1310</v>
      </c>
      <c r="DP94" t="s">
        <v>1309</v>
      </c>
      <c r="DQ94" t="s">
        <v>1309</v>
      </c>
      <c r="DR94" t="s">
        <v>1309</v>
      </c>
      <c r="DS94" t="s">
        <v>1309</v>
      </c>
      <c r="DT94" t="s">
        <v>1310</v>
      </c>
      <c r="DU94" t="s">
        <v>1309</v>
      </c>
      <c r="DV94" t="s">
        <v>1309</v>
      </c>
      <c r="DW94" t="s">
        <v>1309</v>
      </c>
      <c r="DY94" t="s">
        <v>1490</v>
      </c>
      <c r="DZ94">
        <v>300</v>
      </c>
      <c r="EA94" t="s">
        <v>1386</v>
      </c>
      <c r="EC94" t="s">
        <v>1738</v>
      </c>
      <c r="ED94">
        <v>500</v>
      </c>
      <c r="EE94" t="s">
        <v>1386</v>
      </c>
      <c r="EG94" t="s">
        <v>5356</v>
      </c>
      <c r="EI94" t="s">
        <v>1307</v>
      </c>
      <c r="ET94" t="s">
        <v>1434</v>
      </c>
      <c r="EV94" t="s">
        <v>1307</v>
      </c>
      <c r="EX94" t="s">
        <v>1319</v>
      </c>
      <c r="EY94" t="s">
        <v>1319</v>
      </c>
      <c r="EZ94" t="s">
        <v>1319</v>
      </c>
      <c r="FA94" t="s">
        <v>1886</v>
      </c>
      <c r="FB94" t="s">
        <v>1309</v>
      </c>
      <c r="FC94" t="s">
        <v>1310</v>
      </c>
      <c r="FD94" t="s">
        <v>1309</v>
      </c>
      <c r="FE94" t="s">
        <v>1310</v>
      </c>
      <c r="FF94" t="s">
        <v>1310</v>
      </c>
      <c r="FG94" t="s">
        <v>1309</v>
      </c>
      <c r="FH94" t="s">
        <v>1309</v>
      </c>
      <c r="FI94" t="s">
        <v>1310</v>
      </c>
      <c r="FJ94" t="s">
        <v>1309</v>
      </c>
      <c r="FK94" t="s">
        <v>1310</v>
      </c>
      <c r="FL94" t="s">
        <v>1309</v>
      </c>
      <c r="FM94" t="s">
        <v>1309</v>
      </c>
      <c r="FN94" t="s">
        <v>1309</v>
      </c>
      <c r="FO94" t="s">
        <v>1309</v>
      </c>
      <c r="FP94" t="s">
        <v>1309</v>
      </c>
      <c r="FQ94" t="s">
        <v>1309</v>
      </c>
      <c r="FR94" t="s">
        <v>1309</v>
      </c>
      <c r="FT94" t="s">
        <v>1307</v>
      </c>
      <c r="GI94" t="s">
        <v>1324</v>
      </c>
      <c r="GJ94" t="s">
        <v>1324</v>
      </c>
      <c r="GT94" t="s">
        <v>1325</v>
      </c>
      <c r="GU94" t="s">
        <v>1310</v>
      </c>
      <c r="GV94" t="s">
        <v>1309</v>
      </c>
      <c r="GW94" t="s">
        <v>1309</v>
      </c>
      <c r="GX94" t="s">
        <v>1309</v>
      </c>
      <c r="GY94" t="s">
        <v>1309</v>
      </c>
      <c r="GZ94" t="s">
        <v>1309</v>
      </c>
      <c r="HA94" t="s">
        <v>1309</v>
      </c>
      <c r="HB94" t="s">
        <v>1309</v>
      </c>
      <c r="HC94" t="s">
        <v>1309</v>
      </c>
      <c r="HD94" t="s">
        <v>1309</v>
      </c>
      <c r="HE94" t="s">
        <v>1309</v>
      </c>
      <c r="HF94" t="s">
        <v>1309</v>
      </c>
      <c r="HH94" t="s">
        <v>1390</v>
      </c>
      <c r="HI94" t="s">
        <v>1327</v>
      </c>
      <c r="HJ94" t="s">
        <v>1390</v>
      </c>
      <c r="HK94" t="s">
        <v>1327</v>
      </c>
      <c r="HL94" t="s">
        <v>1437</v>
      </c>
      <c r="HM94" t="s">
        <v>1390</v>
      </c>
      <c r="HN94" t="s">
        <v>1626</v>
      </c>
      <c r="HO94" t="s">
        <v>1310</v>
      </c>
      <c r="HP94" t="s">
        <v>1309</v>
      </c>
      <c r="HQ94" t="s">
        <v>1309</v>
      </c>
      <c r="HR94" t="s">
        <v>1309</v>
      </c>
      <c r="HS94" t="s">
        <v>1309</v>
      </c>
      <c r="HT94" t="s">
        <v>1309</v>
      </c>
      <c r="HU94" t="s">
        <v>1309</v>
      </c>
      <c r="HV94" t="s">
        <v>1309</v>
      </c>
      <c r="HW94" t="s">
        <v>1309</v>
      </c>
      <c r="HX94" t="s">
        <v>1309</v>
      </c>
      <c r="HY94" t="s">
        <v>1309</v>
      </c>
      <c r="IA94" t="s">
        <v>1319</v>
      </c>
      <c r="IB94" t="s">
        <v>1423</v>
      </c>
      <c r="IC94" t="s">
        <v>1309</v>
      </c>
      <c r="ID94" t="s">
        <v>1309</v>
      </c>
      <c r="IE94" t="s">
        <v>1309</v>
      </c>
      <c r="IF94" t="s">
        <v>1309</v>
      </c>
      <c r="IG94" t="s">
        <v>1310</v>
      </c>
      <c r="IH94" t="s">
        <v>1309</v>
      </c>
      <c r="II94" t="s">
        <v>1309</v>
      </c>
      <c r="IJ94" t="s">
        <v>1309</v>
      </c>
      <c r="IK94" t="s">
        <v>1309</v>
      </c>
      <c r="IL94" t="s">
        <v>1309</v>
      </c>
      <c r="IM94" t="s">
        <v>1309</v>
      </c>
      <c r="IN94" t="s">
        <v>1309</v>
      </c>
      <c r="IO94" t="s">
        <v>1309</v>
      </c>
      <c r="IQ94" t="s">
        <v>1330</v>
      </c>
      <c r="IS94" t="s">
        <v>1316</v>
      </c>
      <c r="JF94" t="s">
        <v>1316</v>
      </c>
      <c r="JG94" t="s">
        <v>1332</v>
      </c>
      <c r="JH94" t="s">
        <v>1309</v>
      </c>
      <c r="JI94" t="s">
        <v>1309</v>
      </c>
      <c r="JJ94" t="s">
        <v>1309</v>
      </c>
      <c r="JK94" t="s">
        <v>1309</v>
      </c>
      <c r="JL94" t="s">
        <v>1310</v>
      </c>
      <c r="JM94" t="s">
        <v>1309</v>
      </c>
      <c r="JN94" t="s">
        <v>1309</v>
      </c>
      <c r="JO94" t="s">
        <v>1309</v>
      </c>
      <c r="JQ94" s="92" t="s">
        <v>1887</v>
      </c>
      <c r="JR94" s="92" t="s">
        <v>1888</v>
      </c>
      <c r="JS94" s="92">
        <v>38</v>
      </c>
      <c r="JT94" s="92" t="s">
        <v>1319</v>
      </c>
      <c r="JU94" s="92" t="s">
        <v>1575</v>
      </c>
      <c r="JV94" s="92" t="s">
        <v>1336</v>
      </c>
      <c r="JW94" s="92" t="s">
        <v>1296</v>
      </c>
      <c r="JX94" s="92" t="s">
        <v>70</v>
      </c>
      <c r="JY94" s="92" t="s">
        <v>1397</v>
      </c>
      <c r="JZ94" s="92" t="s">
        <v>1337</v>
      </c>
      <c r="KA94" s="92" t="s">
        <v>4844</v>
      </c>
      <c r="KB94" s="92" t="s">
        <v>1338</v>
      </c>
      <c r="KC94" s="92" t="s">
        <v>109</v>
      </c>
      <c r="KD94" s="92" t="s">
        <v>4844</v>
      </c>
      <c r="KE94" s="92" t="s">
        <v>1424</v>
      </c>
      <c r="KF94" s="92">
        <v>500</v>
      </c>
      <c r="KG94" s="92" t="s">
        <v>1372</v>
      </c>
      <c r="KH94" s="92" t="s">
        <v>192</v>
      </c>
      <c r="KI94" s="92" t="s">
        <v>109</v>
      </c>
      <c r="KJ94" s="92" t="s">
        <v>192</v>
      </c>
      <c r="KK94" s="92" t="s">
        <v>109</v>
      </c>
      <c r="KL94" s="92" t="s">
        <v>1373</v>
      </c>
      <c r="KM94" s="92">
        <v>550</v>
      </c>
      <c r="KN94" s="92" t="s">
        <v>1372</v>
      </c>
      <c r="KO94" s="92" t="s">
        <v>1374</v>
      </c>
      <c r="KP94" s="92" t="s">
        <v>1401</v>
      </c>
      <c r="KQ94" s="92" t="s">
        <v>192</v>
      </c>
      <c r="KR94" s="92"/>
      <c r="KS94" s="92" t="s">
        <v>1343</v>
      </c>
      <c r="KT94" s="92" t="s">
        <v>1402</v>
      </c>
      <c r="KU94" s="92"/>
      <c r="KV94" s="92" t="s">
        <v>1345</v>
      </c>
      <c r="KW94" s="92" t="s">
        <v>1402</v>
      </c>
      <c r="KX94" s="92" t="s">
        <v>1346</v>
      </c>
      <c r="KY94" s="92" t="s">
        <v>1347</v>
      </c>
      <c r="KZ94" s="92" t="s">
        <v>1403</v>
      </c>
      <c r="LA94" s="92" t="s">
        <v>109</v>
      </c>
      <c r="LB94" s="92" t="s">
        <v>109</v>
      </c>
      <c r="LC94" s="92" t="s">
        <v>1372</v>
      </c>
      <c r="LD94" s="92" t="s">
        <v>1372</v>
      </c>
      <c r="LE94" s="92" t="s">
        <v>109</v>
      </c>
      <c r="LF94" s="92" t="s">
        <v>109</v>
      </c>
    </row>
    <row r="95" spans="1:318" x14ac:dyDescent="0.25">
      <c r="A95" t="s">
        <v>1889</v>
      </c>
      <c r="B95" t="s">
        <v>1890</v>
      </c>
      <c r="C95" t="s">
        <v>1304</v>
      </c>
      <c r="D95" t="s">
        <v>1429</v>
      </c>
      <c r="E95" t="s">
        <v>1381</v>
      </c>
      <c r="G95" t="s">
        <v>1319</v>
      </c>
      <c r="H95">
        <v>5</v>
      </c>
      <c r="I95" t="s">
        <v>1318</v>
      </c>
      <c r="J95" t="s">
        <v>1891</v>
      </c>
      <c r="K95" t="s">
        <v>1309</v>
      </c>
      <c r="L95" t="s">
        <v>1309</v>
      </c>
      <c r="M95" t="s">
        <v>1310</v>
      </c>
      <c r="N95" t="s">
        <v>1309</v>
      </c>
      <c r="O95" t="s">
        <v>1310</v>
      </c>
      <c r="P95" t="s">
        <v>1309</v>
      </c>
      <c r="Q95" t="s">
        <v>1309</v>
      </c>
      <c r="R95" t="s">
        <v>1309</v>
      </c>
      <c r="T95">
        <v>1</v>
      </c>
      <c r="U95" t="s">
        <v>1311</v>
      </c>
      <c r="V95" t="s">
        <v>1311</v>
      </c>
      <c r="W95" t="s">
        <v>1311</v>
      </c>
      <c r="X95" t="s">
        <v>1311</v>
      </c>
      <c r="Y95" t="s">
        <v>1312</v>
      </c>
      <c r="Z95" t="s">
        <v>1312</v>
      </c>
      <c r="AC95">
        <v>1</v>
      </c>
      <c r="AD95">
        <v>6000</v>
      </c>
      <c r="AE95">
        <v>12000</v>
      </c>
      <c r="AF95" t="s">
        <v>1351</v>
      </c>
      <c r="AH95" t="s">
        <v>1383</v>
      </c>
      <c r="AJ95" t="s">
        <v>1315</v>
      </c>
      <c r="AL95" t="s">
        <v>1354</v>
      </c>
      <c r="BS95" t="s">
        <v>1307</v>
      </c>
      <c r="CE95" t="s">
        <v>1355</v>
      </c>
      <c r="CF95" t="s">
        <v>1309</v>
      </c>
      <c r="CG95" t="s">
        <v>1309</v>
      </c>
      <c r="CH95" t="s">
        <v>1309</v>
      </c>
      <c r="CI95" t="s">
        <v>1309</v>
      </c>
      <c r="CJ95" t="s">
        <v>1309</v>
      </c>
      <c r="CK95" t="s">
        <v>1309</v>
      </c>
      <c r="CL95" t="s">
        <v>1309</v>
      </c>
      <c r="CM95" t="s">
        <v>1309</v>
      </c>
      <c r="CN95" t="s">
        <v>1310</v>
      </c>
      <c r="CO95" t="s">
        <v>1309</v>
      </c>
      <c r="CP95" t="s">
        <v>1309</v>
      </c>
      <c r="CQ95" t="s">
        <v>1309</v>
      </c>
      <c r="CR95" t="s">
        <v>1309</v>
      </c>
      <c r="CT95" t="s">
        <v>4433</v>
      </c>
      <c r="CV95" t="s">
        <v>1356</v>
      </c>
      <c r="CW95" t="s">
        <v>1309</v>
      </c>
      <c r="CX95" t="s">
        <v>1309</v>
      </c>
      <c r="CY95" t="s">
        <v>1309</v>
      </c>
      <c r="CZ95" t="s">
        <v>1310</v>
      </c>
      <c r="DA95" t="s">
        <v>1309</v>
      </c>
      <c r="DB95" t="s">
        <v>1309</v>
      </c>
      <c r="DC95" t="s">
        <v>1309</v>
      </c>
      <c r="DE95" t="s">
        <v>1358</v>
      </c>
      <c r="DF95" t="s">
        <v>1319</v>
      </c>
      <c r="DG95">
        <v>1700</v>
      </c>
      <c r="DI95">
        <v>3500</v>
      </c>
      <c r="DJ95" t="s">
        <v>1358</v>
      </c>
      <c r="DK95">
        <v>900</v>
      </c>
      <c r="DM95">
        <v>4100</v>
      </c>
      <c r="DN95" t="s">
        <v>1445</v>
      </c>
      <c r="DO95" t="s">
        <v>1310</v>
      </c>
      <c r="DP95" t="s">
        <v>1310</v>
      </c>
      <c r="DQ95" t="s">
        <v>1309</v>
      </c>
      <c r="DR95" t="s">
        <v>1309</v>
      </c>
      <c r="DS95" t="s">
        <v>1309</v>
      </c>
      <c r="DT95" t="s">
        <v>1310</v>
      </c>
      <c r="DU95" t="s">
        <v>1309</v>
      </c>
      <c r="DV95" t="s">
        <v>1309</v>
      </c>
      <c r="DW95" t="s">
        <v>1309</v>
      </c>
      <c r="DY95" t="s">
        <v>1419</v>
      </c>
      <c r="DZ95">
        <v>500</v>
      </c>
      <c r="EA95" t="s">
        <v>1319</v>
      </c>
      <c r="EC95" t="s">
        <v>1420</v>
      </c>
      <c r="ED95">
        <v>500</v>
      </c>
      <c r="EE95" t="s">
        <v>1319</v>
      </c>
      <c r="EG95" t="s">
        <v>5357</v>
      </c>
      <c r="ET95" t="s">
        <v>1307</v>
      </c>
      <c r="EV95" t="s">
        <v>1319</v>
      </c>
      <c r="EW95" t="s">
        <v>1409</v>
      </c>
      <c r="EX95" t="s">
        <v>1319</v>
      </c>
      <c r="EY95" t="s">
        <v>1319</v>
      </c>
      <c r="EZ95" t="s">
        <v>1307</v>
      </c>
      <c r="FA95" t="s">
        <v>1665</v>
      </c>
      <c r="FB95" t="s">
        <v>1309</v>
      </c>
      <c r="FC95" t="s">
        <v>1310</v>
      </c>
      <c r="FD95" t="s">
        <v>1309</v>
      </c>
      <c r="FE95" t="s">
        <v>1309</v>
      </c>
      <c r="FF95" t="s">
        <v>1309</v>
      </c>
      <c r="FG95" t="s">
        <v>1309</v>
      </c>
      <c r="FH95" t="s">
        <v>1309</v>
      </c>
      <c r="FI95" t="s">
        <v>1309</v>
      </c>
      <c r="FJ95" t="s">
        <v>1309</v>
      </c>
      <c r="FK95" t="s">
        <v>1309</v>
      </c>
      <c r="FL95" t="s">
        <v>1309</v>
      </c>
      <c r="FM95" t="s">
        <v>1309</v>
      </c>
      <c r="FN95" t="s">
        <v>1309</v>
      </c>
      <c r="FO95" t="s">
        <v>1309</v>
      </c>
      <c r="FP95" t="s">
        <v>1309</v>
      </c>
      <c r="FQ95" t="s">
        <v>1309</v>
      </c>
      <c r="FR95" t="s">
        <v>1309</v>
      </c>
      <c r="FT95" t="s">
        <v>1319</v>
      </c>
      <c r="FU95" t="s">
        <v>1892</v>
      </c>
      <c r="FV95" t="s">
        <v>1310</v>
      </c>
      <c r="FW95" t="s">
        <v>1309</v>
      </c>
      <c r="FX95" t="s">
        <v>1309</v>
      </c>
      <c r="FY95" t="s">
        <v>1309</v>
      </c>
      <c r="FZ95" t="s">
        <v>1309</v>
      </c>
      <c r="GA95" t="s">
        <v>1310</v>
      </c>
      <c r="GB95" t="s">
        <v>1309</v>
      </c>
      <c r="GC95" t="s">
        <v>1309</v>
      </c>
      <c r="GD95" t="s">
        <v>1310</v>
      </c>
      <c r="GE95" t="s">
        <v>1309</v>
      </c>
      <c r="GF95" t="s">
        <v>1309</v>
      </c>
      <c r="GG95" t="s">
        <v>1309</v>
      </c>
      <c r="GI95" t="s">
        <v>1324</v>
      </c>
      <c r="GJ95" t="s">
        <v>1324</v>
      </c>
      <c r="GT95" t="s">
        <v>1325</v>
      </c>
      <c r="GU95" t="s">
        <v>1310</v>
      </c>
      <c r="GV95" t="s">
        <v>1309</v>
      </c>
      <c r="GW95" t="s">
        <v>1309</v>
      </c>
      <c r="GX95" t="s">
        <v>1309</v>
      </c>
      <c r="GY95" t="s">
        <v>1309</v>
      </c>
      <c r="GZ95" t="s">
        <v>1309</v>
      </c>
      <c r="HA95" t="s">
        <v>1309</v>
      </c>
      <c r="HB95" t="s">
        <v>1309</v>
      </c>
      <c r="HC95" t="s">
        <v>1309</v>
      </c>
      <c r="HD95" t="s">
        <v>1309</v>
      </c>
      <c r="HE95" t="s">
        <v>1309</v>
      </c>
      <c r="HF95" t="s">
        <v>1309</v>
      </c>
      <c r="HH95" t="s">
        <v>1326</v>
      </c>
      <c r="HI95" t="s">
        <v>1326</v>
      </c>
      <c r="HJ95" t="s">
        <v>1326</v>
      </c>
      <c r="HK95" t="s">
        <v>1326</v>
      </c>
      <c r="HL95" t="s">
        <v>1364</v>
      </c>
      <c r="HM95" t="s">
        <v>1363</v>
      </c>
      <c r="IA95" t="s">
        <v>1307</v>
      </c>
      <c r="IQ95" t="s">
        <v>1365</v>
      </c>
      <c r="IS95" t="s">
        <v>1316</v>
      </c>
      <c r="JF95" t="s">
        <v>1331</v>
      </c>
      <c r="JG95" t="s">
        <v>1393</v>
      </c>
      <c r="JH95" t="s">
        <v>1310</v>
      </c>
      <c r="JI95" t="s">
        <v>1309</v>
      </c>
      <c r="JJ95" t="s">
        <v>1309</v>
      </c>
      <c r="JK95" t="s">
        <v>1309</v>
      </c>
      <c r="JL95" t="s">
        <v>1309</v>
      </c>
      <c r="JM95" t="s">
        <v>1309</v>
      </c>
      <c r="JN95" t="s">
        <v>1309</v>
      </c>
      <c r="JO95" t="s">
        <v>1309</v>
      </c>
      <c r="JQ95" s="92" t="s">
        <v>1516</v>
      </c>
      <c r="JR95" s="92" t="s">
        <v>1660</v>
      </c>
      <c r="JS95" s="92">
        <v>31</v>
      </c>
      <c r="JT95" s="92" t="s">
        <v>1319</v>
      </c>
      <c r="JU95" s="92" t="s">
        <v>1575</v>
      </c>
      <c r="JV95" s="92" t="s">
        <v>1336</v>
      </c>
      <c r="JW95" s="92" t="s">
        <v>1296</v>
      </c>
      <c r="JX95" s="92" t="s">
        <v>71</v>
      </c>
      <c r="JY95" s="92" t="s">
        <v>5549</v>
      </c>
      <c r="JZ95" s="92" t="s">
        <v>1398</v>
      </c>
      <c r="KA95" s="92" t="s">
        <v>4846</v>
      </c>
      <c r="KB95" s="92" t="s">
        <v>1439</v>
      </c>
      <c r="KC95" s="92" t="s">
        <v>109</v>
      </c>
      <c r="KD95" s="92" t="s">
        <v>4844</v>
      </c>
      <c r="KE95" s="92" t="s">
        <v>1424</v>
      </c>
      <c r="KF95" s="92">
        <v>5200</v>
      </c>
      <c r="KG95" s="92" t="s">
        <v>1426</v>
      </c>
      <c r="KH95" s="92" t="s">
        <v>192</v>
      </c>
      <c r="KI95" s="92" t="s">
        <v>109</v>
      </c>
      <c r="KJ95" s="92" t="s">
        <v>192</v>
      </c>
      <c r="KK95" s="92" t="s">
        <v>109</v>
      </c>
      <c r="KL95" s="92" t="s">
        <v>1341</v>
      </c>
      <c r="KM95" s="92">
        <v>5000</v>
      </c>
      <c r="KN95" s="92" t="s">
        <v>1426</v>
      </c>
      <c r="KO95" s="92" t="s">
        <v>1341</v>
      </c>
      <c r="KP95" s="92" t="s">
        <v>1375</v>
      </c>
      <c r="KQ95" s="92" t="s">
        <v>192</v>
      </c>
      <c r="KR95" s="92">
        <v>10</v>
      </c>
      <c r="KS95" s="92" t="s">
        <v>1345</v>
      </c>
      <c r="KT95" s="92" t="s">
        <v>1344</v>
      </c>
      <c r="KU95" s="92">
        <v>10</v>
      </c>
      <c r="KV95" s="92" t="s">
        <v>1345</v>
      </c>
      <c r="KW95" s="92" t="s">
        <v>1344</v>
      </c>
      <c r="KX95" s="92" t="s">
        <v>1376</v>
      </c>
      <c r="KY95" s="92" t="s">
        <v>1377</v>
      </c>
      <c r="KZ95" s="92" t="s">
        <v>1378</v>
      </c>
      <c r="LA95" s="92" t="s">
        <v>109</v>
      </c>
      <c r="LB95" s="92" t="s">
        <v>109</v>
      </c>
      <c r="LC95" s="92" t="s">
        <v>4439</v>
      </c>
      <c r="LD95" s="92" t="s">
        <v>4439</v>
      </c>
      <c r="LE95" s="92" t="s">
        <v>192</v>
      </c>
      <c r="LF95" s="92" t="s">
        <v>192</v>
      </c>
    </row>
    <row r="96" spans="1:318" x14ac:dyDescent="0.25">
      <c r="A96" t="s">
        <v>1893</v>
      </c>
      <c r="B96" t="s">
        <v>1894</v>
      </c>
      <c r="C96" t="s">
        <v>1304</v>
      </c>
      <c r="D96" t="s">
        <v>1305</v>
      </c>
      <c r="E96" t="s">
        <v>1381</v>
      </c>
      <c r="G96" t="s">
        <v>1319</v>
      </c>
      <c r="H96">
        <v>3</v>
      </c>
      <c r="I96" t="s">
        <v>1358</v>
      </c>
      <c r="J96" t="s">
        <v>1382</v>
      </c>
      <c r="K96" t="s">
        <v>1309</v>
      </c>
      <c r="L96" t="s">
        <v>1310</v>
      </c>
      <c r="M96" t="s">
        <v>1309</v>
      </c>
      <c r="N96" t="s">
        <v>1309</v>
      </c>
      <c r="O96" t="s">
        <v>1309</v>
      </c>
      <c r="P96" t="s">
        <v>1310</v>
      </c>
      <c r="Q96" t="s">
        <v>1309</v>
      </c>
      <c r="R96" t="s">
        <v>1309</v>
      </c>
      <c r="S96">
        <v>2</v>
      </c>
      <c r="U96" t="s">
        <v>1312</v>
      </c>
      <c r="V96" t="s">
        <v>1312</v>
      </c>
      <c r="W96" t="s">
        <v>1312</v>
      </c>
      <c r="X96" t="s">
        <v>1312</v>
      </c>
      <c r="Y96" t="s">
        <v>1312</v>
      </c>
      <c r="Z96" t="s">
        <v>1312</v>
      </c>
      <c r="AC96">
        <v>1</v>
      </c>
      <c r="AF96" t="s">
        <v>1313</v>
      </c>
      <c r="AH96" t="s">
        <v>1315</v>
      </c>
      <c r="AJ96" t="s">
        <v>1315</v>
      </c>
      <c r="AL96" t="s">
        <v>1354</v>
      </c>
      <c r="BS96" t="s">
        <v>1307</v>
      </c>
      <c r="CE96" t="s">
        <v>1895</v>
      </c>
      <c r="CF96" t="s">
        <v>1309</v>
      </c>
      <c r="CG96" t="s">
        <v>1309</v>
      </c>
      <c r="CH96" t="s">
        <v>1309</v>
      </c>
      <c r="CI96" t="s">
        <v>1309</v>
      </c>
      <c r="CJ96" t="s">
        <v>1310</v>
      </c>
      <c r="CK96" t="s">
        <v>1309</v>
      </c>
      <c r="CL96" t="s">
        <v>1309</v>
      </c>
      <c r="CM96" t="s">
        <v>1309</v>
      </c>
      <c r="CN96" t="s">
        <v>1309</v>
      </c>
      <c r="CO96" t="s">
        <v>1310</v>
      </c>
      <c r="CP96" t="s">
        <v>1309</v>
      </c>
      <c r="CQ96" t="s">
        <v>1309</v>
      </c>
      <c r="CR96" t="s">
        <v>1309</v>
      </c>
      <c r="CT96" t="s">
        <v>4435</v>
      </c>
      <c r="CV96" t="s">
        <v>1444</v>
      </c>
      <c r="CW96" t="s">
        <v>1309</v>
      </c>
      <c r="CX96" t="s">
        <v>1310</v>
      </c>
      <c r="CY96" t="s">
        <v>1309</v>
      </c>
      <c r="CZ96" t="s">
        <v>1309</v>
      </c>
      <c r="DA96" t="s">
        <v>1309</v>
      </c>
      <c r="DB96" t="s">
        <v>1309</v>
      </c>
      <c r="DC96" t="s">
        <v>1309</v>
      </c>
      <c r="DE96" t="s">
        <v>1358</v>
      </c>
      <c r="DH96">
        <v>500</v>
      </c>
      <c r="DJ96" t="s">
        <v>1358</v>
      </c>
      <c r="DL96">
        <v>900</v>
      </c>
      <c r="DM96">
        <v>600</v>
      </c>
      <c r="DN96" t="s">
        <v>1385</v>
      </c>
      <c r="DO96" t="s">
        <v>1309</v>
      </c>
      <c r="DP96" t="s">
        <v>1309</v>
      </c>
      <c r="DQ96" t="s">
        <v>1309</v>
      </c>
      <c r="DR96" t="s">
        <v>1310</v>
      </c>
      <c r="DS96" t="s">
        <v>1309</v>
      </c>
      <c r="DT96" t="s">
        <v>1310</v>
      </c>
      <c r="DU96" t="s">
        <v>1309</v>
      </c>
      <c r="DV96" t="s">
        <v>1309</v>
      </c>
      <c r="DW96" t="s">
        <v>1309</v>
      </c>
      <c r="DY96" t="s">
        <v>1446</v>
      </c>
      <c r="DZ96">
        <v>300</v>
      </c>
      <c r="EA96" t="s">
        <v>1319</v>
      </c>
      <c r="EC96" t="s">
        <v>1322</v>
      </c>
      <c r="ED96">
        <v>800</v>
      </c>
      <c r="EE96" t="s">
        <v>1319</v>
      </c>
      <c r="EG96" t="s">
        <v>5356</v>
      </c>
      <c r="EI96" t="s">
        <v>1307</v>
      </c>
      <c r="ET96" t="s">
        <v>1307</v>
      </c>
      <c r="EV96" t="s">
        <v>1319</v>
      </c>
      <c r="EW96" t="s">
        <v>1361</v>
      </c>
      <c r="EX96" t="s">
        <v>1319</v>
      </c>
      <c r="EY96" t="s">
        <v>1319</v>
      </c>
      <c r="FA96" t="s">
        <v>1796</v>
      </c>
      <c r="FB96" t="s">
        <v>1309</v>
      </c>
      <c r="FC96" t="s">
        <v>1309</v>
      </c>
      <c r="FD96" t="s">
        <v>1310</v>
      </c>
      <c r="FE96" t="s">
        <v>1309</v>
      </c>
      <c r="FF96" t="s">
        <v>1309</v>
      </c>
      <c r="FG96" t="s">
        <v>1309</v>
      </c>
      <c r="FH96" t="s">
        <v>1309</v>
      </c>
      <c r="FI96" t="s">
        <v>1309</v>
      </c>
      <c r="FJ96" t="s">
        <v>1309</v>
      </c>
      <c r="FK96" t="s">
        <v>1309</v>
      </c>
      <c r="FL96" t="s">
        <v>1309</v>
      </c>
      <c r="FM96" t="s">
        <v>1309</v>
      </c>
      <c r="FN96" t="s">
        <v>1309</v>
      </c>
      <c r="FO96" t="s">
        <v>1309</v>
      </c>
      <c r="FP96" t="s">
        <v>1309</v>
      </c>
      <c r="FQ96" t="s">
        <v>1309</v>
      </c>
      <c r="FR96" t="s">
        <v>1309</v>
      </c>
      <c r="FT96" t="s">
        <v>1307</v>
      </c>
      <c r="GI96" t="s">
        <v>1324</v>
      </c>
      <c r="GJ96" t="s">
        <v>1324</v>
      </c>
      <c r="GT96" t="s">
        <v>1325</v>
      </c>
      <c r="GU96" t="s">
        <v>1310</v>
      </c>
      <c r="GV96" t="s">
        <v>1309</v>
      </c>
      <c r="GW96" t="s">
        <v>1309</v>
      </c>
      <c r="GX96" t="s">
        <v>1309</v>
      </c>
      <c r="GY96" t="s">
        <v>1309</v>
      </c>
      <c r="GZ96" t="s">
        <v>1309</v>
      </c>
      <c r="HA96" t="s">
        <v>1309</v>
      </c>
      <c r="HB96" t="s">
        <v>1309</v>
      </c>
      <c r="HC96" t="s">
        <v>1309</v>
      </c>
      <c r="HD96" t="s">
        <v>1309</v>
      </c>
      <c r="HE96" t="s">
        <v>1309</v>
      </c>
      <c r="HF96" t="s">
        <v>1309</v>
      </c>
      <c r="HH96" t="s">
        <v>1326</v>
      </c>
      <c r="HI96" t="s">
        <v>1327</v>
      </c>
      <c r="HJ96" t="s">
        <v>1326</v>
      </c>
      <c r="HK96" t="s">
        <v>1326</v>
      </c>
      <c r="HL96" t="s">
        <v>1364</v>
      </c>
      <c r="HM96" t="s">
        <v>1390</v>
      </c>
      <c r="IA96" t="s">
        <v>1319</v>
      </c>
      <c r="IB96" t="s">
        <v>1579</v>
      </c>
      <c r="IC96" t="s">
        <v>1309</v>
      </c>
      <c r="ID96" t="s">
        <v>1309</v>
      </c>
      <c r="IE96" t="s">
        <v>1309</v>
      </c>
      <c r="IF96" t="s">
        <v>1309</v>
      </c>
      <c r="IG96" t="s">
        <v>1310</v>
      </c>
      <c r="IH96" t="s">
        <v>1309</v>
      </c>
      <c r="II96" t="s">
        <v>1309</v>
      </c>
      <c r="IJ96" t="s">
        <v>1309</v>
      </c>
      <c r="IK96" t="s">
        <v>1310</v>
      </c>
      <c r="IL96" t="s">
        <v>1309</v>
      </c>
      <c r="IM96" t="s">
        <v>1309</v>
      </c>
      <c r="IN96" t="s">
        <v>1309</v>
      </c>
      <c r="IO96" t="s">
        <v>1309</v>
      </c>
      <c r="IQ96" t="s">
        <v>1308</v>
      </c>
      <c r="IS96" t="s">
        <v>1316</v>
      </c>
      <c r="JF96" t="s">
        <v>1316</v>
      </c>
      <c r="JG96" t="s">
        <v>1523</v>
      </c>
      <c r="JH96" t="s">
        <v>1309</v>
      </c>
      <c r="JI96" t="s">
        <v>1309</v>
      </c>
      <c r="JJ96" t="s">
        <v>1309</v>
      </c>
      <c r="JK96" t="s">
        <v>1310</v>
      </c>
      <c r="JL96" t="s">
        <v>1309</v>
      </c>
      <c r="JM96" t="s">
        <v>1309</v>
      </c>
      <c r="JN96" t="s">
        <v>1309</v>
      </c>
      <c r="JO96" t="s">
        <v>1309</v>
      </c>
      <c r="JQ96" s="92" t="s">
        <v>1333</v>
      </c>
      <c r="JR96" s="92" t="s">
        <v>1334</v>
      </c>
      <c r="JS96" s="92">
        <v>34</v>
      </c>
      <c r="JT96" s="92" t="s">
        <v>1319</v>
      </c>
      <c r="JU96" s="92" t="s">
        <v>1396</v>
      </c>
      <c r="JV96" s="92" t="s">
        <v>1336</v>
      </c>
      <c r="JW96" s="92" t="s">
        <v>1296</v>
      </c>
      <c r="JX96" s="92" t="s">
        <v>71</v>
      </c>
      <c r="JY96" s="92" t="s">
        <v>1397</v>
      </c>
      <c r="JZ96" s="92" t="s">
        <v>1398</v>
      </c>
      <c r="KA96" s="92" t="s">
        <v>4845</v>
      </c>
      <c r="KB96" s="92" t="s">
        <v>1399</v>
      </c>
      <c r="KC96" s="92" t="s">
        <v>109</v>
      </c>
      <c r="KD96" s="92" t="s">
        <v>4844</v>
      </c>
      <c r="KE96" s="92" t="s">
        <v>1340</v>
      </c>
      <c r="KF96" s="92">
        <v>500</v>
      </c>
      <c r="KG96" s="92" t="s">
        <v>1340</v>
      </c>
      <c r="KH96" s="92" t="s">
        <v>109</v>
      </c>
      <c r="KI96" s="92" t="s">
        <v>192</v>
      </c>
      <c r="KJ96" s="92" t="s">
        <v>109</v>
      </c>
      <c r="KK96" s="92" t="s">
        <v>192</v>
      </c>
      <c r="KL96" s="92" t="s">
        <v>1373</v>
      </c>
      <c r="KM96" s="92">
        <v>1500</v>
      </c>
      <c r="KN96" s="92" t="s">
        <v>1340</v>
      </c>
      <c r="KO96" s="92" t="s">
        <v>1440</v>
      </c>
      <c r="KP96" s="92" t="s">
        <v>1375</v>
      </c>
      <c r="KQ96" s="92" t="s">
        <v>192</v>
      </c>
      <c r="KR96" s="92">
        <v>60</v>
      </c>
      <c r="KS96" s="92" t="s">
        <v>1343</v>
      </c>
      <c r="KT96" s="92" t="s">
        <v>1344</v>
      </c>
      <c r="KU96" s="92">
        <v>53</v>
      </c>
      <c r="KV96" s="92" t="s">
        <v>1441</v>
      </c>
      <c r="KW96" s="92" t="s">
        <v>1344</v>
      </c>
      <c r="KX96" s="92" t="s">
        <v>1376</v>
      </c>
      <c r="KY96" s="92" t="s">
        <v>1347</v>
      </c>
      <c r="KZ96" s="92" t="s">
        <v>1403</v>
      </c>
      <c r="LA96" s="92" t="s">
        <v>109</v>
      </c>
      <c r="LB96" s="92" t="s">
        <v>109</v>
      </c>
      <c r="LC96" s="92" t="s">
        <v>5566</v>
      </c>
      <c r="LD96" s="92" t="s">
        <v>5566</v>
      </c>
      <c r="LE96" s="92"/>
      <c r="LF96" s="92"/>
    </row>
    <row r="97" spans="1:318" x14ac:dyDescent="0.25">
      <c r="A97" t="s">
        <v>1896</v>
      </c>
      <c r="B97" t="s">
        <v>1897</v>
      </c>
      <c r="C97" t="s">
        <v>1304</v>
      </c>
      <c r="D97" t="s">
        <v>1305</v>
      </c>
      <c r="E97" t="s">
        <v>1381</v>
      </c>
      <c r="G97" t="s">
        <v>1319</v>
      </c>
      <c r="H97">
        <v>1</v>
      </c>
      <c r="J97" t="s">
        <v>1430</v>
      </c>
      <c r="K97" t="s">
        <v>1309</v>
      </c>
      <c r="L97" t="s">
        <v>1309</v>
      </c>
      <c r="M97" t="s">
        <v>1310</v>
      </c>
      <c r="N97" t="s">
        <v>1309</v>
      </c>
      <c r="O97" t="s">
        <v>1309</v>
      </c>
      <c r="P97" t="s">
        <v>1309</v>
      </c>
      <c r="Q97" t="s">
        <v>1309</v>
      </c>
      <c r="R97" t="s">
        <v>1309</v>
      </c>
      <c r="T97">
        <v>1</v>
      </c>
      <c r="U97" t="s">
        <v>1311</v>
      </c>
      <c r="V97" t="s">
        <v>1312</v>
      </c>
      <c r="W97" t="s">
        <v>1312</v>
      </c>
      <c r="X97" t="s">
        <v>1312</v>
      </c>
      <c r="Y97" t="s">
        <v>1312</v>
      </c>
      <c r="Z97" t="s">
        <v>1312</v>
      </c>
      <c r="AC97">
        <v>1</v>
      </c>
      <c r="AD97">
        <v>5000</v>
      </c>
      <c r="AE97">
        <v>3500</v>
      </c>
      <c r="AF97" t="s">
        <v>1313</v>
      </c>
      <c r="AH97" t="s">
        <v>1315</v>
      </c>
      <c r="AJ97" t="s">
        <v>1353</v>
      </c>
      <c r="AL97" t="s">
        <v>1316</v>
      </c>
      <c r="BA97" t="s">
        <v>1316</v>
      </c>
      <c r="BS97" t="s">
        <v>1307</v>
      </c>
      <c r="CE97" t="s">
        <v>1590</v>
      </c>
      <c r="CF97" t="s">
        <v>1310</v>
      </c>
      <c r="CG97" t="s">
        <v>1309</v>
      </c>
      <c r="CH97" t="s">
        <v>1309</v>
      </c>
      <c r="CI97" t="s">
        <v>1309</v>
      </c>
      <c r="CJ97" t="s">
        <v>1309</v>
      </c>
      <c r="CK97" t="s">
        <v>1309</v>
      </c>
      <c r="CL97" t="s">
        <v>1309</v>
      </c>
      <c r="CM97" t="s">
        <v>1309</v>
      </c>
      <c r="CN97" t="s">
        <v>1310</v>
      </c>
      <c r="CO97" t="s">
        <v>1309</v>
      </c>
      <c r="CP97" t="s">
        <v>1309</v>
      </c>
      <c r="CQ97" t="s">
        <v>1309</v>
      </c>
      <c r="CR97" t="s">
        <v>1309</v>
      </c>
      <c r="CT97" t="s">
        <v>4434</v>
      </c>
      <c r="CV97" t="s">
        <v>1308</v>
      </c>
      <c r="CW97" t="s">
        <v>1310</v>
      </c>
      <c r="CX97" t="s">
        <v>1309</v>
      </c>
      <c r="CY97" t="s">
        <v>1309</v>
      </c>
      <c r="CZ97" t="s">
        <v>1309</v>
      </c>
      <c r="DA97" t="s">
        <v>1309</v>
      </c>
      <c r="DB97" t="s">
        <v>1309</v>
      </c>
      <c r="DC97" t="s">
        <v>1309</v>
      </c>
      <c r="DE97" t="s">
        <v>1358</v>
      </c>
      <c r="DG97">
        <v>1500</v>
      </c>
      <c r="DI97">
        <v>300</v>
      </c>
      <c r="DJ97" t="s">
        <v>1358</v>
      </c>
      <c r="DK97">
        <v>2000</v>
      </c>
      <c r="DM97">
        <v>400</v>
      </c>
      <c r="DN97" t="s">
        <v>1842</v>
      </c>
      <c r="DO97" t="s">
        <v>1309</v>
      </c>
      <c r="DP97" t="s">
        <v>1310</v>
      </c>
      <c r="DQ97" t="s">
        <v>1309</v>
      </c>
      <c r="DR97" t="s">
        <v>1309</v>
      </c>
      <c r="DS97" t="s">
        <v>1310</v>
      </c>
      <c r="DT97" t="s">
        <v>1310</v>
      </c>
      <c r="DU97" t="s">
        <v>1309</v>
      </c>
      <c r="DV97" t="s">
        <v>1309</v>
      </c>
      <c r="DW97" t="s">
        <v>1309</v>
      </c>
      <c r="DY97" t="s">
        <v>1456</v>
      </c>
      <c r="DZ97">
        <v>300</v>
      </c>
      <c r="EA97" t="s">
        <v>1319</v>
      </c>
      <c r="EC97" t="s">
        <v>1457</v>
      </c>
      <c r="ED97">
        <v>1000</v>
      </c>
      <c r="EE97" t="s">
        <v>1319</v>
      </c>
      <c r="EG97" t="s">
        <v>5356</v>
      </c>
      <c r="EI97" t="s">
        <v>1307</v>
      </c>
      <c r="ET97" t="s">
        <v>1307</v>
      </c>
      <c r="EV97" t="s">
        <v>1319</v>
      </c>
      <c r="EW97" t="s">
        <v>1409</v>
      </c>
      <c r="EX97" t="s">
        <v>1319</v>
      </c>
      <c r="EY97" t="s">
        <v>1319</v>
      </c>
      <c r="FA97" t="s">
        <v>1731</v>
      </c>
      <c r="FB97" t="s">
        <v>1310</v>
      </c>
      <c r="FC97" t="s">
        <v>1310</v>
      </c>
      <c r="FD97" t="s">
        <v>1309</v>
      </c>
      <c r="FE97" t="s">
        <v>1309</v>
      </c>
      <c r="FF97" t="s">
        <v>1309</v>
      </c>
      <c r="FG97" t="s">
        <v>1309</v>
      </c>
      <c r="FH97" t="s">
        <v>1309</v>
      </c>
      <c r="FI97" t="s">
        <v>1309</v>
      </c>
      <c r="FJ97" t="s">
        <v>1309</v>
      </c>
      <c r="FK97" t="s">
        <v>1309</v>
      </c>
      <c r="FL97" t="s">
        <v>1309</v>
      </c>
      <c r="FM97" t="s">
        <v>1309</v>
      </c>
      <c r="FN97" t="s">
        <v>1309</v>
      </c>
      <c r="FO97" t="s">
        <v>1309</v>
      </c>
      <c r="FP97" t="s">
        <v>1309</v>
      </c>
      <c r="FQ97" t="s">
        <v>1309</v>
      </c>
      <c r="FR97" t="s">
        <v>1309</v>
      </c>
      <c r="FT97" t="s">
        <v>1319</v>
      </c>
      <c r="FU97" t="s">
        <v>1649</v>
      </c>
      <c r="FV97" t="s">
        <v>1310</v>
      </c>
      <c r="FW97" t="s">
        <v>1310</v>
      </c>
      <c r="FX97" t="s">
        <v>1309</v>
      </c>
      <c r="FY97" t="s">
        <v>1309</v>
      </c>
      <c r="FZ97" t="s">
        <v>1309</v>
      </c>
      <c r="GA97" t="s">
        <v>1309</v>
      </c>
      <c r="GB97" t="s">
        <v>1309</v>
      </c>
      <c r="GC97" t="s">
        <v>1309</v>
      </c>
      <c r="GD97" t="s">
        <v>1309</v>
      </c>
      <c r="GE97" t="s">
        <v>1309</v>
      </c>
      <c r="GF97" t="s">
        <v>1309</v>
      </c>
      <c r="GG97" t="s">
        <v>1309</v>
      </c>
      <c r="GI97" t="s">
        <v>1324</v>
      </c>
      <c r="GJ97" t="s">
        <v>1324</v>
      </c>
      <c r="GT97" t="s">
        <v>1325</v>
      </c>
      <c r="GU97" t="s">
        <v>1310</v>
      </c>
      <c r="GV97" t="s">
        <v>1309</v>
      </c>
      <c r="GW97" t="s">
        <v>1309</v>
      </c>
      <c r="GX97" t="s">
        <v>1309</v>
      </c>
      <c r="GY97" t="s">
        <v>1309</v>
      </c>
      <c r="GZ97" t="s">
        <v>1309</v>
      </c>
      <c r="HA97" t="s">
        <v>1309</v>
      </c>
      <c r="HB97" t="s">
        <v>1309</v>
      </c>
      <c r="HC97" t="s">
        <v>1309</v>
      </c>
      <c r="HD97" t="s">
        <v>1309</v>
      </c>
      <c r="HE97" t="s">
        <v>1309</v>
      </c>
      <c r="HF97" t="s">
        <v>1309</v>
      </c>
      <c r="HH97" t="s">
        <v>1390</v>
      </c>
      <c r="HI97" t="s">
        <v>1390</v>
      </c>
      <c r="HJ97" t="s">
        <v>1390</v>
      </c>
      <c r="HK97" t="s">
        <v>1327</v>
      </c>
      <c r="HL97" t="s">
        <v>1692</v>
      </c>
      <c r="HM97" t="s">
        <v>1390</v>
      </c>
      <c r="HN97" t="s">
        <v>1549</v>
      </c>
      <c r="HO97" t="s">
        <v>1310</v>
      </c>
      <c r="HP97" t="s">
        <v>1310</v>
      </c>
      <c r="HQ97" t="s">
        <v>1309</v>
      </c>
      <c r="HR97" t="s">
        <v>1309</v>
      </c>
      <c r="HS97" t="s">
        <v>1309</v>
      </c>
      <c r="HT97" t="s">
        <v>1309</v>
      </c>
      <c r="HU97" t="s">
        <v>1309</v>
      </c>
      <c r="HV97" t="s">
        <v>1309</v>
      </c>
      <c r="HW97" t="s">
        <v>1309</v>
      </c>
      <c r="HX97" t="s">
        <v>1309</v>
      </c>
      <c r="HY97" t="s">
        <v>1309</v>
      </c>
      <c r="IA97" t="s">
        <v>1307</v>
      </c>
      <c r="IQ97" t="s">
        <v>1365</v>
      </c>
      <c r="IS97" t="s">
        <v>1316</v>
      </c>
      <c r="JF97" t="s">
        <v>1316</v>
      </c>
      <c r="JG97" t="s">
        <v>1523</v>
      </c>
      <c r="JH97" t="s">
        <v>1309</v>
      </c>
      <c r="JI97" t="s">
        <v>1309</v>
      </c>
      <c r="JJ97" t="s">
        <v>1309</v>
      </c>
      <c r="JK97" t="s">
        <v>1310</v>
      </c>
      <c r="JL97" t="s">
        <v>1309</v>
      </c>
      <c r="JM97" t="s">
        <v>1309</v>
      </c>
      <c r="JN97" t="s">
        <v>1309</v>
      </c>
      <c r="JO97" t="s">
        <v>1309</v>
      </c>
      <c r="JQ97" s="92" t="s">
        <v>1711</v>
      </c>
      <c r="JR97" s="92" t="s">
        <v>1712</v>
      </c>
      <c r="JS97" s="92">
        <v>66</v>
      </c>
      <c r="JT97" s="92" t="s">
        <v>1319</v>
      </c>
      <c r="JU97" s="92" t="s">
        <v>1396</v>
      </c>
      <c r="JV97" s="92" t="s">
        <v>1368</v>
      </c>
      <c r="JW97" s="92" t="s">
        <v>1296</v>
      </c>
      <c r="JX97" s="92" t="s">
        <v>71</v>
      </c>
      <c r="JY97" s="92" t="s">
        <v>1397</v>
      </c>
      <c r="JZ97" s="92" t="s">
        <v>1369</v>
      </c>
      <c r="KA97" s="92" t="s">
        <v>4844</v>
      </c>
      <c r="KB97" s="92" t="s">
        <v>1476</v>
      </c>
      <c r="KC97" s="92" t="s">
        <v>109</v>
      </c>
      <c r="KD97" s="92" t="s">
        <v>4844</v>
      </c>
      <c r="KE97" s="92" t="s">
        <v>5560</v>
      </c>
      <c r="KF97" s="92">
        <v>1800</v>
      </c>
      <c r="KG97" s="92" t="s">
        <v>4439</v>
      </c>
      <c r="KH97" s="92" t="s">
        <v>192</v>
      </c>
      <c r="KI97" s="92" t="s">
        <v>109</v>
      </c>
      <c r="KJ97" s="92" t="s">
        <v>192</v>
      </c>
      <c r="KK97" s="92" t="s">
        <v>109</v>
      </c>
      <c r="KL97" s="92" t="s">
        <v>1440</v>
      </c>
      <c r="KM97" s="92">
        <v>2400</v>
      </c>
      <c r="KN97" s="92" t="s">
        <v>4439</v>
      </c>
      <c r="KO97" s="92" t="s">
        <v>1425</v>
      </c>
      <c r="KP97" s="92" t="s">
        <v>1460</v>
      </c>
      <c r="KQ97" s="92" t="s">
        <v>192</v>
      </c>
      <c r="KR97" s="92">
        <v>17</v>
      </c>
      <c r="KS97" s="92" t="s">
        <v>1343</v>
      </c>
      <c r="KT97" s="92" t="s">
        <v>1344</v>
      </c>
      <c r="KU97" s="92">
        <v>42</v>
      </c>
      <c r="KV97" s="92" t="s">
        <v>1461</v>
      </c>
      <c r="KW97" s="92" t="s">
        <v>1344</v>
      </c>
      <c r="KX97" s="92" t="s">
        <v>1376</v>
      </c>
      <c r="KY97" s="92" t="s">
        <v>1377</v>
      </c>
      <c r="KZ97" s="92" t="s">
        <v>1403</v>
      </c>
      <c r="LA97" s="92" t="s">
        <v>109</v>
      </c>
      <c r="LB97" s="92" t="s">
        <v>109</v>
      </c>
      <c r="LC97" s="92" t="s">
        <v>4439</v>
      </c>
      <c r="LD97" s="92" t="s">
        <v>4439</v>
      </c>
      <c r="LE97" s="92" t="s">
        <v>192</v>
      </c>
      <c r="LF97" s="92" t="s">
        <v>192</v>
      </c>
    </row>
    <row r="98" spans="1:318" x14ac:dyDescent="0.25">
      <c r="A98" t="s">
        <v>1898</v>
      </c>
      <c r="B98" t="s">
        <v>1899</v>
      </c>
      <c r="C98" t="s">
        <v>1304</v>
      </c>
      <c r="D98" t="s">
        <v>1305</v>
      </c>
      <c r="E98" t="s">
        <v>1381</v>
      </c>
      <c r="G98" t="s">
        <v>1319</v>
      </c>
      <c r="H98">
        <v>2</v>
      </c>
      <c r="I98" t="s">
        <v>1358</v>
      </c>
      <c r="J98" t="s">
        <v>1382</v>
      </c>
      <c r="K98" t="s">
        <v>1309</v>
      </c>
      <c r="L98" t="s">
        <v>1310</v>
      </c>
      <c r="M98" t="s">
        <v>1309</v>
      </c>
      <c r="N98" t="s">
        <v>1309</v>
      </c>
      <c r="O98" t="s">
        <v>1309</v>
      </c>
      <c r="P98" t="s">
        <v>1310</v>
      </c>
      <c r="Q98" t="s">
        <v>1309</v>
      </c>
      <c r="R98" t="s">
        <v>1309</v>
      </c>
      <c r="S98">
        <v>1</v>
      </c>
      <c r="U98" t="s">
        <v>1312</v>
      </c>
      <c r="V98" t="s">
        <v>1312</v>
      </c>
      <c r="W98" t="s">
        <v>1312</v>
      </c>
      <c r="X98" t="s">
        <v>1312</v>
      </c>
      <c r="Y98" t="s">
        <v>1312</v>
      </c>
      <c r="Z98" t="s">
        <v>1312</v>
      </c>
      <c r="AC98">
        <v>2</v>
      </c>
      <c r="AD98">
        <v>7000</v>
      </c>
      <c r="AE98">
        <v>7000</v>
      </c>
      <c r="AF98" t="s">
        <v>1313</v>
      </c>
      <c r="AH98" t="s">
        <v>1315</v>
      </c>
      <c r="AJ98" t="s">
        <v>1315</v>
      </c>
      <c r="AL98" t="s">
        <v>1316</v>
      </c>
      <c r="BS98" t="s">
        <v>1307</v>
      </c>
      <c r="CE98" t="s">
        <v>1355</v>
      </c>
      <c r="CF98" t="s">
        <v>1309</v>
      </c>
      <c r="CG98" t="s">
        <v>1309</v>
      </c>
      <c r="CH98" t="s">
        <v>1309</v>
      </c>
      <c r="CI98" t="s">
        <v>1309</v>
      </c>
      <c r="CJ98" t="s">
        <v>1309</v>
      </c>
      <c r="CK98" t="s">
        <v>1309</v>
      </c>
      <c r="CL98" t="s">
        <v>1309</v>
      </c>
      <c r="CM98" t="s">
        <v>1309</v>
      </c>
      <c r="CN98" t="s">
        <v>1310</v>
      </c>
      <c r="CO98" t="s">
        <v>1309</v>
      </c>
      <c r="CP98" t="s">
        <v>1309</v>
      </c>
      <c r="CQ98" t="s">
        <v>1309</v>
      </c>
      <c r="CR98" t="s">
        <v>1309</v>
      </c>
      <c r="CT98" t="s">
        <v>4435</v>
      </c>
      <c r="CV98" t="s">
        <v>1357</v>
      </c>
      <c r="CW98" t="s">
        <v>1309</v>
      </c>
      <c r="CX98" t="s">
        <v>1309</v>
      </c>
      <c r="CY98" t="s">
        <v>1309</v>
      </c>
      <c r="CZ98" t="s">
        <v>1309</v>
      </c>
      <c r="DA98" t="s">
        <v>1310</v>
      </c>
      <c r="DB98" t="s">
        <v>1309</v>
      </c>
      <c r="DC98" t="s">
        <v>1309</v>
      </c>
      <c r="DE98" t="s">
        <v>1358</v>
      </c>
      <c r="DF98" t="s">
        <v>1319</v>
      </c>
      <c r="DG98">
        <v>150</v>
      </c>
      <c r="DH98">
        <v>1500</v>
      </c>
      <c r="DI98">
        <v>500</v>
      </c>
      <c r="DJ98" t="s">
        <v>1358</v>
      </c>
      <c r="DK98">
        <v>200</v>
      </c>
      <c r="DL98">
        <v>2000</v>
      </c>
      <c r="DM98">
        <v>700</v>
      </c>
      <c r="DN98" t="s">
        <v>1615</v>
      </c>
      <c r="DO98" t="s">
        <v>1309</v>
      </c>
      <c r="DP98" t="s">
        <v>1310</v>
      </c>
      <c r="DQ98" t="s">
        <v>1309</v>
      </c>
      <c r="DR98" t="s">
        <v>1310</v>
      </c>
      <c r="DS98" t="s">
        <v>1310</v>
      </c>
      <c r="DT98" t="s">
        <v>1310</v>
      </c>
      <c r="DU98" t="s">
        <v>1309</v>
      </c>
      <c r="DV98" t="s">
        <v>1309</v>
      </c>
      <c r="DW98" t="s">
        <v>1309</v>
      </c>
      <c r="DY98" t="s">
        <v>1456</v>
      </c>
      <c r="DZ98">
        <v>600</v>
      </c>
      <c r="EA98" t="s">
        <v>1319</v>
      </c>
      <c r="EC98" t="s">
        <v>1624</v>
      </c>
      <c r="ED98">
        <v>800</v>
      </c>
      <c r="EE98" t="s">
        <v>1319</v>
      </c>
      <c r="EG98" t="s">
        <v>5356</v>
      </c>
      <c r="EI98" t="s">
        <v>1307</v>
      </c>
      <c r="ET98" t="s">
        <v>1434</v>
      </c>
      <c r="EV98" t="s">
        <v>1319</v>
      </c>
      <c r="EW98" t="s">
        <v>1409</v>
      </c>
      <c r="EX98" t="s">
        <v>1319</v>
      </c>
      <c r="EY98" t="s">
        <v>1307</v>
      </c>
      <c r="FA98" t="s">
        <v>1470</v>
      </c>
      <c r="FB98" t="s">
        <v>1309</v>
      </c>
      <c r="FC98" t="s">
        <v>1309</v>
      </c>
      <c r="FD98" t="s">
        <v>1309</v>
      </c>
      <c r="FE98" t="s">
        <v>1309</v>
      </c>
      <c r="FF98" t="s">
        <v>1309</v>
      </c>
      <c r="FG98" t="s">
        <v>1309</v>
      </c>
      <c r="FH98" t="s">
        <v>1310</v>
      </c>
      <c r="FI98" t="s">
        <v>1309</v>
      </c>
      <c r="FJ98" t="s">
        <v>1309</v>
      </c>
      <c r="FK98" t="s">
        <v>1309</v>
      </c>
      <c r="FL98" t="s">
        <v>1309</v>
      </c>
      <c r="FM98" t="s">
        <v>1309</v>
      </c>
      <c r="FN98" t="s">
        <v>1309</v>
      </c>
      <c r="FO98" t="s">
        <v>1309</v>
      </c>
      <c r="FP98" t="s">
        <v>1309</v>
      </c>
      <c r="FQ98" t="s">
        <v>1309</v>
      </c>
      <c r="FR98" t="s">
        <v>1309</v>
      </c>
      <c r="FT98" t="s">
        <v>1307</v>
      </c>
      <c r="GI98" t="s">
        <v>1436</v>
      </c>
      <c r="GJ98" t="s">
        <v>1324</v>
      </c>
      <c r="GK98" t="s">
        <v>1307</v>
      </c>
      <c r="GT98" t="s">
        <v>1325</v>
      </c>
      <c r="GU98" t="s">
        <v>1310</v>
      </c>
      <c r="GV98" t="s">
        <v>1309</v>
      </c>
      <c r="GW98" t="s">
        <v>1309</v>
      </c>
      <c r="GX98" t="s">
        <v>1309</v>
      </c>
      <c r="GY98" t="s">
        <v>1309</v>
      </c>
      <c r="GZ98" t="s">
        <v>1309</v>
      </c>
      <c r="HA98" t="s">
        <v>1309</v>
      </c>
      <c r="HB98" t="s">
        <v>1309</v>
      </c>
      <c r="HC98" t="s">
        <v>1309</v>
      </c>
      <c r="HD98" t="s">
        <v>1309</v>
      </c>
      <c r="HE98" t="s">
        <v>1309</v>
      </c>
      <c r="HF98" t="s">
        <v>1309</v>
      </c>
      <c r="HH98" t="s">
        <v>1390</v>
      </c>
      <c r="HI98" t="s">
        <v>1390</v>
      </c>
      <c r="HJ98" t="s">
        <v>1390</v>
      </c>
      <c r="HK98" t="s">
        <v>1327</v>
      </c>
      <c r="HL98" t="s">
        <v>1437</v>
      </c>
      <c r="HM98" t="s">
        <v>1390</v>
      </c>
      <c r="HN98" t="s">
        <v>1435</v>
      </c>
      <c r="HO98" t="s">
        <v>1309</v>
      </c>
      <c r="HP98" t="s">
        <v>1310</v>
      </c>
      <c r="HQ98" t="s">
        <v>1309</v>
      </c>
      <c r="HR98" t="s">
        <v>1309</v>
      </c>
      <c r="HS98" t="s">
        <v>1309</v>
      </c>
      <c r="HT98" t="s">
        <v>1309</v>
      </c>
      <c r="HU98" t="s">
        <v>1309</v>
      </c>
      <c r="HV98" t="s">
        <v>1309</v>
      </c>
      <c r="HW98" t="s">
        <v>1309</v>
      </c>
      <c r="HX98" t="s">
        <v>1309</v>
      </c>
      <c r="HY98" t="s">
        <v>1309</v>
      </c>
      <c r="IA98" t="s">
        <v>1307</v>
      </c>
      <c r="IQ98" t="s">
        <v>1330</v>
      </c>
      <c r="IS98" t="s">
        <v>1316</v>
      </c>
      <c r="JF98" t="s">
        <v>1316</v>
      </c>
      <c r="JG98" t="s">
        <v>1414</v>
      </c>
      <c r="JH98" t="s">
        <v>1309</v>
      </c>
      <c r="JI98" t="s">
        <v>1309</v>
      </c>
      <c r="JJ98" t="s">
        <v>1309</v>
      </c>
      <c r="JK98" t="s">
        <v>1309</v>
      </c>
      <c r="JL98" t="s">
        <v>1309</v>
      </c>
      <c r="JM98" t="s">
        <v>1309</v>
      </c>
      <c r="JN98" t="s">
        <v>1310</v>
      </c>
      <c r="JO98" t="s">
        <v>1309</v>
      </c>
      <c r="JQ98" s="92" t="s">
        <v>1333</v>
      </c>
      <c r="JR98" s="92" t="s">
        <v>1334</v>
      </c>
      <c r="JS98" s="92">
        <v>32</v>
      </c>
      <c r="JT98" s="92" t="s">
        <v>1319</v>
      </c>
      <c r="JU98" s="92" t="s">
        <v>1396</v>
      </c>
      <c r="JV98" s="92" t="s">
        <v>1336</v>
      </c>
      <c r="JW98" s="92" t="s">
        <v>1296</v>
      </c>
      <c r="JX98" s="92" t="s">
        <v>71</v>
      </c>
      <c r="JY98" s="92" t="s">
        <v>1397</v>
      </c>
      <c r="JZ98" s="92" t="s">
        <v>1398</v>
      </c>
      <c r="KA98" s="92" t="s">
        <v>4845</v>
      </c>
      <c r="KB98" s="92" t="s">
        <v>1399</v>
      </c>
      <c r="KC98" s="92" t="s">
        <v>109</v>
      </c>
      <c r="KD98" s="92" t="s">
        <v>4847</v>
      </c>
      <c r="KE98" s="92" t="s">
        <v>1424</v>
      </c>
      <c r="KF98" s="92">
        <v>2150</v>
      </c>
      <c r="KG98" s="92" t="s">
        <v>4439</v>
      </c>
      <c r="KH98" s="92" t="s">
        <v>192</v>
      </c>
      <c r="KI98" s="92" t="s">
        <v>192</v>
      </c>
      <c r="KJ98" s="92" t="s">
        <v>192</v>
      </c>
      <c r="KK98" s="92" t="s">
        <v>192</v>
      </c>
      <c r="KL98" s="92" t="s">
        <v>1425</v>
      </c>
      <c r="KM98" s="92">
        <v>2900</v>
      </c>
      <c r="KN98" s="92" t="s">
        <v>4439</v>
      </c>
      <c r="KO98" s="92" t="s">
        <v>1425</v>
      </c>
      <c r="KP98" s="92" t="s">
        <v>1375</v>
      </c>
      <c r="KQ98" s="92" t="s">
        <v>192</v>
      </c>
      <c r="KR98" s="92">
        <v>28</v>
      </c>
      <c r="KS98" s="92" t="s">
        <v>1345</v>
      </c>
      <c r="KT98" s="92" t="s">
        <v>1344</v>
      </c>
      <c r="KU98" s="92">
        <v>28</v>
      </c>
      <c r="KV98" s="92" t="s">
        <v>1441</v>
      </c>
      <c r="KW98" s="92" t="s">
        <v>1344</v>
      </c>
      <c r="KX98" s="92" t="s">
        <v>1376</v>
      </c>
      <c r="KY98" s="92" t="s">
        <v>1377</v>
      </c>
      <c r="KZ98" s="92" t="s">
        <v>1403</v>
      </c>
      <c r="LA98" s="92" t="s">
        <v>109</v>
      </c>
      <c r="LB98" s="92" t="s">
        <v>109</v>
      </c>
      <c r="LC98" s="92" t="s">
        <v>4438</v>
      </c>
      <c r="LD98" s="92" t="s">
        <v>4439</v>
      </c>
      <c r="LE98" s="92" t="s">
        <v>192</v>
      </c>
      <c r="LF98" s="92" t="s">
        <v>192</v>
      </c>
    </row>
    <row r="99" spans="1:318" x14ac:dyDescent="0.25">
      <c r="A99" t="s">
        <v>1900</v>
      </c>
      <c r="B99" t="s">
        <v>1901</v>
      </c>
      <c r="C99" t="s">
        <v>1304</v>
      </c>
      <c r="D99" t="s">
        <v>1305</v>
      </c>
      <c r="E99" t="s">
        <v>1306</v>
      </c>
      <c r="G99" t="s">
        <v>1307</v>
      </c>
      <c r="H99">
        <v>3</v>
      </c>
      <c r="I99" t="s">
        <v>1307</v>
      </c>
      <c r="J99" t="s">
        <v>1406</v>
      </c>
      <c r="K99" t="s">
        <v>1309</v>
      </c>
      <c r="L99" t="s">
        <v>1310</v>
      </c>
      <c r="M99" t="s">
        <v>1309</v>
      </c>
      <c r="N99" t="s">
        <v>1309</v>
      </c>
      <c r="O99" t="s">
        <v>1309</v>
      </c>
      <c r="P99" t="s">
        <v>1309</v>
      </c>
      <c r="Q99" t="s">
        <v>1309</v>
      </c>
      <c r="R99" t="s">
        <v>1309</v>
      </c>
      <c r="S99">
        <v>1</v>
      </c>
      <c r="U99" t="s">
        <v>1311</v>
      </c>
      <c r="V99" t="s">
        <v>1312</v>
      </c>
      <c r="W99" t="s">
        <v>1312</v>
      </c>
      <c r="X99" t="s">
        <v>1312</v>
      </c>
      <c r="Y99" t="s">
        <v>1312</v>
      </c>
      <c r="Z99" t="s">
        <v>1312</v>
      </c>
      <c r="AC99">
        <v>2</v>
      </c>
      <c r="AD99">
        <v>12000</v>
      </c>
      <c r="AE99">
        <v>6000</v>
      </c>
      <c r="AF99" t="s">
        <v>1313</v>
      </c>
      <c r="AH99" t="s">
        <v>1383</v>
      </c>
      <c r="AJ99" t="s">
        <v>1315</v>
      </c>
      <c r="AL99" t="s">
        <v>1316</v>
      </c>
      <c r="BS99" t="s">
        <v>1307</v>
      </c>
      <c r="CE99" t="s">
        <v>1317</v>
      </c>
      <c r="CF99" t="s">
        <v>1309</v>
      </c>
      <c r="CG99" t="s">
        <v>1309</v>
      </c>
      <c r="CH99" t="s">
        <v>1309</v>
      </c>
      <c r="CI99" t="s">
        <v>1309</v>
      </c>
      <c r="CJ99" t="s">
        <v>1309</v>
      </c>
      <c r="CK99" t="s">
        <v>1309</v>
      </c>
      <c r="CL99" t="s">
        <v>1309</v>
      </c>
      <c r="CM99" t="s">
        <v>1309</v>
      </c>
      <c r="CN99" t="s">
        <v>1310</v>
      </c>
      <c r="CO99" t="s">
        <v>1310</v>
      </c>
      <c r="CP99" t="s">
        <v>1309</v>
      </c>
      <c r="CQ99" t="s">
        <v>1309</v>
      </c>
      <c r="CR99" t="s">
        <v>1309</v>
      </c>
      <c r="CT99" t="s">
        <v>4435</v>
      </c>
      <c r="CV99" t="s">
        <v>1308</v>
      </c>
      <c r="CW99" t="s">
        <v>1310</v>
      </c>
      <c r="CX99" t="s">
        <v>1309</v>
      </c>
      <c r="CY99" t="s">
        <v>1309</v>
      </c>
      <c r="CZ99" t="s">
        <v>1309</v>
      </c>
      <c r="DA99" t="s">
        <v>1309</v>
      </c>
      <c r="DB99" t="s">
        <v>1309</v>
      </c>
      <c r="DC99" t="s">
        <v>1309</v>
      </c>
      <c r="DE99" t="s">
        <v>1358</v>
      </c>
      <c r="DF99" t="s">
        <v>1307</v>
      </c>
      <c r="DH99">
        <v>1800</v>
      </c>
      <c r="DI99">
        <v>800</v>
      </c>
      <c r="DJ99" t="s">
        <v>1358</v>
      </c>
      <c r="DL99">
        <v>2700</v>
      </c>
      <c r="DM99">
        <v>1300</v>
      </c>
      <c r="DN99" t="s">
        <v>1320</v>
      </c>
      <c r="DO99" t="s">
        <v>1310</v>
      </c>
      <c r="DP99" t="s">
        <v>1309</v>
      </c>
      <c r="DQ99" t="s">
        <v>1309</v>
      </c>
      <c r="DR99" t="s">
        <v>1309</v>
      </c>
      <c r="DS99" t="s">
        <v>1309</v>
      </c>
      <c r="DT99" t="s">
        <v>1310</v>
      </c>
      <c r="DU99" t="s">
        <v>1309</v>
      </c>
      <c r="DV99" t="s">
        <v>1309</v>
      </c>
      <c r="DW99" t="s">
        <v>1309</v>
      </c>
      <c r="DY99" t="s">
        <v>1446</v>
      </c>
      <c r="DZ99">
        <v>300</v>
      </c>
      <c r="EA99" t="s">
        <v>1386</v>
      </c>
      <c r="EC99" t="s">
        <v>1854</v>
      </c>
      <c r="ED99">
        <v>500</v>
      </c>
      <c r="EE99" t="s">
        <v>1386</v>
      </c>
      <c r="EG99" t="s">
        <v>5357</v>
      </c>
      <c r="ET99" t="s">
        <v>1307</v>
      </c>
      <c r="EV99" t="s">
        <v>1319</v>
      </c>
      <c r="EW99" t="s">
        <v>1421</v>
      </c>
      <c r="EX99" t="s">
        <v>1319</v>
      </c>
      <c r="FA99" t="s">
        <v>1902</v>
      </c>
      <c r="FB99" t="s">
        <v>1309</v>
      </c>
      <c r="FC99" t="s">
        <v>1309</v>
      </c>
      <c r="FD99" t="s">
        <v>1309</v>
      </c>
      <c r="FE99" t="s">
        <v>1309</v>
      </c>
      <c r="FF99" t="s">
        <v>1309</v>
      </c>
      <c r="FG99" t="s">
        <v>1309</v>
      </c>
      <c r="FH99" t="s">
        <v>1309</v>
      </c>
      <c r="FI99" t="s">
        <v>1310</v>
      </c>
      <c r="FJ99" t="s">
        <v>1309</v>
      </c>
      <c r="FK99" t="s">
        <v>1309</v>
      </c>
      <c r="FL99" t="s">
        <v>1309</v>
      </c>
      <c r="FM99" t="s">
        <v>1309</v>
      </c>
      <c r="FN99" t="s">
        <v>1310</v>
      </c>
      <c r="FO99" t="s">
        <v>1309</v>
      </c>
      <c r="FP99" t="s">
        <v>1309</v>
      </c>
      <c r="FQ99" t="s">
        <v>1309</v>
      </c>
      <c r="FR99" t="s">
        <v>1309</v>
      </c>
      <c r="FT99" t="s">
        <v>1319</v>
      </c>
      <c r="FU99" t="s">
        <v>1635</v>
      </c>
      <c r="FV99" t="s">
        <v>1310</v>
      </c>
      <c r="FW99" t="s">
        <v>1309</v>
      </c>
      <c r="FX99" t="s">
        <v>1309</v>
      </c>
      <c r="FY99" t="s">
        <v>1309</v>
      </c>
      <c r="FZ99" t="s">
        <v>1309</v>
      </c>
      <c r="GA99" t="s">
        <v>1310</v>
      </c>
      <c r="GB99" t="s">
        <v>1309</v>
      </c>
      <c r="GC99" t="s">
        <v>1309</v>
      </c>
      <c r="GD99" t="s">
        <v>1309</v>
      </c>
      <c r="GE99" t="s">
        <v>1309</v>
      </c>
      <c r="GF99" t="s">
        <v>1309</v>
      </c>
      <c r="GG99" t="s">
        <v>1309</v>
      </c>
      <c r="GI99" t="s">
        <v>1448</v>
      </c>
      <c r="GJ99" t="s">
        <v>1448</v>
      </c>
      <c r="GT99" t="s">
        <v>1325</v>
      </c>
      <c r="GU99" t="s">
        <v>1310</v>
      </c>
      <c r="GV99" t="s">
        <v>1309</v>
      </c>
      <c r="GW99" t="s">
        <v>1309</v>
      </c>
      <c r="GX99" t="s">
        <v>1309</v>
      </c>
      <c r="GY99" t="s">
        <v>1309</v>
      </c>
      <c r="GZ99" t="s">
        <v>1309</v>
      </c>
      <c r="HA99" t="s">
        <v>1309</v>
      </c>
      <c r="HB99" t="s">
        <v>1309</v>
      </c>
      <c r="HC99" t="s">
        <v>1309</v>
      </c>
      <c r="HD99" t="s">
        <v>1309</v>
      </c>
      <c r="HE99" t="s">
        <v>1309</v>
      </c>
      <c r="HF99" t="s">
        <v>1309</v>
      </c>
      <c r="HH99" t="s">
        <v>1390</v>
      </c>
      <c r="HI99" t="s">
        <v>1327</v>
      </c>
      <c r="HJ99" t="s">
        <v>1390</v>
      </c>
      <c r="HK99" t="s">
        <v>1327</v>
      </c>
      <c r="HL99" t="s">
        <v>1692</v>
      </c>
      <c r="HM99" t="s">
        <v>1390</v>
      </c>
      <c r="HN99" t="s">
        <v>1903</v>
      </c>
      <c r="HO99" t="s">
        <v>1310</v>
      </c>
      <c r="HP99" t="s">
        <v>1310</v>
      </c>
      <c r="HQ99" t="s">
        <v>1310</v>
      </c>
      <c r="HR99" t="s">
        <v>1309</v>
      </c>
      <c r="HS99" t="s">
        <v>1310</v>
      </c>
      <c r="HT99" t="s">
        <v>1309</v>
      </c>
      <c r="HU99" t="s">
        <v>1309</v>
      </c>
      <c r="HV99" t="s">
        <v>1309</v>
      </c>
      <c r="HW99" t="s">
        <v>1309</v>
      </c>
      <c r="HX99" t="s">
        <v>1309</v>
      </c>
      <c r="HY99" t="s">
        <v>1309</v>
      </c>
      <c r="IA99" t="s">
        <v>1414</v>
      </c>
      <c r="IQ99" t="s">
        <v>1365</v>
      </c>
      <c r="IS99" t="s">
        <v>1316</v>
      </c>
      <c r="JF99" t="s">
        <v>1331</v>
      </c>
      <c r="JG99" t="s">
        <v>1904</v>
      </c>
      <c r="JH99" t="s">
        <v>1309</v>
      </c>
      <c r="JI99" t="s">
        <v>1309</v>
      </c>
      <c r="JJ99" t="s">
        <v>1309</v>
      </c>
      <c r="JK99" t="s">
        <v>1310</v>
      </c>
      <c r="JL99" t="s">
        <v>1309</v>
      </c>
      <c r="JM99" t="s">
        <v>1310</v>
      </c>
      <c r="JN99" t="s">
        <v>1309</v>
      </c>
      <c r="JO99" t="s">
        <v>1309</v>
      </c>
      <c r="JP99" t="s">
        <v>1905</v>
      </c>
      <c r="JQ99" s="92" t="s">
        <v>1524</v>
      </c>
      <c r="JR99" s="92" t="s">
        <v>1525</v>
      </c>
      <c r="JS99" s="92">
        <v>34</v>
      </c>
      <c r="JT99" s="92" t="s">
        <v>1319</v>
      </c>
      <c r="JU99" s="92" t="s">
        <v>1335</v>
      </c>
      <c r="JV99" s="92" t="s">
        <v>1526</v>
      </c>
      <c r="JW99" s="92" t="s">
        <v>1296</v>
      </c>
      <c r="JX99" s="92" t="s">
        <v>71</v>
      </c>
      <c r="JY99" s="92" t="s">
        <v>5549</v>
      </c>
      <c r="JZ99" s="92" t="s">
        <v>1398</v>
      </c>
      <c r="KA99" s="92" t="s">
        <v>4845</v>
      </c>
      <c r="KB99" s="92" t="s">
        <v>1415</v>
      </c>
      <c r="KC99" s="92" t="s">
        <v>109</v>
      </c>
      <c r="KD99" s="92" t="s">
        <v>4847</v>
      </c>
      <c r="KE99" s="92" t="s">
        <v>1371</v>
      </c>
      <c r="KF99" s="92">
        <v>2600</v>
      </c>
      <c r="KG99" s="92" t="s">
        <v>4438</v>
      </c>
      <c r="KH99" s="92" t="s">
        <v>109</v>
      </c>
      <c r="KI99" s="92" t="s">
        <v>192</v>
      </c>
      <c r="KJ99" s="92" t="s">
        <v>109</v>
      </c>
      <c r="KK99" s="92" t="s">
        <v>192</v>
      </c>
      <c r="KL99" s="92" t="s">
        <v>1425</v>
      </c>
      <c r="KM99" s="92">
        <v>4000</v>
      </c>
      <c r="KN99" s="92" t="s">
        <v>4439</v>
      </c>
      <c r="KO99" s="92" t="s">
        <v>1341</v>
      </c>
      <c r="KP99" s="92" t="s">
        <v>1342</v>
      </c>
      <c r="KQ99" s="92" t="s">
        <v>109</v>
      </c>
      <c r="KR99" s="92">
        <v>12</v>
      </c>
      <c r="KS99" s="92" t="s">
        <v>1343</v>
      </c>
      <c r="KT99" s="92" t="s">
        <v>1402</v>
      </c>
      <c r="KU99" s="92">
        <v>12</v>
      </c>
      <c r="KV99" s="92" t="s">
        <v>1345</v>
      </c>
      <c r="KW99" s="92" t="s">
        <v>1402</v>
      </c>
      <c r="KX99" s="92" t="s">
        <v>1376</v>
      </c>
      <c r="KY99" s="92" t="s">
        <v>1377</v>
      </c>
      <c r="KZ99" s="92" t="s">
        <v>5795</v>
      </c>
      <c r="LA99" s="92" t="s">
        <v>109</v>
      </c>
      <c r="LB99" s="92" t="s">
        <v>109</v>
      </c>
      <c r="LC99" s="92" t="s">
        <v>4439</v>
      </c>
      <c r="LD99" s="92" t="s">
        <v>4439</v>
      </c>
      <c r="LE99" s="92" t="s">
        <v>109</v>
      </c>
      <c r="LF99" s="92" t="s">
        <v>109</v>
      </c>
    </row>
    <row r="100" spans="1:318" x14ac:dyDescent="0.25">
      <c r="A100" t="s">
        <v>1906</v>
      </c>
      <c r="B100" t="s">
        <v>1907</v>
      </c>
      <c r="C100" t="s">
        <v>1304</v>
      </c>
      <c r="D100" t="s">
        <v>1429</v>
      </c>
      <c r="E100" t="s">
        <v>1381</v>
      </c>
      <c r="G100" t="s">
        <v>1319</v>
      </c>
      <c r="H100">
        <v>2</v>
      </c>
      <c r="I100" t="s">
        <v>1358</v>
      </c>
      <c r="J100" t="s">
        <v>1430</v>
      </c>
      <c r="K100" t="s">
        <v>1309</v>
      </c>
      <c r="L100" t="s">
        <v>1309</v>
      </c>
      <c r="M100" t="s">
        <v>1310</v>
      </c>
      <c r="N100" t="s">
        <v>1309</v>
      </c>
      <c r="O100" t="s">
        <v>1309</v>
      </c>
      <c r="P100" t="s">
        <v>1309</v>
      </c>
      <c r="Q100" t="s">
        <v>1309</v>
      </c>
      <c r="R100" t="s">
        <v>1309</v>
      </c>
      <c r="T100">
        <v>2</v>
      </c>
      <c r="U100" t="s">
        <v>1312</v>
      </c>
      <c r="V100" t="s">
        <v>1312</v>
      </c>
      <c r="W100" t="s">
        <v>1312</v>
      </c>
      <c r="X100" t="s">
        <v>1312</v>
      </c>
      <c r="Y100" t="s">
        <v>1312</v>
      </c>
      <c r="Z100" t="s">
        <v>1312</v>
      </c>
      <c r="AC100">
        <v>2</v>
      </c>
      <c r="AD100">
        <v>6000</v>
      </c>
      <c r="AE100">
        <v>6000</v>
      </c>
      <c r="AF100" t="s">
        <v>1313</v>
      </c>
      <c r="AH100" t="s">
        <v>1383</v>
      </c>
      <c r="AJ100" t="s">
        <v>1315</v>
      </c>
      <c r="AL100" t="s">
        <v>1354</v>
      </c>
      <c r="BS100" t="s">
        <v>1307</v>
      </c>
      <c r="CE100" t="s">
        <v>1520</v>
      </c>
      <c r="CF100" t="s">
        <v>1309</v>
      </c>
      <c r="CG100" t="s">
        <v>1309</v>
      </c>
      <c r="CH100" t="s">
        <v>1310</v>
      </c>
      <c r="CI100" t="s">
        <v>1309</v>
      </c>
      <c r="CJ100" t="s">
        <v>1309</v>
      </c>
      <c r="CK100" t="s">
        <v>1309</v>
      </c>
      <c r="CL100" t="s">
        <v>1309</v>
      </c>
      <c r="CM100" t="s">
        <v>1309</v>
      </c>
      <c r="CN100" t="s">
        <v>1309</v>
      </c>
      <c r="CO100" t="s">
        <v>1309</v>
      </c>
      <c r="CP100" t="s">
        <v>1309</v>
      </c>
      <c r="CQ100" t="s">
        <v>1309</v>
      </c>
      <c r="CR100" t="s">
        <v>1309</v>
      </c>
      <c r="CT100" t="s">
        <v>4434</v>
      </c>
      <c r="CV100" t="s">
        <v>1308</v>
      </c>
      <c r="CW100" t="s">
        <v>1310</v>
      </c>
      <c r="CX100" t="s">
        <v>1309</v>
      </c>
      <c r="CY100" t="s">
        <v>1309</v>
      </c>
      <c r="CZ100" t="s">
        <v>1309</v>
      </c>
      <c r="DA100" t="s">
        <v>1309</v>
      </c>
      <c r="DB100" t="s">
        <v>1309</v>
      </c>
      <c r="DC100" t="s">
        <v>1309</v>
      </c>
      <c r="DE100" t="s">
        <v>1358</v>
      </c>
      <c r="DG100">
        <v>450</v>
      </c>
      <c r="DI100">
        <v>200</v>
      </c>
      <c r="DJ100" t="s">
        <v>1358</v>
      </c>
      <c r="DK100">
        <v>1000</v>
      </c>
      <c r="DM100">
        <v>250</v>
      </c>
      <c r="DN100" t="s">
        <v>1676</v>
      </c>
      <c r="DO100" t="s">
        <v>1309</v>
      </c>
      <c r="DP100" t="s">
        <v>1309</v>
      </c>
      <c r="DQ100" t="s">
        <v>1309</v>
      </c>
      <c r="DR100" t="s">
        <v>1309</v>
      </c>
      <c r="DS100" t="s">
        <v>1310</v>
      </c>
      <c r="DT100" t="s">
        <v>1310</v>
      </c>
      <c r="DU100" t="s">
        <v>1309</v>
      </c>
      <c r="DV100" t="s">
        <v>1309</v>
      </c>
      <c r="DW100" t="s">
        <v>1309</v>
      </c>
      <c r="DY100" t="s">
        <v>1419</v>
      </c>
      <c r="DZ100">
        <v>300</v>
      </c>
      <c r="EA100" t="s">
        <v>1319</v>
      </c>
      <c r="EC100" t="s">
        <v>1420</v>
      </c>
      <c r="ED100">
        <v>930</v>
      </c>
      <c r="EE100" t="s">
        <v>1319</v>
      </c>
      <c r="EG100" t="s">
        <v>5356</v>
      </c>
      <c r="EI100" t="s">
        <v>1307</v>
      </c>
      <c r="ET100" t="s">
        <v>1307</v>
      </c>
      <c r="EV100" t="s">
        <v>1319</v>
      </c>
      <c r="EW100" t="s">
        <v>1361</v>
      </c>
      <c r="EX100" t="s">
        <v>1319</v>
      </c>
      <c r="EY100" t="s">
        <v>1307</v>
      </c>
      <c r="FA100" t="s">
        <v>1697</v>
      </c>
      <c r="FB100" t="s">
        <v>1309</v>
      </c>
      <c r="FC100" t="s">
        <v>1309</v>
      </c>
      <c r="FD100" t="s">
        <v>1309</v>
      </c>
      <c r="FE100" t="s">
        <v>1309</v>
      </c>
      <c r="FF100" t="s">
        <v>1309</v>
      </c>
      <c r="FG100" t="s">
        <v>1309</v>
      </c>
      <c r="FH100" t="s">
        <v>1309</v>
      </c>
      <c r="FI100" t="s">
        <v>1310</v>
      </c>
      <c r="FJ100" t="s">
        <v>1309</v>
      </c>
      <c r="FK100" t="s">
        <v>1309</v>
      </c>
      <c r="FL100" t="s">
        <v>1309</v>
      </c>
      <c r="FM100" t="s">
        <v>1309</v>
      </c>
      <c r="FN100" t="s">
        <v>1309</v>
      </c>
      <c r="FO100" t="s">
        <v>1309</v>
      </c>
      <c r="FP100" t="s">
        <v>1309</v>
      </c>
      <c r="FQ100" t="s">
        <v>1309</v>
      </c>
      <c r="FR100" t="s">
        <v>1309</v>
      </c>
      <c r="FT100" t="s">
        <v>1319</v>
      </c>
      <c r="FU100" t="s">
        <v>1435</v>
      </c>
      <c r="FV100" t="s">
        <v>1310</v>
      </c>
      <c r="FW100" t="s">
        <v>1309</v>
      </c>
      <c r="FX100" t="s">
        <v>1309</v>
      </c>
      <c r="FY100" t="s">
        <v>1309</v>
      </c>
      <c r="FZ100" t="s">
        <v>1309</v>
      </c>
      <c r="GA100" t="s">
        <v>1309</v>
      </c>
      <c r="GB100" t="s">
        <v>1309</v>
      </c>
      <c r="GC100" t="s">
        <v>1309</v>
      </c>
      <c r="GD100" t="s">
        <v>1309</v>
      </c>
      <c r="GE100" t="s">
        <v>1309</v>
      </c>
      <c r="GF100" t="s">
        <v>1309</v>
      </c>
      <c r="GG100" t="s">
        <v>1309</v>
      </c>
      <c r="GI100" t="s">
        <v>1324</v>
      </c>
      <c r="GJ100" t="s">
        <v>1324</v>
      </c>
      <c r="GT100" t="s">
        <v>1325</v>
      </c>
      <c r="GU100" t="s">
        <v>1310</v>
      </c>
      <c r="GV100" t="s">
        <v>1309</v>
      </c>
      <c r="GW100" t="s">
        <v>1309</v>
      </c>
      <c r="GX100" t="s">
        <v>1309</v>
      </c>
      <c r="GY100" t="s">
        <v>1309</v>
      </c>
      <c r="GZ100" t="s">
        <v>1309</v>
      </c>
      <c r="HA100" t="s">
        <v>1309</v>
      </c>
      <c r="HB100" t="s">
        <v>1309</v>
      </c>
      <c r="HC100" t="s">
        <v>1309</v>
      </c>
      <c r="HD100" t="s">
        <v>1309</v>
      </c>
      <c r="HE100" t="s">
        <v>1309</v>
      </c>
      <c r="HF100" t="s">
        <v>1309</v>
      </c>
      <c r="HH100" t="s">
        <v>1363</v>
      </c>
      <c r="HI100" t="s">
        <v>1363</v>
      </c>
      <c r="HJ100" t="s">
        <v>1363</v>
      </c>
      <c r="HK100" t="s">
        <v>1327</v>
      </c>
      <c r="HL100" t="s">
        <v>1364</v>
      </c>
      <c r="HM100" t="s">
        <v>1363</v>
      </c>
      <c r="IA100" t="s">
        <v>1307</v>
      </c>
      <c r="IQ100" t="s">
        <v>1308</v>
      </c>
      <c r="IS100" t="s">
        <v>1354</v>
      </c>
      <c r="JF100" t="s">
        <v>1354</v>
      </c>
      <c r="JG100" t="s">
        <v>1332</v>
      </c>
      <c r="JH100" t="s">
        <v>1309</v>
      </c>
      <c r="JI100" t="s">
        <v>1309</v>
      </c>
      <c r="JJ100" t="s">
        <v>1309</v>
      </c>
      <c r="JK100" t="s">
        <v>1309</v>
      </c>
      <c r="JL100" t="s">
        <v>1310</v>
      </c>
      <c r="JM100" t="s">
        <v>1309</v>
      </c>
      <c r="JN100" t="s">
        <v>1309</v>
      </c>
      <c r="JO100" t="s">
        <v>1309</v>
      </c>
      <c r="JQ100" s="92" t="s">
        <v>1721</v>
      </c>
      <c r="JR100" s="92" t="s">
        <v>1908</v>
      </c>
      <c r="JS100" s="92">
        <v>64</v>
      </c>
      <c r="JT100" s="92" t="s">
        <v>1319</v>
      </c>
      <c r="JU100" s="92" t="s">
        <v>1575</v>
      </c>
      <c r="JV100" s="92" t="s">
        <v>1526</v>
      </c>
      <c r="JW100" s="92" t="s">
        <v>1296</v>
      </c>
      <c r="JX100" s="92" t="s">
        <v>71</v>
      </c>
      <c r="JY100" s="92" t="s">
        <v>1397</v>
      </c>
      <c r="JZ100" s="92" t="s">
        <v>1369</v>
      </c>
      <c r="KA100" s="92" t="s">
        <v>4845</v>
      </c>
      <c r="KB100" s="92" t="s">
        <v>1476</v>
      </c>
      <c r="KC100" s="92" t="s">
        <v>109</v>
      </c>
      <c r="KD100" s="92" t="s">
        <v>4847</v>
      </c>
      <c r="KE100" s="92" t="s">
        <v>1424</v>
      </c>
      <c r="KF100" s="92">
        <v>650</v>
      </c>
      <c r="KG100" s="92" t="s">
        <v>4438</v>
      </c>
      <c r="KH100" s="92" t="s">
        <v>192</v>
      </c>
      <c r="KI100" s="92" t="s">
        <v>109</v>
      </c>
      <c r="KJ100" s="92" t="s">
        <v>192</v>
      </c>
      <c r="KK100" s="92" t="s">
        <v>109</v>
      </c>
      <c r="KL100" s="92" t="s">
        <v>1374</v>
      </c>
      <c r="KM100" s="92">
        <v>1250</v>
      </c>
      <c r="KN100" s="92" t="s">
        <v>4438</v>
      </c>
      <c r="KO100" s="92" t="s">
        <v>1440</v>
      </c>
      <c r="KP100" s="92" t="s">
        <v>1460</v>
      </c>
      <c r="KQ100" s="92" t="s">
        <v>192</v>
      </c>
      <c r="KR100" s="92">
        <v>46</v>
      </c>
      <c r="KS100" s="92" t="s">
        <v>1343</v>
      </c>
      <c r="KT100" s="92" t="s">
        <v>1344</v>
      </c>
      <c r="KU100" s="92">
        <v>74</v>
      </c>
      <c r="KV100" s="92" t="s">
        <v>1461</v>
      </c>
      <c r="KW100" s="92" t="s">
        <v>1344</v>
      </c>
      <c r="KX100" s="92" t="s">
        <v>1376</v>
      </c>
      <c r="KY100" s="92" t="s">
        <v>1377</v>
      </c>
      <c r="KZ100" s="92" t="s">
        <v>1403</v>
      </c>
      <c r="LA100" s="92" t="s">
        <v>109</v>
      </c>
      <c r="LB100" s="92" t="s">
        <v>109</v>
      </c>
      <c r="LC100" s="92" t="s">
        <v>1372</v>
      </c>
      <c r="LD100" s="92" t="s">
        <v>4438</v>
      </c>
      <c r="LE100" s="92" t="s">
        <v>192</v>
      </c>
      <c r="LF100" s="92" t="s">
        <v>192</v>
      </c>
    </row>
    <row r="101" spans="1:318" x14ac:dyDescent="0.25">
      <c r="A101" t="s">
        <v>1909</v>
      </c>
      <c r="B101" t="s">
        <v>1910</v>
      </c>
      <c r="C101" t="s">
        <v>1304</v>
      </c>
      <c r="D101" t="s">
        <v>1305</v>
      </c>
      <c r="E101" t="s">
        <v>1306</v>
      </c>
      <c r="G101" t="s">
        <v>1307</v>
      </c>
      <c r="H101">
        <v>1</v>
      </c>
      <c r="J101" t="s">
        <v>1430</v>
      </c>
      <c r="K101" t="s">
        <v>1309</v>
      </c>
      <c r="L101" t="s">
        <v>1309</v>
      </c>
      <c r="M101" t="s">
        <v>1310</v>
      </c>
      <c r="N101" t="s">
        <v>1309</v>
      </c>
      <c r="O101" t="s">
        <v>1309</v>
      </c>
      <c r="P101" t="s">
        <v>1309</v>
      </c>
      <c r="Q101" t="s">
        <v>1309</v>
      </c>
      <c r="R101" t="s">
        <v>1309</v>
      </c>
      <c r="T101">
        <v>1</v>
      </c>
      <c r="U101" t="s">
        <v>1311</v>
      </c>
      <c r="V101" t="s">
        <v>1311</v>
      </c>
      <c r="W101" t="s">
        <v>1311</v>
      </c>
      <c r="X101" t="s">
        <v>1312</v>
      </c>
      <c r="Y101" t="s">
        <v>1312</v>
      </c>
      <c r="Z101" t="s">
        <v>1312</v>
      </c>
      <c r="AC101">
        <v>1</v>
      </c>
      <c r="AD101">
        <v>3000</v>
      </c>
      <c r="AE101">
        <v>3000</v>
      </c>
      <c r="AF101" t="s">
        <v>1313</v>
      </c>
      <c r="AH101" t="s">
        <v>1315</v>
      </c>
      <c r="AJ101" t="s">
        <v>1353</v>
      </c>
      <c r="AL101" t="s">
        <v>1316</v>
      </c>
      <c r="BA101" t="s">
        <v>1354</v>
      </c>
      <c r="BS101" t="s">
        <v>1307</v>
      </c>
      <c r="CE101" t="s">
        <v>1911</v>
      </c>
      <c r="CF101" t="s">
        <v>1310</v>
      </c>
      <c r="CG101" t="s">
        <v>1310</v>
      </c>
      <c r="CH101" t="s">
        <v>1309</v>
      </c>
      <c r="CI101" t="s">
        <v>1309</v>
      </c>
      <c r="CJ101" t="s">
        <v>1310</v>
      </c>
      <c r="CK101" t="s">
        <v>1309</v>
      </c>
      <c r="CL101" t="s">
        <v>1309</v>
      </c>
      <c r="CM101" t="s">
        <v>1309</v>
      </c>
      <c r="CN101" t="s">
        <v>1310</v>
      </c>
      <c r="CO101" t="s">
        <v>1310</v>
      </c>
      <c r="CP101" t="s">
        <v>1309</v>
      </c>
      <c r="CQ101" t="s">
        <v>1309</v>
      </c>
      <c r="CR101" t="s">
        <v>1309</v>
      </c>
      <c r="CT101" t="s">
        <v>4434</v>
      </c>
      <c r="CV101" t="s">
        <v>1308</v>
      </c>
      <c r="CW101" t="s">
        <v>1310</v>
      </c>
      <c r="CX101" t="s">
        <v>1309</v>
      </c>
      <c r="CY101" t="s">
        <v>1309</v>
      </c>
      <c r="CZ101" t="s">
        <v>1309</v>
      </c>
      <c r="DA101" t="s">
        <v>1309</v>
      </c>
      <c r="DB101" t="s">
        <v>1309</v>
      </c>
      <c r="DC101" t="s">
        <v>1309</v>
      </c>
      <c r="DE101" t="s">
        <v>1358</v>
      </c>
      <c r="DJ101" t="s">
        <v>1358</v>
      </c>
      <c r="DK101">
        <v>1100</v>
      </c>
      <c r="DN101" t="s">
        <v>1320</v>
      </c>
      <c r="DO101" t="s">
        <v>1310</v>
      </c>
      <c r="DP101" t="s">
        <v>1309</v>
      </c>
      <c r="DQ101" t="s">
        <v>1309</v>
      </c>
      <c r="DR101" t="s">
        <v>1309</v>
      </c>
      <c r="DS101" t="s">
        <v>1309</v>
      </c>
      <c r="DT101" t="s">
        <v>1310</v>
      </c>
      <c r="DU101" t="s">
        <v>1309</v>
      </c>
      <c r="DV101" t="s">
        <v>1309</v>
      </c>
      <c r="DW101" t="s">
        <v>1309</v>
      </c>
      <c r="DY101" t="s">
        <v>1481</v>
      </c>
      <c r="DZ101">
        <v>310</v>
      </c>
      <c r="EA101" t="s">
        <v>1386</v>
      </c>
      <c r="EC101" t="s">
        <v>1474</v>
      </c>
      <c r="ED101">
        <v>1000</v>
      </c>
      <c r="EE101" t="s">
        <v>1386</v>
      </c>
      <c r="EG101" t="s">
        <v>5356</v>
      </c>
      <c r="EI101" t="s">
        <v>1319</v>
      </c>
      <c r="EJ101" t="s">
        <v>1353</v>
      </c>
      <c r="EK101" t="s">
        <v>1309</v>
      </c>
      <c r="EL101" t="s">
        <v>1309</v>
      </c>
      <c r="EM101" t="s">
        <v>1310</v>
      </c>
      <c r="EN101" t="s">
        <v>1309</v>
      </c>
      <c r="EO101" t="s">
        <v>1309</v>
      </c>
      <c r="EP101" t="s">
        <v>1309</v>
      </c>
      <c r="EQ101" t="s">
        <v>1309</v>
      </c>
      <c r="ER101" t="s">
        <v>1309</v>
      </c>
      <c r="ET101" t="s">
        <v>1307</v>
      </c>
      <c r="EV101" t="s">
        <v>1319</v>
      </c>
      <c r="EW101" t="s">
        <v>1361</v>
      </c>
      <c r="EX101" t="s">
        <v>1319</v>
      </c>
      <c r="EY101" t="s">
        <v>1319</v>
      </c>
      <c r="FA101" t="s">
        <v>1912</v>
      </c>
      <c r="FB101" t="s">
        <v>1310</v>
      </c>
      <c r="FC101" t="s">
        <v>1309</v>
      </c>
      <c r="FD101" t="s">
        <v>1309</v>
      </c>
      <c r="FE101" t="s">
        <v>1309</v>
      </c>
      <c r="FF101" t="s">
        <v>1309</v>
      </c>
      <c r="FG101" t="s">
        <v>1309</v>
      </c>
      <c r="FH101" t="s">
        <v>1309</v>
      </c>
      <c r="FI101" t="s">
        <v>1309</v>
      </c>
      <c r="FJ101" t="s">
        <v>1309</v>
      </c>
      <c r="FK101" t="s">
        <v>1309</v>
      </c>
      <c r="FL101" t="s">
        <v>1309</v>
      </c>
      <c r="FM101" t="s">
        <v>1310</v>
      </c>
      <c r="FN101" t="s">
        <v>1309</v>
      </c>
      <c r="FO101" t="s">
        <v>1310</v>
      </c>
      <c r="FP101" t="s">
        <v>1309</v>
      </c>
      <c r="FQ101" t="s">
        <v>1309</v>
      </c>
      <c r="FR101" t="s">
        <v>1309</v>
      </c>
      <c r="FT101" t="s">
        <v>1307</v>
      </c>
      <c r="GI101" t="s">
        <v>1324</v>
      </c>
      <c r="GJ101" t="s">
        <v>1324</v>
      </c>
      <c r="GT101" t="s">
        <v>1325</v>
      </c>
      <c r="GU101" t="s">
        <v>1310</v>
      </c>
      <c r="GV101" t="s">
        <v>1309</v>
      </c>
      <c r="GW101" t="s">
        <v>1309</v>
      </c>
      <c r="GX101" t="s">
        <v>1309</v>
      </c>
      <c r="GY101" t="s">
        <v>1309</v>
      </c>
      <c r="GZ101" t="s">
        <v>1309</v>
      </c>
      <c r="HA101" t="s">
        <v>1309</v>
      </c>
      <c r="HB101" t="s">
        <v>1309</v>
      </c>
      <c r="HC101" t="s">
        <v>1309</v>
      </c>
      <c r="HD101" t="s">
        <v>1309</v>
      </c>
      <c r="HE101" t="s">
        <v>1309</v>
      </c>
      <c r="HF101" t="s">
        <v>1309</v>
      </c>
      <c r="HH101" t="s">
        <v>1390</v>
      </c>
      <c r="HI101" t="s">
        <v>1327</v>
      </c>
      <c r="HJ101" t="s">
        <v>1326</v>
      </c>
      <c r="HK101" t="s">
        <v>1327</v>
      </c>
      <c r="HL101" t="s">
        <v>1437</v>
      </c>
      <c r="HM101" t="s">
        <v>1390</v>
      </c>
      <c r="HN101" t="s">
        <v>1626</v>
      </c>
      <c r="HO101" t="s">
        <v>1310</v>
      </c>
      <c r="HP101" t="s">
        <v>1309</v>
      </c>
      <c r="HQ101" t="s">
        <v>1309</v>
      </c>
      <c r="HR101" t="s">
        <v>1309</v>
      </c>
      <c r="HS101" t="s">
        <v>1309</v>
      </c>
      <c r="HT101" t="s">
        <v>1309</v>
      </c>
      <c r="HU101" t="s">
        <v>1309</v>
      </c>
      <c r="HV101" t="s">
        <v>1309</v>
      </c>
      <c r="HW101" t="s">
        <v>1309</v>
      </c>
      <c r="HX101" t="s">
        <v>1309</v>
      </c>
      <c r="HY101" t="s">
        <v>1309</v>
      </c>
      <c r="IA101" t="s">
        <v>1319</v>
      </c>
      <c r="IB101" t="s">
        <v>1423</v>
      </c>
      <c r="IC101" t="s">
        <v>1309</v>
      </c>
      <c r="ID101" t="s">
        <v>1309</v>
      </c>
      <c r="IE101" t="s">
        <v>1309</v>
      </c>
      <c r="IF101" t="s">
        <v>1309</v>
      </c>
      <c r="IG101" t="s">
        <v>1310</v>
      </c>
      <c r="IH101" t="s">
        <v>1309</v>
      </c>
      <c r="II101" t="s">
        <v>1309</v>
      </c>
      <c r="IJ101" t="s">
        <v>1309</v>
      </c>
      <c r="IK101" t="s">
        <v>1309</v>
      </c>
      <c r="IL101" t="s">
        <v>1309</v>
      </c>
      <c r="IM101" t="s">
        <v>1309</v>
      </c>
      <c r="IN101" t="s">
        <v>1309</v>
      </c>
      <c r="IO101" t="s">
        <v>1309</v>
      </c>
      <c r="IQ101" t="s">
        <v>1308</v>
      </c>
      <c r="IS101" t="s">
        <v>1354</v>
      </c>
      <c r="JF101" t="s">
        <v>1316</v>
      </c>
      <c r="JG101" t="s">
        <v>1414</v>
      </c>
      <c r="JH101" t="s">
        <v>1309</v>
      </c>
      <c r="JI101" t="s">
        <v>1309</v>
      </c>
      <c r="JJ101" t="s">
        <v>1309</v>
      </c>
      <c r="JK101" t="s">
        <v>1309</v>
      </c>
      <c r="JL101" t="s">
        <v>1309</v>
      </c>
      <c r="JM101" t="s">
        <v>1309</v>
      </c>
      <c r="JN101" t="s">
        <v>1310</v>
      </c>
      <c r="JO101" t="s">
        <v>1309</v>
      </c>
      <c r="JQ101" s="92" t="s">
        <v>1721</v>
      </c>
      <c r="JR101" s="92" t="s">
        <v>1908</v>
      </c>
      <c r="JS101" s="92">
        <v>83</v>
      </c>
      <c r="JT101" s="92" t="s">
        <v>1319</v>
      </c>
      <c r="JU101" s="92" t="s">
        <v>1335</v>
      </c>
      <c r="JV101" s="92" t="s">
        <v>1526</v>
      </c>
      <c r="JW101" s="92" t="s">
        <v>1296</v>
      </c>
      <c r="JX101" s="92" t="s">
        <v>71</v>
      </c>
      <c r="JY101" s="92" t="s">
        <v>5549</v>
      </c>
      <c r="JZ101" s="92" t="s">
        <v>1369</v>
      </c>
      <c r="KA101" s="92" t="s">
        <v>4844</v>
      </c>
      <c r="KB101" s="92" t="s">
        <v>1476</v>
      </c>
      <c r="KC101" s="92" t="s">
        <v>109</v>
      </c>
      <c r="KD101" s="92" t="s">
        <v>4844</v>
      </c>
      <c r="KE101" s="92" t="s">
        <v>5560</v>
      </c>
      <c r="KF101" s="92">
        <v>0</v>
      </c>
      <c r="KG101" s="92" t="s">
        <v>1372</v>
      </c>
      <c r="KH101" s="92" t="s">
        <v>109</v>
      </c>
      <c r="KI101" s="92" t="s">
        <v>109</v>
      </c>
      <c r="KJ101" s="92" t="s">
        <v>192</v>
      </c>
      <c r="KK101" s="92" t="s">
        <v>109</v>
      </c>
      <c r="KL101" s="92" t="s">
        <v>1373</v>
      </c>
      <c r="KM101" s="92">
        <v>1100</v>
      </c>
      <c r="KN101" s="92" t="s">
        <v>4439</v>
      </c>
      <c r="KO101" s="92" t="s">
        <v>1440</v>
      </c>
      <c r="KP101" s="92" t="s">
        <v>1460</v>
      </c>
      <c r="KQ101" s="92" t="s">
        <v>192</v>
      </c>
      <c r="KR101" s="92"/>
      <c r="KS101" s="92" t="s">
        <v>1343</v>
      </c>
      <c r="KT101" s="92" t="s">
        <v>1402</v>
      </c>
      <c r="KU101" s="92">
        <v>91</v>
      </c>
      <c r="KV101" s="92" t="s">
        <v>1461</v>
      </c>
      <c r="KW101" s="92" t="s">
        <v>1402</v>
      </c>
      <c r="KX101" s="92" t="s">
        <v>1376</v>
      </c>
      <c r="KY101" s="92" t="s">
        <v>1377</v>
      </c>
      <c r="KZ101" s="92" t="s">
        <v>5795</v>
      </c>
      <c r="LA101" s="92" t="s">
        <v>109</v>
      </c>
      <c r="LB101" s="92" t="s">
        <v>109</v>
      </c>
      <c r="LC101" s="92" t="s">
        <v>1372</v>
      </c>
      <c r="LD101" s="92" t="s">
        <v>4439</v>
      </c>
      <c r="LE101" s="92" t="s">
        <v>109</v>
      </c>
      <c r="LF101" s="92" t="s">
        <v>192</v>
      </c>
    </row>
    <row r="102" spans="1:318" x14ac:dyDescent="0.25">
      <c r="A102" t="s">
        <v>1913</v>
      </c>
      <c r="B102" t="s">
        <v>1914</v>
      </c>
      <c r="C102" t="s">
        <v>1304</v>
      </c>
      <c r="D102" t="s">
        <v>1305</v>
      </c>
      <c r="E102" t="s">
        <v>1381</v>
      </c>
      <c r="G102" t="s">
        <v>1319</v>
      </c>
      <c r="H102">
        <v>2</v>
      </c>
      <c r="I102" t="s">
        <v>1358</v>
      </c>
      <c r="J102" t="s">
        <v>1813</v>
      </c>
      <c r="K102" t="s">
        <v>1309</v>
      </c>
      <c r="L102" t="s">
        <v>1310</v>
      </c>
      <c r="M102" t="s">
        <v>1309</v>
      </c>
      <c r="N102" t="s">
        <v>1309</v>
      </c>
      <c r="O102" t="s">
        <v>1310</v>
      </c>
      <c r="P102" t="s">
        <v>1310</v>
      </c>
      <c r="Q102" t="s">
        <v>1309</v>
      </c>
      <c r="R102" t="s">
        <v>1309</v>
      </c>
      <c r="S102">
        <v>1</v>
      </c>
      <c r="U102" t="s">
        <v>1311</v>
      </c>
      <c r="V102" t="s">
        <v>1312</v>
      </c>
      <c r="W102" t="s">
        <v>1312</v>
      </c>
      <c r="X102" t="s">
        <v>1312</v>
      </c>
      <c r="Y102" t="s">
        <v>1312</v>
      </c>
      <c r="Z102" t="s">
        <v>1312</v>
      </c>
      <c r="AC102">
        <v>2</v>
      </c>
      <c r="AD102">
        <v>4500</v>
      </c>
      <c r="AE102">
        <v>2000</v>
      </c>
      <c r="AF102" t="s">
        <v>1313</v>
      </c>
      <c r="AH102" t="s">
        <v>1383</v>
      </c>
      <c r="AJ102" t="s">
        <v>1315</v>
      </c>
      <c r="AL102" t="s">
        <v>1354</v>
      </c>
      <c r="BS102" t="s">
        <v>1307</v>
      </c>
      <c r="CE102" t="s">
        <v>1414</v>
      </c>
      <c r="CF102" t="s">
        <v>1309</v>
      </c>
      <c r="CG102" t="s">
        <v>1309</v>
      </c>
      <c r="CH102" t="s">
        <v>1309</v>
      </c>
      <c r="CI102" t="s">
        <v>1309</v>
      </c>
      <c r="CJ102" t="s">
        <v>1309</v>
      </c>
      <c r="CK102" t="s">
        <v>1309</v>
      </c>
      <c r="CL102" t="s">
        <v>1309</v>
      </c>
      <c r="CM102" t="s">
        <v>1309</v>
      </c>
      <c r="CN102" t="s">
        <v>1309</v>
      </c>
      <c r="CO102" t="s">
        <v>1309</v>
      </c>
      <c r="CP102" t="s">
        <v>1309</v>
      </c>
      <c r="CQ102" t="s">
        <v>1310</v>
      </c>
      <c r="CR102" t="s">
        <v>1309</v>
      </c>
      <c r="CT102" t="s">
        <v>4435</v>
      </c>
      <c r="CV102" t="s">
        <v>1308</v>
      </c>
      <c r="CW102" t="s">
        <v>1310</v>
      </c>
      <c r="CX102" t="s">
        <v>1309</v>
      </c>
      <c r="CY102" t="s">
        <v>1309</v>
      </c>
      <c r="CZ102" t="s">
        <v>1309</v>
      </c>
      <c r="DA102" t="s">
        <v>1309</v>
      </c>
      <c r="DB102" t="s">
        <v>1309</v>
      </c>
      <c r="DC102" t="s">
        <v>1309</v>
      </c>
      <c r="DE102" t="s">
        <v>1358</v>
      </c>
      <c r="DF102" t="s">
        <v>1307</v>
      </c>
      <c r="DH102">
        <v>1300</v>
      </c>
      <c r="DI102">
        <v>600</v>
      </c>
      <c r="DJ102" t="s">
        <v>1358</v>
      </c>
      <c r="DL102">
        <v>1600</v>
      </c>
      <c r="DM102">
        <v>700</v>
      </c>
      <c r="DN102" t="s">
        <v>1676</v>
      </c>
      <c r="DO102" t="s">
        <v>1309</v>
      </c>
      <c r="DP102" t="s">
        <v>1309</v>
      </c>
      <c r="DQ102" t="s">
        <v>1309</v>
      </c>
      <c r="DR102" t="s">
        <v>1309</v>
      </c>
      <c r="DS102" t="s">
        <v>1310</v>
      </c>
      <c r="DT102" t="s">
        <v>1310</v>
      </c>
      <c r="DU102" t="s">
        <v>1309</v>
      </c>
      <c r="DV102" t="s">
        <v>1309</v>
      </c>
      <c r="DW102" t="s">
        <v>1309</v>
      </c>
      <c r="DY102" t="s">
        <v>1456</v>
      </c>
      <c r="DZ102">
        <v>650</v>
      </c>
      <c r="EA102" t="s">
        <v>1319</v>
      </c>
      <c r="EC102" t="s">
        <v>1457</v>
      </c>
      <c r="ED102">
        <v>800</v>
      </c>
      <c r="EE102" t="s">
        <v>1319</v>
      </c>
      <c r="EG102" t="s">
        <v>5357</v>
      </c>
      <c r="ET102" t="s">
        <v>1307</v>
      </c>
      <c r="EV102" t="s">
        <v>1307</v>
      </c>
      <c r="EX102" t="s">
        <v>1319</v>
      </c>
      <c r="FA102" t="s">
        <v>1697</v>
      </c>
      <c r="FB102" t="s">
        <v>1309</v>
      </c>
      <c r="FC102" t="s">
        <v>1309</v>
      </c>
      <c r="FD102" t="s">
        <v>1309</v>
      </c>
      <c r="FE102" t="s">
        <v>1309</v>
      </c>
      <c r="FF102" t="s">
        <v>1309</v>
      </c>
      <c r="FG102" t="s">
        <v>1309</v>
      </c>
      <c r="FH102" t="s">
        <v>1309</v>
      </c>
      <c r="FI102" t="s">
        <v>1310</v>
      </c>
      <c r="FJ102" t="s">
        <v>1309</v>
      </c>
      <c r="FK102" t="s">
        <v>1309</v>
      </c>
      <c r="FL102" t="s">
        <v>1309</v>
      </c>
      <c r="FM102" t="s">
        <v>1309</v>
      </c>
      <c r="FN102" t="s">
        <v>1309</v>
      </c>
      <c r="FO102" t="s">
        <v>1309</v>
      </c>
      <c r="FP102" t="s">
        <v>1309</v>
      </c>
      <c r="FQ102" t="s">
        <v>1309</v>
      </c>
      <c r="FR102" t="s">
        <v>1309</v>
      </c>
      <c r="FT102" t="s">
        <v>1319</v>
      </c>
      <c r="FU102" t="s">
        <v>1599</v>
      </c>
      <c r="FV102" t="s">
        <v>1309</v>
      </c>
      <c r="FW102" t="s">
        <v>1309</v>
      </c>
      <c r="FX102" t="s">
        <v>1309</v>
      </c>
      <c r="FY102" t="s">
        <v>1309</v>
      </c>
      <c r="FZ102" t="s">
        <v>1309</v>
      </c>
      <c r="GA102" t="s">
        <v>1310</v>
      </c>
      <c r="GB102" t="s">
        <v>1309</v>
      </c>
      <c r="GC102" t="s">
        <v>1309</v>
      </c>
      <c r="GD102" t="s">
        <v>1309</v>
      </c>
      <c r="GE102" t="s">
        <v>1309</v>
      </c>
      <c r="GF102" t="s">
        <v>1309</v>
      </c>
      <c r="GG102" t="s">
        <v>1309</v>
      </c>
      <c r="GI102" t="s">
        <v>1324</v>
      </c>
      <c r="GJ102" t="s">
        <v>1324</v>
      </c>
      <c r="GT102" t="s">
        <v>1325</v>
      </c>
      <c r="GU102" t="s">
        <v>1310</v>
      </c>
      <c r="GV102" t="s">
        <v>1309</v>
      </c>
      <c r="GW102" t="s">
        <v>1309</v>
      </c>
      <c r="GX102" t="s">
        <v>1309</v>
      </c>
      <c r="GY102" t="s">
        <v>1309</v>
      </c>
      <c r="GZ102" t="s">
        <v>1309</v>
      </c>
      <c r="HA102" t="s">
        <v>1309</v>
      </c>
      <c r="HB102" t="s">
        <v>1309</v>
      </c>
      <c r="HC102" t="s">
        <v>1309</v>
      </c>
      <c r="HD102" t="s">
        <v>1309</v>
      </c>
      <c r="HE102" t="s">
        <v>1309</v>
      </c>
      <c r="HF102" t="s">
        <v>1309</v>
      </c>
      <c r="HH102" t="s">
        <v>1363</v>
      </c>
      <c r="HI102" t="s">
        <v>1363</v>
      </c>
      <c r="HJ102" t="s">
        <v>1363</v>
      </c>
      <c r="HK102" t="s">
        <v>1327</v>
      </c>
      <c r="HL102" t="s">
        <v>1364</v>
      </c>
      <c r="HM102" t="s">
        <v>1363</v>
      </c>
      <c r="IA102" t="s">
        <v>1307</v>
      </c>
      <c r="IQ102" t="s">
        <v>1365</v>
      </c>
      <c r="IS102" t="s">
        <v>1354</v>
      </c>
      <c r="JF102" t="s">
        <v>1354</v>
      </c>
      <c r="JG102" t="s">
        <v>1698</v>
      </c>
      <c r="JH102" t="s">
        <v>1309</v>
      </c>
      <c r="JI102" t="s">
        <v>1309</v>
      </c>
      <c r="JJ102" t="s">
        <v>1309</v>
      </c>
      <c r="JK102" t="s">
        <v>1309</v>
      </c>
      <c r="JL102" t="s">
        <v>1309</v>
      </c>
      <c r="JM102" t="s">
        <v>1310</v>
      </c>
      <c r="JN102" t="s">
        <v>1310</v>
      </c>
      <c r="JO102" t="s">
        <v>1309</v>
      </c>
      <c r="JP102" t="s">
        <v>1915</v>
      </c>
      <c r="JQ102" s="92" t="s">
        <v>1524</v>
      </c>
      <c r="JR102" s="92" t="s">
        <v>1525</v>
      </c>
      <c r="JS102" s="92">
        <v>38</v>
      </c>
      <c r="JT102" s="92" t="s">
        <v>1319</v>
      </c>
      <c r="JU102" s="92" t="s">
        <v>1396</v>
      </c>
      <c r="JV102" s="92" t="s">
        <v>1526</v>
      </c>
      <c r="JW102" s="92" t="s">
        <v>1296</v>
      </c>
      <c r="JX102" s="92" t="s">
        <v>71</v>
      </c>
      <c r="JY102" s="92" t="s">
        <v>1397</v>
      </c>
      <c r="JZ102" s="92" t="s">
        <v>1337</v>
      </c>
      <c r="KA102" s="92" t="s">
        <v>4845</v>
      </c>
      <c r="KB102" s="92" t="s">
        <v>1399</v>
      </c>
      <c r="KC102" s="92" t="s">
        <v>109</v>
      </c>
      <c r="KD102" s="92" t="s">
        <v>4847</v>
      </c>
      <c r="KE102" s="92" t="s">
        <v>5560</v>
      </c>
      <c r="KF102" s="92">
        <v>1900</v>
      </c>
      <c r="KG102" s="92" t="s">
        <v>4439</v>
      </c>
      <c r="KH102" s="92" t="s">
        <v>109</v>
      </c>
      <c r="KI102" s="92" t="s">
        <v>192</v>
      </c>
      <c r="KJ102" s="92" t="s">
        <v>109</v>
      </c>
      <c r="KK102" s="92" t="s">
        <v>192</v>
      </c>
      <c r="KL102" s="92" t="s">
        <v>1440</v>
      </c>
      <c r="KM102" s="92">
        <v>2300</v>
      </c>
      <c r="KN102" s="92" t="s">
        <v>1400</v>
      </c>
      <c r="KO102" s="92" t="s">
        <v>1425</v>
      </c>
      <c r="KP102" s="92" t="s">
        <v>1342</v>
      </c>
      <c r="KQ102" s="92" t="s">
        <v>109</v>
      </c>
      <c r="KR102" s="92">
        <v>34</v>
      </c>
      <c r="KS102" s="92" t="s">
        <v>1345</v>
      </c>
      <c r="KT102" s="92" t="s">
        <v>1344</v>
      </c>
      <c r="KU102" s="92">
        <v>35</v>
      </c>
      <c r="KV102" s="92" t="s">
        <v>1441</v>
      </c>
      <c r="KW102" s="92" t="s">
        <v>1344</v>
      </c>
      <c r="KX102" s="92" t="s">
        <v>1376</v>
      </c>
      <c r="KY102" s="92" t="s">
        <v>1377</v>
      </c>
      <c r="KZ102" s="92" t="s">
        <v>1403</v>
      </c>
      <c r="LA102" s="92" t="s">
        <v>109</v>
      </c>
      <c r="LB102" s="92" t="s">
        <v>109</v>
      </c>
      <c r="LC102" s="92" t="s">
        <v>4439</v>
      </c>
      <c r="LD102" s="92" t="s">
        <v>1400</v>
      </c>
      <c r="LE102" s="92" t="s">
        <v>109</v>
      </c>
      <c r="LF102" s="92" t="s">
        <v>109</v>
      </c>
    </row>
    <row r="103" spans="1:318" x14ac:dyDescent="0.25">
      <c r="A103" t="s">
        <v>1916</v>
      </c>
      <c r="B103" t="s">
        <v>1917</v>
      </c>
      <c r="C103" t="s">
        <v>1304</v>
      </c>
      <c r="D103" t="s">
        <v>1305</v>
      </c>
      <c r="E103" t="s">
        <v>1381</v>
      </c>
      <c r="G103" t="s">
        <v>1319</v>
      </c>
      <c r="H103">
        <v>2</v>
      </c>
      <c r="I103" t="s">
        <v>1358</v>
      </c>
      <c r="J103" t="s">
        <v>1663</v>
      </c>
      <c r="K103" t="s">
        <v>1309</v>
      </c>
      <c r="L103" t="s">
        <v>1310</v>
      </c>
      <c r="M103" t="s">
        <v>1310</v>
      </c>
      <c r="N103" t="s">
        <v>1309</v>
      </c>
      <c r="O103" t="s">
        <v>1309</v>
      </c>
      <c r="P103" t="s">
        <v>1309</v>
      </c>
      <c r="Q103" t="s">
        <v>1309</v>
      </c>
      <c r="R103" t="s">
        <v>1309</v>
      </c>
      <c r="S103">
        <v>1</v>
      </c>
      <c r="T103">
        <v>1</v>
      </c>
      <c r="U103" t="s">
        <v>1312</v>
      </c>
      <c r="V103" t="s">
        <v>1312</v>
      </c>
      <c r="W103" t="s">
        <v>1312</v>
      </c>
      <c r="X103" t="s">
        <v>1312</v>
      </c>
      <c r="Y103" t="s">
        <v>1312</v>
      </c>
      <c r="Z103" t="s">
        <v>1312</v>
      </c>
      <c r="AC103">
        <v>1</v>
      </c>
      <c r="AD103">
        <v>2000</v>
      </c>
      <c r="AF103" t="s">
        <v>1313</v>
      </c>
      <c r="AH103" t="s">
        <v>1314</v>
      </c>
      <c r="AJ103" t="s">
        <v>1315</v>
      </c>
      <c r="AL103" t="s">
        <v>1316</v>
      </c>
      <c r="BS103" t="s">
        <v>1307</v>
      </c>
      <c r="CE103" t="s">
        <v>1355</v>
      </c>
      <c r="CF103" t="s">
        <v>1309</v>
      </c>
      <c r="CG103" t="s">
        <v>1309</v>
      </c>
      <c r="CH103" t="s">
        <v>1309</v>
      </c>
      <c r="CI103" t="s">
        <v>1309</v>
      </c>
      <c r="CJ103" t="s">
        <v>1309</v>
      </c>
      <c r="CK103" t="s">
        <v>1309</v>
      </c>
      <c r="CL103" t="s">
        <v>1309</v>
      </c>
      <c r="CM103" t="s">
        <v>1309</v>
      </c>
      <c r="CN103" t="s">
        <v>1310</v>
      </c>
      <c r="CO103" t="s">
        <v>1309</v>
      </c>
      <c r="CP103" t="s">
        <v>1309</v>
      </c>
      <c r="CQ103" t="s">
        <v>1309</v>
      </c>
      <c r="CR103" t="s">
        <v>1309</v>
      </c>
      <c r="CT103" t="s">
        <v>4435</v>
      </c>
      <c r="CV103" t="s">
        <v>1308</v>
      </c>
      <c r="CW103" t="s">
        <v>1310</v>
      </c>
      <c r="CX103" t="s">
        <v>1309</v>
      </c>
      <c r="CY103" t="s">
        <v>1309</v>
      </c>
      <c r="CZ103" t="s">
        <v>1309</v>
      </c>
      <c r="DA103" t="s">
        <v>1309</v>
      </c>
      <c r="DB103" t="s">
        <v>1309</v>
      </c>
      <c r="DC103" t="s">
        <v>1309</v>
      </c>
      <c r="DE103" t="s">
        <v>1358</v>
      </c>
      <c r="DF103" t="s">
        <v>1319</v>
      </c>
      <c r="DG103">
        <v>100</v>
      </c>
      <c r="DH103">
        <v>1400</v>
      </c>
      <c r="DI103">
        <v>300</v>
      </c>
      <c r="DJ103" t="s">
        <v>1358</v>
      </c>
      <c r="DK103">
        <v>100</v>
      </c>
      <c r="DL103">
        <v>1600</v>
      </c>
      <c r="DM103">
        <v>300</v>
      </c>
      <c r="DN103" t="s">
        <v>1385</v>
      </c>
      <c r="DO103" t="s">
        <v>1309</v>
      </c>
      <c r="DP103" t="s">
        <v>1309</v>
      </c>
      <c r="DQ103" t="s">
        <v>1309</v>
      </c>
      <c r="DR103" t="s">
        <v>1310</v>
      </c>
      <c r="DS103" t="s">
        <v>1309</v>
      </c>
      <c r="DT103" t="s">
        <v>1310</v>
      </c>
      <c r="DU103" t="s">
        <v>1309</v>
      </c>
      <c r="DV103" t="s">
        <v>1309</v>
      </c>
      <c r="DW103" t="s">
        <v>1309</v>
      </c>
      <c r="DY103" t="s">
        <v>1408</v>
      </c>
      <c r="DZ103">
        <v>460</v>
      </c>
      <c r="EA103" t="s">
        <v>1386</v>
      </c>
      <c r="EC103" t="s">
        <v>1474</v>
      </c>
      <c r="ED103">
        <v>800</v>
      </c>
      <c r="EE103" t="s">
        <v>1386</v>
      </c>
      <c r="EG103" t="s">
        <v>5356</v>
      </c>
      <c r="EI103" t="s">
        <v>1307</v>
      </c>
      <c r="ET103" t="s">
        <v>1307</v>
      </c>
      <c r="EV103" t="s">
        <v>1307</v>
      </c>
      <c r="EX103" t="s">
        <v>1307</v>
      </c>
      <c r="EY103" t="s">
        <v>1307</v>
      </c>
      <c r="FT103" t="s">
        <v>1319</v>
      </c>
      <c r="FU103" t="s">
        <v>1635</v>
      </c>
      <c r="FV103" t="s">
        <v>1310</v>
      </c>
      <c r="FW103" t="s">
        <v>1309</v>
      </c>
      <c r="FX103" t="s">
        <v>1309</v>
      </c>
      <c r="FY103" t="s">
        <v>1309</v>
      </c>
      <c r="FZ103" t="s">
        <v>1309</v>
      </c>
      <c r="GA103" t="s">
        <v>1310</v>
      </c>
      <c r="GB103" t="s">
        <v>1309</v>
      </c>
      <c r="GC103" t="s">
        <v>1309</v>
      </c>
      <c r="GD103" t="s">
        <v>1309</v>
      </c>
      <c r="GE103" t="s">
        <v>1309</v>
      </c>
      <c r="GF103" t="s">
        <v>1309</v>
      </c>
      <c r="GG103" t="s">
        <v>1309</v>
      </c>
      <c r="GI103" t="s">
        <v>1324</v>
      </c>
      <c r="GJ103" t="s">
        <v>1324</v>
      </c>
      <c r="GT103" t="s">
        <v>1325</v>
      </c>
      <c r="GU103" t="s">
        <v>1310</v>
      </c>
      <c r="GV103" t="s">
        <v>1309</v>
      </c>
      <c r="GW103" t="s">
        <v>1309</v>
      </c>
      <c r="GX103" t="s">
        <v>1309</v>
      </c>
      <c r="GY103" t="s">
        <v>1309</v>
      </c>
      <c r="GZ103" t="s">
        <v>1309</v>
      </c>
      <c r="HA103" t="s">
        <v>1309</v>
      </c>
      <c r="HB103" t="s">
        <v>1309</v>
      </c>
      <c r="HC103" t="s">
        <v>1309</v>
      </c>
      <c r="HD103" t="s">
        <v>1309</v>
      </c>
      <c r="HE103" t="s">
        <v>1309</v>
      </c>
      <c r="HF103" t="s">
        <v>1309</v>
      </c>
      <c r="HH103" t="s">
        <v>1326</v>
      </c>
      <c r="HI103" t="s">
        <v>1327</v>
      </c>
      <c r="HJ103" t="s">
        <v>1326</v>
      </c>
      <c r="HK103" t="s">
        <v>1326</v>
      </c>
      <c r="HL103" t="s">
        <v>1692</v>
      </c>
      <c r="HM103" t="s">
        <v>1326</v>
      </c>
      <c r="HN103" t="s">
        <v>1918</v>
      </c>
      <c r="HO103" t="s">
        <v>1309</v>
      </c>
      <c r="HP103" t="s">
        <v>1309</v>
      </c>
      <c r="HQ103" t="s">
        <v>1309</v>
      </c>
      <c r="HR103" t="s">
        <v>1309</v>
      </c>
      <c r="HS103" t="s">
        <v>1310</v>
      </c>
      <c r="HT103" t="s">
        <v>1310</v>
      </c>
      <c r="HU103" t="s">
        <v>1309</v>
      </c>
      <c r="HV103" t="s">
        <v>1310</v>
      </c>
      <c r="HW103" t="s">
        <v>1309</v>
      </c>
      <c r="HX103" t="s">
        <v>1309</v>
      </c>
      <c r="HY103" t="s">
        <v>1309</v>
      </c>
      <c r="IA103" t="s">
        <v>1414</v>
      </c>
      <c r="IQ103" t="s">
        <v>1308</v>
      </c>
      <c r="IS103" t="s">
        <v>1316</v>
      </c>
      <c r="JF103" t="s">
        <v>1331</v>
      </c>
      <c r="JG103" t="s">
        <v>1523</v>
      </c>
      <c r="JH103" t="s">
        <v>1309</v>
      </c>
      <c r="JI103" t="s">
        <v>1309</v>
      </c>
      <c r="JJ103" t="s">
        <v>1309</v>
      </c>
      <c r="JK103" t="s">
        <v>1310</v>
      </c>
      <c r="JL103" t="s">
        <v>1309</v>
      </c>
      <c r="JM103" t="s">
        <v>1309</v>
      </c>
      <c r="JN103" t="s">
        <v>1309</v>
      </c>
      <c r="JO103" t="s">
        <v>1309</v>
      </c>
      <c r="JQ103" s="92" t="s">
        <v>1333</v>
      </c>
      <c r="JR103" s="92" t="s">
        <v>1334</v>
      </c>
      <c r="JS103" s="92">
        <v>68</v>
      </c>
      <c r="JT103" s="92" t="s">
        <v>1319</v>
      </c>
      <c r="JU103" s="92" t="s">
        <v>1396</v>
      </c>
      <c r="JV103" s="92" t="s">
        <v>1336</v>
      </c>
      <c r="JW103" s="92" t="s">
        <v>1296</v>
      </c>
      <c r="JX103" s="92" t="s">
        <v>71</v>
      </c>
      <c r="JY103" s="92" t="s">
        <v>1397</v>
      </c>
      <c r="JZ103" s="92" t="s">
        <v>1369</v>
      </c>
      <c r="KA103" s="92" t="s">
        <v>4845</v>
      </c>
      <c r="KB103" s="92" t="s">
        <v>5476</v>
      </c>
      <c r="KC103" s="92" t="s">
        <v>109</v>
      </c>
      <c r="KD103" s="92" t="s">
        <v>4844</v>
      </c>
      <c r="KE103" s="92" t="s">
        <v>5561</v>
      </c>
      <c r="KF103" s="92">
        <v>1800</v>
      </c>
      <c r="KG103" s="92" t="s">
        <v>1426</v>
      </c>
      <c r="KH103" s="92" t="s">
        <v>192</v>
      </c>
      <c r="KI103" s="92" t="s">
        <v>192</v>
      </c>
      <c r="KJ103" s="92" t="s">
        <v>192</v>
      </c>
      <c r="KK103" s="92" t="s">
        <v>192</v>
      </c>
      <c r="KL103" s="92" t="s">
        <v>1440</v>
      </c>
      <c r="KM103" s="92">
        <v>2000</v>
      </c>
      <c r="KN103" s="92" t="s">
        <v>1426</v>
      </c>
      <c r="KO103" s="92" t="s">
        <v>1440</v>
      </c>
      <c r="KP103" s="92" t="s">
        <v>1342</v>
      </c>
      <c r="KQ103" s="92" t="s">
        <v>192</v>
      </c>
      <c r="KR103" s="92">
        <v>26</v>
      </c>
      <c r="KS103" s="92" t="s">
        <v>1343</v>
      </c>
      <c r="KT103" s="92" t="s">
        <v>1402</v>
      </c>
      <c r="KU103" s="92">
        <v>40</v>
      </c>
      <c r="KV103" s="92" t="s">
        <v>1441</v>
      </c>
      <c r="KW103" s="92" t="s">
        <v>1402</v>
      </c>
      <c r="KX103" s="92" t="s">
        <v>1346</v>
      </c>
      <c r="KY103" s="92" t="s">
        <v>1377</v>
      </c>
      <c r="KZ103" s="92" t="s">
        <v>1403</v>
      </c>
      <c r="LA103" s="92" t="s">
        <v>109</v>
      </c>
      <c r="LB103" s="92" t="s">
        <v>109</v>
      </c>
      <c r="LC103" s="92" t="s">
        <v>5566</v>
      </c>
      <c r="LD103" s="92" t="s">
        <v>5566</v>
      </c>
      <c r="LE103" s="92"/>
      <c r="LF103" s="92"/>
    </row>
    <row r="104" spans="1:318" x14ac:dyDescent="0.25">
      <c r="A104" t="s">
        <v>1919</v>
      </c>
      <c r="B104" t="s">
        <v>1920</v>
      </c>
      <c r="C104" t="s">
        <v>1304</v>
      </c>
      <c r="D104" t="s">
        <v>1305</v>
      </c>
      <c r="E104" t="s">
        <v>1381</v>
      </c>
      <c r="G104" t="s">
        <v>1319</v>
      </c>
      <c r="H104">
        <v>3</v>
      </c>
      <c r="I104" t="s">
        <v>1358</v>
      </c>
      <c r="J104" t="s">
        <v>1663</v>
      </c>
      <c r="K104" t="s">
        <v>1309</v>
      </c>
      <c r="L104" t="s">
        <v>1310</v>
      </c>
      <c r="M104" t="s">
        <v>1310</v>
      </c>
      <c r="N104" t="s">
        <v>1309</v>
      </c>
      <c r="O104" t="s">
        <v>1309</v>
      </c>
      <c r="P104" t="s">
        <v>1309</v>
      </c>
      <c r="Q104" t="s">
        <v>1309</v>
      </c>
      <c r="R104" t="s">
        <v>1309</v>
      </c>
      <c r="S104">
        <v>1</v>
      </c>
      <c r="T104">
        <v>1</v>
      </c>
      <c r="U104" t="s">
        <v>1311</v>
      </c>
      <c r="V104" t="s">
        <v>1312</v>
      </c>
      <c r="W104" t="s">
        <v>1311</v>
      </c>
      <c r="X104" t="s">
        <v>1311</v>
      </c>
      <c r="Y104" t="s">
        <v>1312</v>
      </c>
      <c r="Z104" t="s">
        <v>1312</v>
      </c>
      <c r="AC104">
        <v>3</v>
      </c>
      <c r="AD104">
        <v>10000</v>
      </c>
      <c r="AE104">
        <v>9000</v>
      </c>
      <c r="AF104" t="s">
        <v>1351</v>
      </c>
      <c r="AH104" t="s">
        <v>1383</v>
      </c>
      <c r="AJ104" t="s">
        <v>1353</v>
      </c>
      <c r="AL104" t="s">
        <v>1316</v>
      </c>
      <c r="BA104" t="s">
        <v>1316</v>
      </c>
      <c r="BS104" t="s">
        <v>1307</v>
      </c>
      <c r="CE104" t="s">
        <v>1611</v>
      </c>
      <c r="CF104" t="s">
        <v>1310</v>
      </c>
      <c r="CG104" t="s">
        <v>1309</v>
      </c>
      <c r="CH104" t="s">
        <v>1309</v>
      </c>
      <c r="CI104" t="s">
        <v>1309</v>
      </c>
      <c r="CJ104" t="s">
        <v>1309</v>
      </c>
      <c r="CK104" t="s">
        <v>1309</v>
      </c>
      <c r="CL104" t="s">
        <v>1309</v>
      </c>
      <c r="CM104" t="s">
        <v>1309</v>
      </c>
      <c r="CN104" t="s">
        <v>1310</v>
      </c>
      <c r="CO104" t="s">
        <v>1310</v>
      </c>
      <c r="CP104" t="s">
        <v>1309</v>
      </c>
      <c r="CQ104" t="s">
        <v>1309</v>
      </c>
      <c r="CR104" t="s">
        <v>1309</v>
      </c>
      <c r="CT104" t="s">
        <v>4434</v>
      </c>
      <c r="CV104" t="s">
        <v>1356</v>
      </c>
      <c r="CW104" t="s">
        <v>1309</v>
      </c>
      <c r="CX104" t="s">
        <v>1309</v>
      </c>
      <c r="CY104" t="s">
        <v>1309</v>
      </c>
      <c r="CZ104" t="s">
        <v>1310</v>
      </c>
      <c r="DA104" t="s">
        <v>1309</v>
      </c>
      <c r="DB104" t="s">
        <v>1309</v>
      </c>
      <c r="DC104" t="s">
        <v>1309</v>
      </c>
      <c r="DE104" t="s">
        <v>1318</v>
      </c>
      <c r="DG104">
        <v>4000</v>
      </c>
      <c r="DI104">
        <v>800</v>
      </c>
      <c r="DJ104" t="s">
        <v>1318</v>
      </c>
      <c r="DK104">
        <v>5500</v>
      </c>
      <c r="DM104">
        <v>800</v>
      </c>
      <c r="DN104" t="s">
        <v>1445</v>
      </c>
      <c r="DO104" t="s">
        <v>1310</v>
      </c>
      <c r="DP104" t="s">
        <v>1310</v>
      </c>
      <c r="DQ104" t="s">
        <v>1309</v>
      </c>
      <c r="DR104" t="s">
        <v>1309</v>
      </c>
      <c r="DS104" t="s">
        <v>1309</v>
      </c>
      <c r="DT104" t="s">
        <v>1310</v>
      </c>
      <c r="DU104" t="s">
        <v>1309</v>
      </c>
      <c r="DV104" t="s">
        <v>1309</v>
      </c>
      <c r="DW104" t="s">
        <v>1309</v>
      </c>
      <c r="DY104" t="s">
        <v>1481</v>
      </c>
      <c r="DZ104">
        <v>300</v>
      </c>
      <c r="EA104" t="s">
        <v>1319</v>
      </c>
      <c r="EC104" t="s">
        <v>1474</v>
      </c>
      <c r="ED104">
        <v>1000</v>
      </c>
      <c r="EE104" t="s">
        <v>1319</v>
      </c>
      <c r="EG104" t="s">
        <v>5356</v>
      </c>
      <c r="EI104" t="s">
        <v>1307</v>
      </c>
      <c r="ET104" t="s">
        <v>1307</v>
      </c>
      <c r="EV104" t="s">
        <v>1319</v>
      </c>
      <c r="EW104" t="s">
        <v>1409</v>
      </c>
      <c r="EX104" t="s">
        <v>1307</v>
      </c>
      <c r="EY104" t="s">
        <v>1319</v>
      </c>
      <c r="EZ104" t="s">
        <v>1319</v>
      </c>
      <c r="FA104" t="s">
        <v>1731</v>
      </c>
      <c r="FB104" t="s">
        <v>1310</v>
      </c>
      <c r="FC104" t="s">
        <v>1310</v>
      </c>
      <c r="FD104" t="s">
        <v>1309</v>
      </c>
      <c r="FE104" t="s">
        <v>1309</v>
      </c>
      <c r="FF104" t="s">
        <v>1309</v>
      </c>
      <c r="FG104" t="s">
        <v>1309</v>
      </c>
      <c r="FH104" t="s">
        <v>1309</v>
      </c>
      <c r="FI104" t="s">
        <v>1309</v>
      </c>
      <c r="FJ104" t="s">
        <v>1309</v>
      </c>
      <c r="FK104" t="s">
        <v>1309</v>
      </c>
      <c r="FL104" t="s">
        <v>1309</v>
      </c>
      <c r="FM104" t="s">
        <v>1309</v>
      </c>
      <c r="FN104" t="s">
        <v>1309</v>
      </c>
      <c r="FO104" t="s">
        <v>1309</v>
      </c>
      <c r="FP104" t="s">
        <v>1309</v>
      </c>
      <c r="FQ104" t="s">
        <v>1309</v>
      </c>
      <c r="FR104" t="s">
        <v>1309</v>
      </c>
      <c r="FT104" t="s">
        <v>1319</v>
      </c>
      <c r="FU104" t="s">
        <v>1649</v>
      </c>
      <c r="FV104" t="s">
        <v>1310</v>
      </c>
      <c r="FW104" t="s">
        <v>1310</v>
      </c>
      <c r="FX104" t="s">
        <v>1309</v>
      </c>
      <c r="FY104" t="s">
        <v>1309</v>
      </c>
      <c r="FZ104" t="s">
        <v>1309</v>
      </c>
      <c r="GA104" t="s">
        <v>1309</v>
      </c>
      <c r="GB104" t="s">
        <v>1309</v>
      </c>
      <c r="GC104" t="s">
        <v>1309</v>
      </c>
      <c r="GD104" t="s">
        <v>1309</v>
      </c>
      <c r="GE104" t="s">
        <v>1309</v>
      </c>
      <c r="GF104" t="s">
        <v>1309</v>
      </c>
      <c r="GG104" t="s">
        <v>1309</v>
      </c>
      <c r="GI104" t="s">
        <v>1324</v>
      </c>
      <c r="GJ104" t="s">
        <v>1436</v>
      </c>
      <c r="GK104" t="s">
        <v>1307</v>
      </c>
      <c r="GT104" t="s">
        <v>1325</v>
      </c>
      <c r="GU104" t="s">
        <v>1310</v>
      </c>
      <c r="GV104" t="s">
        <v>1309</v>
      </c>
      <c r="GW104" t="s">
        <v>1309</v>
      </c>
      <c r="GX104" t="s">
        <v>1309</v>
      </c>
      <c r="GY104" t="s">
        <v>1309</v>
      </c>
      <c r="GZ104" t="s">
        <v>1309</v>
      </c>
      <c r="HA104" t="s">
        <v>1309</v>
      </c>
      <c r="HB104" t="s">
        <v>1309</v>
      </c>
      <c r="HC104" t="s">
        <v>1309</v>
      </c>
      <c r="HD104" t="s">
        <v>1309</v>
      </c>
      <c r="HE104" t="s">
        <v>1309</v>
      </c>
      <c r="HF104" t="s">
        <v>1309</v>
      </c>
      <c r="HH104" t="s">
        <v>1326</v>
      </c>
      <c r="HI104" t="s">
        <v>1326</v>
      </c>
      <c r="HJ104" t="s">
        <v>1390</v>
      </c>
      <c r="HK104" t="s">
        <v>1327</v>
      </c>
      <c r="HL104" t="s">
        <v>1692</v>
      </c>
      <c r="HM104" t="s">
        <v>1326</v>
      </c>
      <c r="HN104" t="s">
        <v>1921</v>
      </c>
      <c r="HO104" t="s">
        <v>1310</v>
      </c>
      <c r="HP104" t="s">
        <v>1309</v>
      </c>
      <c r="HQ104" t="s">
        <v>1310</v>
      </c>
      <c r="HR104" t="s">
        <v>1310</v>
      </c>
      <c r="HS104" t="s">
        <v>1309</v>
      </c>
      <c r="HT104" t="s">
        <v>1309</v>
      </c>
      <c r="HU104" t="s">
        <v>1309</v>
      </c>
      <c r="HV104" t="s">
        <v>1309</v>
      </c>
      <c r="HW104" t="s">
        <v>1309</v>
      </c>
      <c r="HX104" t="s">
        <v>1309</v>
      </c>
      <c r="HY104" t="s">
        <v>1309</v>
      </c>
      <c r="IA104" t="s">
        <v>1414</v>
      </c>
      <c r="IQ104" t="s">
        <v>1330</v>
      </c>
      <c r="IS104" t="s">
        <v>1316</v>
      </c>
      <c r="JF104" t="s">
        <v>1331</v>
      </c>
      <c r="JG104" t="s">
        <v>1332</v>
      </c>
      <c r="JH104" t="s">
        <v>1309</v>
      </c>
      <c r="JI104" t="s">
        <v>1309</v>
      </c>
      <c r="JJ104" t="s">
        <v>1309</v>
      </c>
      <c r="JK104" t="s">
        <v>1309</v>
      </c>
      <c r="JL104" t="s">
        <v>1310</v>
      </c>
      <c r="JM104" t="s">
        <v>1309</v>
      </c>
      <c r="JN104" t="s">
        <v>1309</v>
      </c>
      <c r="JO104" t="s">
        <v>1309</v>
      </c>
      <c r="JQ104" s="92" t="s">
        <v>1516</v>
      </c>
      <c r="JR104" s="92" t="s">
        <v>1660</v>
      </c>
      <c r="JS104" s="92">
        <v>53</v>
      </c>
      <c r="JT104" s="92" t="s">
        <v>1319</v>
      </c>
      <c r="JU104" s="92" t="s">
        <v>1396</v>
      </c>
      <c r="JV104" s="92" t="s">
        <v>1336</v>
      </c>
      <c r="JW104" s="92" t="s">
        <v>1296</v>
      </c>
      <c r="JX104" s="92" t="s">
        <v>71</v>
      </c>
      <c r="JY104" s="92" t="s">
        <v>1397</v>
      </c>
      <c r="JZ104" s="92" t="s">
        <v>1337</v>
      </c>
      <c r="KA104" s="92" t="s">
        <v>4845</v>
      </c>
      <c r="KB104" s="92" t="s">
        <v>1370</v>
      </c>
      <c r="KC104" s="92" t="s">
        <v>109</v>
      </c>
      <c r="KD104" s="92" t="s">
        <v>4848</v>
      </c>
      <c r="KE104" s="92" t="s">
        <v>1424</v>
      </c>
      <c r="KF104" s="92">
        <v>4800</v>
      </c>
      <c r="KG104" s="92" t="s">
        <v>4439</v>
      </c>
      <c r="KH104" s="92" t="s">
        <v>192</v>
      </c>
      <c r="KI104" s="92" t="s">
        <v>109</v>
      </c>
      <c r="KJ104" s="92" t="s">
        <v>192</v>
      </c>
      <c r="KK104" s="92" t="s">
        <v>109</v>
      </c>
      <c r="KL104" s="92" t="s">
        <v>1341</v>
      </c>
      <c r="KM104" s="92">
        <v>6300</v>
      </c>
      <c r="KN104" s="92" t="s">
        <v>1400</v>
      </c>
      <c r="KO104" s="92" t="s">
        <v>1341</v>
      </c>
      <c r="KP104" s="92" t="s">
        <v>1375</v>
      </c>
      <c r="KQ104" s="92" t="s">
        <v>192</v>
      </c>
      <c r="KR104" s="92">
        <v>6</v>
      </c>
      <c r="KS104" s="92" t="s">
        <v>1343</v>
      </c>
      <c r="KT104" s="92" t="s">
        <v>1344</v>
      </c>
      <c r="KU104" s="92">
        <v>16</v>
      </c>
      <c r="KV104" s="92" t="s">
        <v>1461</v>
      </c>
      <c r="KW104" s="92" t="s">
        <v>1344</v>
      </c>
      <c r="KX104" s="92" t="s">
        <v>1376</v>
      </c>
      <c r="KY104" s="92" t="s">
        <v>1377</v>
      </c>
      <c r="KZ104" s="92" t="s">
        <v>1403</v>
      </c>
      <c r="LA104" s="92" t="s">
        <v>109</v>
      </c>
      <c r="LB104" s="92" t="s">
        <v>109</v>
      </c>
      <c r="LC104" s="92" t="s">
        <v>4439</v>
      </c>
      <c r="LD104" s="92" t="s">
        <v>4439</v>
      </c>
      <c r="LE104" s="92" t="s">
        <v>192</v>
      </c>
      <c r="LF104" s="92" t="s">
        <v>192</v>
      </c>
    </row>
    <row r="105" spans="1:318" x14ac:dyDescent="0.25">
      <c r="A105" t="s">
        <v>1922</v>
      </c>
      <c r="B105" t="s">
        <v>1923</v>
      </c>
      <c r="C105" t="s">
        <v>1304</v>
      </c>
      <c r="D105" t="s">
        <v>1305</v>
      </c>
      <c r="E105" t="s">
        <v>1306</v>
      </c>
      <c r="G105" t="s">
        <v>1307</v>
      </c>
      <c r="H105">
        <v>3</v>
      </c>
      <c r="I105" t="s">
        <v>1307</v>
      </c>
      <c r="J105" t="s">
        <v>1406</v>
      </c>
      <c r="K105" t="s">
        <v>1309</v>
      </c>
      <c r="L105" t="s">
        <v>1310</v>
      </c>
      <c r="M105" t="s">
        <v>1309</v>
      </c>
      <c r="N105" t="s">
        <v>1309</v>
      </c>
      <c r="O105" t="s">
        <v>1309</v>
      </c>
      <c r="P105" t="s">
        <v>1309</v>
      </c>
      <c r="Q105" t="s">
        <v>1309</v>
      </c>
      <c r="R105" t="s">
        <v>1309</v>
      </c>
      <c r="S105">
        <v>1</v>
      </c>
      <c r="U105" t="s">
        <v>1312</v>
      </c>
      <c r="V105" t="s">
        <v>1312</v>
      </c>
      <c r="W105" t="s">
        <v>1312</v>
      </c>
      <c r="X105" t="s">
        <v>1312</v>
      </c>
      <c r="Y105" t="s">
        <v>1312</v>
      </c>
      <c r="Z105" t="s">
        <v>1312</v>
      </c>
      <c r="AC105">
        <v>1</v>
      </c>
      <c r="AD105">
        <v>8000</v>
      </c>
      <c r="AE105">
        <v>8000</v>
      </c>
      <c r="AF105" t="s">
        <v>1351</v>
      </c>
      <c r="AH105" t="s">
        <v>1383</v>
      </c>
      <c r="AJ105" t="s">
        <v>1315</v>
      </c>
      <c r="AL105" t="s">
        <v>1316</v>
      </c>
      <c r="BS105" t="s">
        <v>1307</v>
      </c>
      <c r="CE105" t="s">
        <v>1355</v>
      </c>
      <c r="CF105" t="s">
        <v>1309</v>
      </c>
      <c r="CG105" t="s">
        <v>1309</v>
      </c>
      <c r="CH105" t="s">
        <v>1309</v>
      </c>
      <c r="CI105" t="s">
        <v>1309</v>
      </c>
      <c r="CJ105" t="s">
        <v>1309</v>
      </c>
      <c r="CK105" t="s">
        <v>1309</v>
      </c>
      <c r="CL105" t="s">
        <v>1309</v>
      </c>
      <c r="CM105" t="s">
        <v>1309</v>
      </c>
      <c r="CN105" t="s">
        <v>1310</v>
      </c>
      <c r="CO105" t="s">
        <v>1309</v>
      </c>
      <c r="CP105" t="s">
        <v>1309</v>
      </c>
      <c r="CQ105" t="s">
        <v>1309</v>
      </c>
      <c r="CR105" t="s">
        <v>1309</v>
      </c>
      <c r="CT105" t="s">
        <v>4436</v>
      </c>
      <c r="CV105" t="s">
        <v>1308</v>
      </c>
      <c r="CW105" t="s">
        <v>1310</v>
      </c>
      <c r="CX105" t="s">
        <v>1309</v>
      </c>
      <c r="CY105" t="s">
        <v>1309</v>
      </c>
      <c r="CZ105" t="s">
        <v>1309</v>
      </c>
      <c r="DA105" t="s">
        <v>1309</v>
      </c>
      <c r="DB105" t="s">
        <v>1309</v>
      </c>
      <c r="DC105" t="s">
        <v>1309</v>
      </c>
      <c r="DE105" t="s">
        <v>1358</v>
      </c>
      <c r="DF105" t="s">
        <v>1319</v>
      </c>
      <c r="DI105">
        <v>600</v>
      </c>
      <c r="DJ105" t="s">
        <v>1358</v>
      </c>
      <c r="DM105">
        <v>700</v>
      </c>
      <c r="DN105" t="s">
        <v>1320</v>
      </c>
      <c r="DO105" t="s">
        <v>1310</v>
      </c>
      <c r="DP105" t="s">
        <v>1309</v>
      </c>
      <c r="DQ105" t="s">
        <v>1309</v>
      </c>
      <c r="DR105" t="s">
        <v>1309</v>
      </c>
      <c r="DS105" t="s">
        <v>1309</v>
      </c>
      <c r="DT105" t="s">
        <v>1310</v>
      </c>
      <c r="DU105" t="s">
        <v>1309</v>
      </c>
      <c r="DV105" t="s">
        <v>1309</v>
      </c>
      <c r="DW105" t="s">
        <v>1309</v>
      </c>
      <c r="DY105" t="s">
        <v>1456</v>
      </c>
      <c r="DZ105">
        <v>400</v>
      </c>
      <c r="EA105" t="s">
        <v>1319</v>
      </c>
      <c r="EC105" t="s">
        <v>1360</v>
      </c>
      <c r="ED105">
        <v>600</v>
      </c>
      <c r="EE105" t="s">
        <v>1319</v>
      </c>
      <c r="EG105" t="s">
        <v>5357</v>
      </c>
      <c r="ET105" t="s">
        <v>1307</v>
      </c>
      <c r="EV105" t="s">
        <v>1319</v>
      </c>
      <c r="EW105" t="s">
        <v>1361</v>
      </c>
      <c r="EX105" t="s">
        <v>1319</v>
      </c>
      <c r="EY105" t="s">
        <v>1307</v>
      </c>
      <c r="EZ105" t="s">
        <v>1307</v>
      </c>
      <c r="FA105" t="s">
        <v>1924</v>
      </c>
      <c r="FB105" t="s">
        <v>1309</v>
      </c>
      <c r="FC105" t="s">
        <v>1309</v>
      </c>
      <c r="FD105" t="s">
        <v>1309</v>
      </c>
      <c r="FE105" t="s">
        <v>1309</v>
      </c>
      <c r="FF105" t="s">
        <v>1309</v>
      </c>
      <c r="FG105" t="s">
        <v>1310</v>
      </c>
      <c r="FH105" t="s">
        <v>1309</v>
      </c>
      <c r="FI105" t="s">
        <v>1310</v>
      </c>
      <c r="FJ105" t="s">
        <v>1309</v>
      </c>
      <c r="FK105" t="s">
        <v>1309</v>
      </c>
      <c r="FL105" t="s">
        <v>1309</v>
      </c>
      <c r="FM105" t="s">
        <v>1309</v>
      </c>
      <c r="FN105" t="s">
        <v>1309</v>
      </c>
      <c r="FO105" t="s">
        <v>1309</v>
      </c>
      <c r="FP105" t="s">
        <v>1309</v>
      </c>
      <c r="FQ105" t="s">
        <v>1309</v>
      </c>
      <c r="FR105" t="s">
        <v>1309</v>
      </c>
      <c r="FT105" t="s">
        <v>1307</v>
      </c>
      <c r="GI105" t="s">
        <v>1324</v>
      </c>
      <c r="GJ105" t="s">
        <v>1324</v>
      </c>
      <c r="GT105" t="s">
        <v>1325</v>
      </c>
      <c r="GU105" t="s">
        <v>1310</v>
      </c>
      <c r="GV105" t="s">
        <v>1309</v>
      </c>
      <c r="GW105" t="s">
        <v>1309</v>
      </c>
      <c r="GX105" t="s">
        <v>1309</v>
      </c>
      <c r="GY105" t="s">
        <v>1309</v>
      </c>
      <c r="GZ105" t="s">
        <v>1309</v>
      </c>
      <c r="HA105" t="s">
        <v>1309</v>
      </c>
      <c r="HB105" t="s">
        <v>1309</v>
      </c>
      <c r="HC105" t="s">
        <v>1309</v>
      </c>
      <c r="HD105" t="s">
        <v>1309</v>
      </c>
      <c r="HE105" t="s">
        <v>1309</v>
      </c>
      <c r="HF105" t="s">
        <v>1309</v>
      </c>
      <c r="HH105" t="s">
        <v>1363</v>
      </c>
      <c r="HI105" t="s">
        <v>1327</v>
      </c>
      <c r="HJ105" t="s">
        <v>1363</v>
      </c>
      <c r="HK105" t="s">
        <v>1327</v>
      </c>
      <c r="HL105" t="s">
        <v>1328</v>
      </c>
      <c r="HM105" t="s">
        <v>1363</v>
      </c>
      <c r="HN105" t="s">
        <v>1414</v>
      </c>
      <c r="HO105" t="s">
        <v>1309</v>
      </c>
      <c r="HP105" t="s">
        <v>1309</v>
      </c>
      <c r="HQ105" t="s">
        <v>1309</v>
      </c>
      <c r="HR105" t="s">
        <v>1309</v>
      </c>
      <c r="HS105" t="s">
        <v>1309</v>
      </c>
      <c r="HT105" t="s">
        <v>1309</v>
      </c>
      <c r="HU105" t="s">
        <v>1309</v>
      </c>
      <c r="HV105" t="s">
        <v>1309</v>
      </c>
      <c r="HW105" t="s">
        <v>1309</v>
      </c>
      <c r="HX105" t="s">
        <v>1310</v>
      </c>
      <c r="HY105" t="s">
        <v>1309</v>
      </c>
      <c r="IA105" t="s">
        <v>1319</v>
      </c>
      <c r="IB105" t="s">
        <v>1925</v>
      </c>
      <c r="IC105" t="s">
        <v>1310</v>
      </c>
      <c r="ID105" t="s">
        <v>1310</v>
      </c>
      <c r="IE105" t="s">
        <v>1309</v>
      </c>
      <c r="IF105" t="s">
        <v>1309</v>
      </c>
      <c r="IG105" t="s">
        <v>1309</v>
      </c>
      <c r="IH105" t="s">
        <v>1309</v>
      </c>
      <c r="II105" t="s">
        <v>1310</v>
      </c>
      <c r="IJ105" t="s">
        <v>1309</v>
      </c>
      <c r="IK105" t="s">
        <v>1309</v>
      </c>
      <c r="IL105" t="s">
        <v>1309</v>
      </c>
      <c r="IM105" t="s">
        <v>1309</v>
      </c>
      <c r="IN105" t="s">
        <v>1309</v>
      </c>
      <c r="IO105" t="s">
        <v>1309</v>
      </c>
      <c r="IQ105" t="s">
        <v>1308</v>
      </c>
      <c r="IS105" t="s">
        <v>1354</v>
      </c>
      <c r="JF105" t="s">
        <v>1316</v>
      </c>
      <c r="JG105" t="s">
        <v>1332</v>
      </c>
      <c r="JH105" t="s">
        <v>1309</v>
      </c>
      <c r="JI105" t="s">
        <v>1309</v>
      </c>
      <c r="JJ105" t="s">
        <v>1309</v>
      </c>
      <c r="JK105" t="s">
        <v>1309</v>
      </c>
      <c r="JL105" t="s">
        <v>1310</v>
      </c>
      <c r="JM105" t="s">
        <v>1309</v>
      </c>
      <c r="JN105" t="s">
        <v>1309</v>
      </c>
      <c r="JO105" t="s">
        <v>1309</v>
      </c>
      <c r="JQ105" s="92" t="s">
        <v>1926</v>
      </c>
      <c r="JR105" s="92" t="s">
        <v>1927</v>
      </c>
      <c r="JS105" s="92">
        <v>25</v>
      </c>
      <c r="JT105" s="92" t="s">
        <v>1319</v>
      </c>
      <c r="JU105" s="92" t="s">
        <v>1335</v>
      </c>
      <c r="JV105" s="92" t="s">
        <v>1368</v>
      </c>
      <c r="JW105" s="92" t="s">
        <v>1296</v>
      </c>
      <c r="JX105" s="92" t="s">
        <v>70</v>
      </c>
      <c r="JY105" s="92" t="s">
        <v>5549</v>
      </c>
      <c r="JZ105" s="92" t="s">
        <v>1398</v>
      </c>
      <c r="KA105" s="92" t="s">
        <v>4845</v>
      </c>
      <c r="KB105" s="92" t="s">
        <v>1415</v>
      </c>
      <c r="KC105" s="92" t="s">
        <v>109</v>
      </c>
      <c r="KD105" s="92" t="s">
        <v>4844</v>
      </c>
      <c r="KE105" s="92" t="s">
        <v>1424</v>
      </c>
      <c r="KF105" s="92">
        <v>600</v>
      </c>
      <c r="KG105" s="92" t="s">
        <v>1372</v>
      </c>
      <c r="KH105" s="92" t="s">
        <v>109</v>
      </c>
      <c r="KI105" s="92" t="s">
        <v>109</v>
      </c>
      <c r="KJ105" s="92" t="s">
        <v>109</v>
      </c>
      <c r="KK105" s="92" t="s">
        <v>109</v>
      </c>
      <c r="KL105" s="92" t="s">
        <v>1374</v>
      </c>
      <c r="KM105" s="92">
        <v>700</v>
      </c>
      <c r="KN105" s="92" t="s">
        <v>1372</v>
      </c>
      <c r="KO105" s="92" t="s">
        <v>1374</v>
      </c>
      <c r="KP105" s="92" t="s">
        <v>1401</v>
      </c>
      <c r="KQ105" s="92" t="s">
        <v>192</v>
      </c>
      <c r="KR105" s="92"/>
      <c r="KS105" s="92" t="s">
        <v>1343</v>
      </c>
      <c r="KT105" s="92" t="s">
        <v>1344</v>
      </c>
      <c r="KU105" s="92"/>
      <c r="KV105" s="92" t="s">
        <v>1345</v>
      </c>
      <c r="KW105" s="92" t="s">
        <v>1344</v>
      </c>
      <c r="KX105" s="92" t="s">
        <v>1376</v>
      </c>
      <c r="KY105" s="92" t="s">
        <v>1377</v>
      </c>
      <c r="KZ105" s="92" t="s">
        <v>5795</v>
      </c>
      <c r="LA105" s="92" t="s">
        <v>109</v>
      </c>
      <c r="LB105" s="92" t="s">
        <v>109</v>
      </c>
      <c r="LC105" s="92" t="s">
        <v>1372</v>
      </c>
      <c r="LD105" s="92" t="s">
        <v>1372</v>
      </c>
      <c r="LE105" s="92" t="s">
        <v>192</v>
      </c>
      <c r="LF105" s="92" t="s">
        <v>192</v>
      </c>
    </row>
    <row r="106" spans="1:318" x14ac:dyDescent="0.25">
      <c r="A106" t="s">
        <v>1928</v>
      </c>
      <c r="B106" t="s">
        <v>1929</v>
      </c>
      <c r="C106" t="s">
        <v>1304</v>
      </c>
      <c r="D106" t="s">
        <v>1305</v>
      </c>
      <c r="E106" t="s">
        <v>1306</v>
      </c>
      <c r="G106" t="s">
        <v>1307</v>
      </c>
      <c r="H106">
        <v>4</v>
      </c>
      <c r="I106" t="s">
        <v>1307</v>
      </c>
      <c r="J106" t="s">
        <v>1930</v>
      </c>
      <c r="K106" t="s">
        <v>1309</v>
      </c>
      <c r="L106" t="s">
        <v>1310</v>
      </c>
      <c r="M106" t="s">
        <v>1310</v>
      </c>
      <c r="N106" t="s">
        <v>1309</v>
      </c>
      <c r="O106" t="s">
        <v>1309</v>
      </c>
      <c r="P106" t="s">
        <v>1309</v>
      </c>
      <c r="Q106" t="s">
        <v>1309</v>
      </c>
      <c r="R106" t="s">
        <v>1309</v>
      </c>
      <c r="S106">
        <v>1</v>
      </c>
      <c r="T106">
        <v>1</v>
      </c>
      <c r="U106" t="s">
        <v>1311</v>
      </c>
      <c r="V106" t="s">
        <v>1312</v>
      </c>
      <c r="W106" t="s">
        <v>1311</v>
      </c>
      <c r="X106" t="s">
        <v>1312</v>
      </c>
      <c r="Y106" t="s">
        <v>1312</v>
      </c>
      <c r="Z106" t="s">
        <v>1312</v>
      </c>
      <c r="AC106">
        <v>3</v>
      </c>
      <c r="AD106">
        <v>12000</v>
      </c>
      <c r="AE106">
        <v>10000</v>
      </c>
      <c r="AF106" t="s">
        <v>1351</v>
      </c>
      <c r="AH106" t="s">
        <v>1352</v>
      </c>
      <c r="AJ106" t="s">
        <v>1353</v>
      </c>
      <c r="AL106" t="s">
        <v>1316</v>
      </c>
      <c r="BA106" t="s">
        <v>1354</v>
      </c>
      <c r="BS106" t="s">
        <v>1307</v>
      </c>
      <c r="CE106" t="s">
        <v>1355</v>
      </c>
      <c r="CF106" t="s">
        <v>1309</v>
      </c>
      <c r="CG106" t="s">
        <v>1309</v>
      </c>
      <c r="CH106" t="s">
        <v>1309</v>
      </c>
      <c r="CI106" t="s">
        <v>1309</v>
      </c>
      <c r="CJ106" t="s">
        <v>1309</v>
      </c>
      <c r="CK106" t="s">
        <v>1309</v>
      </c>
      <c r="CL106" t="s">
        <v>1309</v>
      </c>
      <c r="CM106" t="s">
        <v>1309</v>
      </c>
      <c r="CN106" t="s">
        <v>1310</v>
      </c>
      <c r="CO106" t="s">
        <v>1309</v>
      </c>
      <c r="CP106" t="s">
        <v>1309</v>
      </c>
      <c r="CQ106" t="s">
        <v>1309</v>
      </c>
      <c r="CR106" t="s">
        <v>1309</v>
      </c>
      <c r="CT106" t="s">
        <v>4436</v>
      </c>
      <c r="CV106" t="s">
        <v>1444</v>
      </c>
      <c r="CW106" t="s">
        <v>1309</v>
      </c>
      <c r="CX106" t="s">
        <v>1310</v>
      </c>
      <c r="CY106" t="s">
        <v>1309</v>
      </c>
      <c r="CZ106" t="s">
        <v>1309</v>
      </c>
      <c r="DA106" t="s">
        <v>1309</v>
      </c>
      <c r="DB106" t="s">
        <v>1309</v>
      </c>
      <c r="DC106" t="s">
        <v>1309</v>
      </c>
      <c r="DE106" t="s">
        <v>1358</v>
      </c>
      <c r="DG106">
        <v>300</v>
      </c>
      <c r="DH106">
        <v>1200</v>
      </c>
      <c r="DI106">
        <v>550</v>
      </c>
      <c r="DJ106" t="s">
        <v>1358</v>
      </c>
      <c r="DK106">
        <v>250</v>
      </c>
      <c r="DL106">
        <v>900</v>
      </c>
      <c r="DM106">
        <v>650</v>
      </c>
      <c r="DN106" t="s">
        <v>1320</v>
      </c>
      <c r="DO106" t="s">
        <v>1310</v>
      </c>
      <c r="DP106" t="s">
        <v>1309</v>
      </c>
      <c r="DQ106" t="s">
        <v>1309</v>
      </c>
      <c r="DR106" t="s">
        <v>1309</v>
      </c>
      <c r="DS106" t="s">
        <v>1309</v>
      </c>
      <c r="DT106" t="s">
        <v>1310</v>
      </c>
      <c r="DU106" t="s">
        <v>1309</v>
      </c>
      <c r="DV106" t="s">
        <v>1309</v>
      </c>
      <c r="DW106" t="s">
        <v>1309</v>
      </c>
      <c r="DY106" t="s">
        <v>1456</v>
      </c>
      <c r="DZ106">
        <v>600</v>
      </c>
      <c r="EA106" t="s">
        <v>1319</v>
      </c>
      <c r="EC106" t="s">
        <v>1360</v>
      </c>
      <c r="ED106">
        <v>900</v>
      </c>
      <c r="EE106" t="s">
        <v>1319</v>
      </c>
      <c r="EG106" t="s">
        <v>5356</v>
      </c>
      <c r="EI106" t="s">
        <v>1307</v>
      </c>
      <c r="ET106" t="s">
        <v>1307</v>
      </c>
      <c r="EV106" t="s">
        <v>1319</v>
      </c>
      <c r="EW106" t="s">
        <v>1409</v>
      </c>
      <c r="EX106" t="s">
        <v>1319</v>
      </c>
      <c r="EY106" t="s">
        <v>1319</v>
      </c>
      <c r="EZ106" t="s">
        <v>1319</v>
      </c>
      <c r="FA106" t="s">
        <v>1931</v>
      </c>
      <c r="FB106" t="s">
        <v>1309</v>
      </c>
      <c r="FC106" t="s">
        <v>1309</v>
      </c>
      <c r="FD106" t="s">
        <v>1310</v>
      </c>
      <c r="FE106" t="s">
        <v>1309</v>
      </c>
      <c r="FF106" t="s">
        <v>1310</v>
      </c>
      <c r="FG106" t="s">
        <v>1309</v>
      </c>
      <c r="FH106" t="s">
        <v>1309</v>
      </c>
      <c r="FI106" t="s">
        <v>1310</v>
      </c>
      <c r="FJ106" t="s">
        <v>1309</v>
      </c>
      <c r="FK106" t="s">
        <v>1309</v>
      </c>
      <c r="FL106" t="s">
        <v>1309</v>
      </c>
      <c r="FM106" t="s">
        <v>1310</v>
      </c>
      <c r="FN106" t="s">
        <v>1309</v>
      </c>
      <c r="FO106" t="s">
        <v>1309</v>
      </c>
      <c r="FP106" t="s">
        <v>1309</v>
      </c>
      <c r="FQ106" t="s">
        <v>1309</v>
      </c>
      <c r="FR106" t="s">
        <v>1309</v>
      </c>
      <c r="FT106" t="s">
        <v>1307</v>
      </c>
      <c r="GI106" t="s">
        <v>1324</v>
      </c>
      <c r="GJ106" t="s">
        <v>1324</v>
      </c>
      <c r="GT106" t="s">
        <v>1325</v>
      </c>
      <c r="GU106" t="s">
        <v>1310</v>
      </c>
      <c r="GV106" t="s">
        <v>1309</v>
      </c>
      <c r="GW106" t="s">
        <v>1309</v>
      </c>
      <c r="GX106" t="s">
        <v>1309</v>
      </c>
      <c r="GY106" t="s">
        <v>1309</v>
      </c>
      <c r="GZ106" t="s">
        <v>1309</v>
      </c>
      <c r="HA106" t="s">
        <v>1309</v>
      </c>
      <c r="HB106" t="s">
        <v>1309</v>
      </c>
      <c r="HC106" t="s">
        <v>1309</v>
      </c>
      <c r="HD106" t="s">
        <v>1309</v>
      </c>
      <c r="HE106" t="s">
        <v>1309</v>
      </c>
      <c r="HF106" t="s">
        <v>1309</v>
      </c>
      <c r="HH106" t="s">
        <v>1326</v>
      </c>
      <c r="HI106" t="s">
        <v>1327</v>
      </c>
      <c r="HJ106" t="s">
        <v>1326</v>
      </c>
      <c r="HK106" t="s">
        <v>1327</v>
      </c>
      <c r="HL106" t="s">
        <v>1328</v>
      </c>
      <c r="HM106" t="s">
        <v>1326</v>
      </c>
      <c r="HN106" t="s">
        <v>1329</v>
      </c>
      <c r="HO106" t="s">
        <v>1309</v>
      </c>
      <c r="HP106" t="s">
        <v>1309</v>
      </c>
      <c r="HQ106" t="s">
        <v>1309</v>
      </c>
      <c r="HR106" t="s">
        <v>1310</v>
      </c>
      <c r="HS106" t="s">
        <v>1309</v>
      </c>
      <c r="HT106" t="s">
        <v>1309</v>
      </c>
      <c r="HU106" t="s">
        <v>1309</v>
      </c>
      <c r="HV106" t="s">
        <v>1309</v>
      </c>
      <c r="HW106" t="s">
        <v>1309</v>
      </c>
      <c r="HX106" t="s">
        <v>1309</v>
      </c>
      <c r="HY106" t="s">
        <v>1309</v>
      </c>
      <c r="IA106" t="s">
        <v>1319</v>
      </c>
      <c r="IB106" t="s">
        <v>1932</v>
      </c>
      <c r="IC106" t="s">
        <v>1310</v>
      </c>
      <c r="ID106" t="s">
        <v>1309</v>
      </c>
      <c r="IE106" t="s">
        <v>1309</v>
      </c>
      <c r="IF106" t="s">
        <v>1309</v>
      </c>
      <c r="IG106" t="s">
        <v>1309</v>
      </c>
      <c r="IH106" t="s">
        <v>1309</v>
      </c>
      <c r="II106" t="s">
        <v>1310</v>
      </c>
      <c r="IJ106" t="s">
        <v>1309</v>
      </c>
      <c r="IK106" t="s">
        <v>1309</v>
      </c>
      <c r="IL106" t="s">
        <v>1309</v>
      </c>
      <c r="IM106" t="s">
        <v>1309</v>
      </c>
      <c r="IN106" t="s">
        <v>1309</v>
      </c>
      <c r="IO106" t="s">
        <v>1309</v>
      </c>
      <c r="IQ106" t="s">
        <v>1365</v>
      </c>
      <c r="IS106" t="s">
        <v>1316</v>
      </c>
      <c r="JF106" t="s">
        <v>1413</v>
      </c>
      <c r="JG106" t="s">
        <v>1566</v>
      </c>
      <c r="JH106" t="s">
        <v>1310</v>
      </c>
      <c r="JI106" t="s">
        <v>1309</v>
      </c>
      <c r="JJ106" t="s">
        <v>1309</v>
      </c>
      <c r="JK106" t="s">
        <v>1309</v>
      </c>
      <c r="JL106" t="s">
        <v>1310</v>
      </c>
      <c r="JM106" t="s">
        <v>1309</v>
      </c>
      <c r="JN106" t="s">
        <v>1309</v>
      </c>
      <c r="JO106" t="s">
        <v>1309</v>
      </c>
      <c r="JQ106" s="92" t="s">
        <v>1926</v>
      </c>
      <c r="JR106" s="92" t="s">
        <v>1933</v>
      </c>
      <c r="JS106" s="92">
        <v>58</v>
      </c>
      <c r="JT106" s="92" t="s">
        <v>1319</v>
      </c>
      <c r="JU106" s="92" t="s">
        <v>1335</v>
      </c>
      <c r="JV106" s="92" t="s">
        <v>1368</v>
      </c>
      <c r="JW106" s="92" t="s">
        <v>1296</v>
      </c>
      <c r="JX106" s="92" t="s">
        <v>71</v>
      </c>
      <c r="JY106" s="92" t="s">
        <v>5549</v>
      </c>
      <c r="JZ106" s="92" t="s">
        <v>1337</v>
      </c>
      <c r="KA106" s="92" t="s">
        <v>4845</v>
      </c>
      <c r="KB106" s="92" t="s">
        <v>1370</v>
      </c>
      <c r="KC106" s="92" t="s">
        <v>109</v>
      </c>
      <c r="KD106" s="92" t="s">
        <v>4848</v>
      </c>
      <c r="KE106" s="92" t="s">
        <v>1371</v>
      </c>
      <c r="KF106" s="92">
        <v>2050</v>
      </c>
      <c r="KG106" s="92" t="s">
        <v>4438</v>
      </c>
      <c r="KH106" s="92" t="s">
        <v>192</v>
      </c>
      <c r="KI106" s="92" t="s">
        <v>192</v>
      </c>
      <c r="KJ106" s="92" t="s">
        <v>192</v>
      </c>
      <c r="KK106" s="92" t="s">
        <v>192</v>
      </c>
      <c r="KL106" s="92" t="s">
        <v>1425</v>
      </c>
      <c r="KM106" s="92">
        <v>1800</v>
      </c>
      <c r="KN106" s="92" t="s">
        <v>4438</v>
      </c>
      <c r="KO106" s="92" t="s">
        <v>1440</v>
      </c>
      <c r="KP106" s="92" t="s">
        <v>1375</v>
      </c>
      <c r="KQ106" s="92" t="s">
        <v>192</v>
      </c>
      <c r="KR106" s="92"/>
      <c r="KS106" s="92" t="s">
        <v>1345</v>
      </c>
      <c r="KT106" s="92" t="s">
        <v>1344</v>
      </c>
      <c r="KU106" s="92"/>
      <c r="KV106" s="92" t="s">
        <v>1461</v>
      </c>
      <c r="KW106" s="92" t="s">
        <v>1344</v>
      </c>
      <c r="KX106" s="92" t="s">
        <v>1376</v>
      </c>
      <c r="KY106" s="92" t="s">
        <v>1377</v>
      </c>
      <c r="KZ106" s="92" t="s">
        <v>5795</v>
      </c>
      <c r="LA106" s="92" t="s">
        <v>109</v>
      </c>
      <c r="LB106" s="92" t="s">
        <v>109</v>
      </c>
      <c r="LC106" s="92" t="s">
        <v>4438</v>
      </c>
      <c r="LD106" s="92" t="s">
        <v>4438</v>
      </c>
      <c r="LE106" s="92" t="s">
        <v>192</v>
      </c>
      <c r="LF106" s="92" t="s">
        <v>109</v>
      </c>
    </row>
    <row r="107" spans="1:318" x14ac:dyDescent="0.25">
      <c r="A107" t="s">
        <v>1934</v>
      </c>
      <c r="B107" t="s">
        <v>1935</v>
      </c>
      <c r="C107" t="s">
        <v>1304</v>
      </c>
      <c r="D107" t="s">
        <v>1429</v>
      </c>
      <c r="E107" t="s">
        <v>1381</v>
      </c>
      <c r="G107" t="s">
        <v>1319</v>
      </c>
      <c r="H107">
        <v>3</v>
      </c>
      <c r="I107" t="s">
        <v>1358</v>
      </c>
      <c r="J107" t="s">
        <v>1406</v>
      </c>
      <c r="K107" t="s">
        <v>1309</v>
      </c>
      <c r="L107" t="s">
        <v>1310</v>
      </c>
      <c r="M107" t="s">
        <v>1309</v>
      </c>
      <c r="N107" t="s">
        <v>1309</v>
      </c>
      <c r="O107" t="s">
        <v>1309</v>
      </c>
      <c r="P107" t="s">
        <v>1309</v>
      </c>
      <c r="Q107" t="s">
        <v>1309</v>
      </c>
      <c r="R107" t="s">
        <v>1309</v>
      </c>
      <c r="S107">
        <v>1</v>
      </c>
      <c r="U107" t="s">
        <v>1312</v>
      </c>
      <c r="V107" t="s">
        <v>1312</v>
      </c>
      <c r="W107" t="s">
        <v>1312</v>
      </c>
      <c r="X107" t="s">
        <v>1312</v>
      </c>
      <c r="Y107" t="s">
        <v>1312</v>
      </c>
      <c r="Z107" t="s">
        <v>1312</v>
      </c>
      <c r="AC107">
        <v>3</v>
      </c>
      <c r="AD107">
        <v>8000</v>
      </c>
      <c r="AE107">
        <v>7500</v>
      </c>
      <c r="AF107" t="s">
        <v>1351</v>
      </c>
      <c r="AH107" t="s">
        <v>1314</v>
      </c>
      <c r="AJ107" t="s">
        <v>1353</v>
      </c>
      <c r="AL107" t="s">
        <v>1331</v>
      </c>
      <c r="BA107" t="s">
        <v>1354</v>
      </c>
      <c r="BS107" t="s">
        <v>1307</v>
      </c>
      <c r="CE107" t="s">
        <v>1936</v>
      </c>
      <c r="CF107" t="s">
        <v>1309</v>
      </c>
      <c r="CG107" t="s">
        <v>1310</v>
      </c>
      <c r="CH107" t="s">
        <v>1309</v>
      </c>
      <c r="CI107" t="s">
        <v>1309</v>
      </c>
      <c r="CJ107" t="s">
        <v>1309</v>
      </c>
      <c r="CK107" t="s">
        <v>1309</v>
      </c>
      <c r="CL107" t="s">
        <v>1309</v>
      </c>
      <c r="CM107" t="s">
        <v>1309</v>
      </c>
      <c r="CN107" t="s">
        <v>1309</v>
      </c>
      <c r="CO107" t="s">
        <v>1309</v>
      </c>
      <c r="CP107" t="s">
        <v>1309</v>
      </c>
      <c r="CQ107" t="s">
        <v>1309</v>
      </c>
      <c r="CR107" t="s">
        <v>1309</v>
      </c>
      <c r="CT107" t="s">
        <v>4434</v>
      </c>
      <c r="CV107" t="s">
        <v>1356</v>
      </c>
      <c r="CW107" t="s">
        <v>1309</v>
      </c>
      <c r="CX107" t="s">
        <v>1309</v>
      </c>
      <c r="CY107" t="s">
        <v>1309</v>
      </c>
      <c r="CZ107" t="s">
        <v>1310</v>
      </c>
      <c r="DA107" t="s">
        <v>1309</v>
      </c>
      <c r="DB107" t="s">
        <v>1309</v>
      </c>
      <c r="DC107" t="s">
        <v>1309</v>
      </c>
      <c r="DE107" t="s">
        <v>1358</v>
      </c>
      <c r="DG107">
        <v>100</v>
      </c>
      <c r="DH107">
        <v>900</v>
      </c>
      <c r="DI107">
        <v>500</v>
      </c>
      <c r="DJ107" t="s">
        <v>1358</v>
      </c>
      <c r="DK107">
        <v>150</v>
      </c>
      <c r="DL107">
        <v>1300</v>
      </c>
      <c r="DM107">
        <v>600</v>
      </c>
      <c r="DN107" t="s">
        <v>1937</v>
      </c>
      <c r="DO107" t="s">
        <v>1309</v>
      </c>
      <c r="DP107" t="s">
        <v>1309</v>
      </c>
      <c r="DQ107" t="s">
        <v>1309</v>
      </c>
      <c r="DR107" t="s">
        <v>1310</v>
      </c>
      <c r="DS107" t="s">
        <v>1310</v>
      </c>
      <c r="DT107" t="s">
        <v>1310</v>
      </c>
      <c r="DU107" t="s">
        <v>1309</v>
      </c>
      <c r="DV107" t="s">
        <v>1309</v>
      </c>
      <c r="DW107" t="s">
        <v>1309</v>
      </c>
      <c r="DY107" t="s">
        <v>1359</v>
      </c>
      <c r="DZ107">
        <v>800</v>
      </c>
      <c r="EA107" t="s">
        <v>1319</v>
      </c>
      <c r="EC107" t="s">
        <v>1420</v>
      </c>
      <c r="ED107">
        <v>1000</v>
      </c>
      <c r="EE107" t="s">
        <v>1319</v>
      </c>
      <c r="EG107" t="s">
        <v>5356</v>
      </c>
      <c r="EI107" t="s">
        <v>1307</v>
      </c>
      <c r="ET107" t="s">
        <v>1307</v>
      </c>
      <c r="EV107" t="s">
        <v>1319</v>
      </c>
      <c r="EW107" t="s">
        <v>1409</v>
      </c>
      <c r="EX107" t="s">
        <v>1319</v>
      </c>
      <c r="EY107" t="s">
        <v>1319</v>
      </c>
      <c r="EZ107" t="s">
        <v>1319</v>
      </c>
      <c r="FA107" t="s">
        <v>1938</v>
      </c>
      <c r="FB107" t="s">
        <v>1310</v>
      </c>
      <c r="FC107" t="s">
        <v>1309</v>
      </c>
      <c r="FD107" t="s">
        <v>1309</v>
      </c>
      <c r="FE107" t="s">
        <v>1309</v>
      </c>
      <c r="FF107" t="s">
        <v>1310</v>
      </c>
      <c r="FG107" t="s">
        <v>1310</v>
      </c>
      <c r="FH107" t="s">
        <v>1309</v>
      </c>
      <c r="FI107" t="s">
        <v>1309</v>
      </c>
      <c r="FJ107" t="s">
        <v>1309</v>
      </c>
      <c r="FK107" t="s">
        <v>1309</v>
      </c>
      <c r="FL107" t="s">
        <v>1309</v>
      </c>
      <c r="FM107" t="s">
        <v>1310</v>
      </c>
      <c r="FN107" t="s">
        <v>1309</v>
      </c>
      <c r="FO107" t="s">
        <v>1309</v>
      </c>
      <c r="FP107" t="s">
        <v>1309</v>
      </c>
      <c r="FQ107" t="s">
        <v>1309</v>
      </c>
      <c r="FR107" t="s">
        <v>1309</v>
      </c>
      <c r="FT107" t="s">
        <v>1307</v>
      </c>
      <c r="GI107" t="s">
        <v>1324</v>
      </c>
      <c r="GJ107" t="s">
        <v>1324</v>
      </c>
      <c r="GT107" t="s">
        <v>1325</v>
      </c>
      <c r="GU107" t="s">
        <v>1310</v>
      </c>
      <c r="GV107" t="s">
        <v>1309</v>
      </c>
      <c r="GW107" t="s">
        <v>1309</v>
      </c>
      <c r="GX107" t="s">
        <v>1309</v>
      </c>
      <c r="GY107" t="s">
        <v>1309</v>
      </c>
      <c r="GZ107" t="s">
        <v>1309</v>
      </c>
      <c r="HA107" t="s">
        <v>1309</v>
      </c>
      <c r="HB107" t="s">
        <v>1309</v>
      </c>
      <c r="HC107" t="s">
        <v>1309</v>
      </c>
      <c r="HD107" t="s">
        <v>1309</v>
      </c>
      <c r="HE107" t="s">
        <v>1309</v>
      </c>
      <c r="HF107" t="s">
        <v>1309</v>
      </c>
      <c r="HH107" t="s">
        <v>1390</v>
      </c>
      <c r="HI107" t="s">
        <v>1390</v>
      </c>
      <c r="HJ107" t="s">
        <v>1390</v>
      </c>
      <c r="HK107" t="s">
        <v>1327</v>
      </c>
      <c r="HL107" t="s">
        <v>1437</v>
      </c>
      <c r="HM107" t="s">
        <v>1390</v>
      </c>
      <c r="HN107" t="s">
        <v>1939</v>
      </c>
      <c r="HO107" t="s">
        <v>1310</v>
      </c>
      <c r="HP107" t="s">
        <v>1310</v>
      </c>
      <c r="HQ107" t="s">
        <v>1309</v>
      </c>
      <c r="HR107" t="s">
        <v>1309</v>
      </c>
      <c r="HS107" t="s">
        <v>1310</v>
      </c>
      <c r="HT107" t="s">
        <v>1309</v>
      </c>
      <c r="HU107" t="s">
        <v>1309</v>
      </c>
      <c r="HV107" t="s">
        <v>1309</v>
      </c>
      <c r="HW107" t="s">
        <v>1309</v>
      </c>
      <c r="HX107" t="s">
        <v>1309</v>
      </c>
      <c r="HY107" t="s">
        <v>1309</v>
      </c>
      <c r="IA107" t="s">
        <v>1307</v>
      </c>
      <c r="IQ107" t="s">
        <v>1308</v>
      </c>
      <c r="IS107" t="s">
        <v>1316</v>
      </c>
      <c r="JF107" t="s">
        <v>1331</v>
      </c>
      <c r="JG107" t="s">
        <v>1332</v>
      </c>
      <c r="JH107" t="s">
        <v>1309</v>
      </c>
      <c r="JI107" t="s">
        <v>1309</v>
      </c>
      <c r="JJ107" t="s">
        <v>1309</v>
      </c>
      <c r="JK107" t="s">
        <v>1309</v>
      </c>
      <c r="JL107" t="s">
        <v>1310</v>
      </c>
      <c r="JM107" t="s">
        <v>1309</v>
      </c>
      <c r="JN107" t="s">
        <v>1309</v>
      </c>
      <c r="JO107" t="s">
        <v>1309</v>
      </c>
      <c r="JQ107" s="92" t="s">
        <v>1926</v>
      </c>
      <c r="JR107" s="92" t="s">
        <v>1933</v>
      </c>
      <c r="JS107" s="92">
        <v>39</v>
      </c>
      <c r="JT107" s="92" t="s">
        <v>1319</v>
      </c>
      <c r="JU107" s="92" t="s">
        <v>1396</v>
      </c>
      <c r="JV107" s="92" t="s">
        <v>1368</v>
      </c>
      <c r="JW107" s="92" t="s">
        <v>1296</v>
      </c>
      <c r="JX107" s="92" t="s">
        <v>71</v>
      </c>
      <c r="JY107" s="92" t="s">
        <v>1397</v>
      </c>
      <c r="JZ107" s="92" t="s">
        <v>1337</v>
      </c>
      <c r="KA107" s="92" t="s">
        <v>4845</v>
      </c>
      <c r="KB107" s="92" t="s">
        <v>1415</v>
      </c>
      <c r="KC107" s="92" t="s">
        <v>109</v>
      </c>
      <c r="KD107" s="92" t="s">
        <v>4848</v>
      </c>
      <c r="KE107" s="92" t="s">
        <v>1424</v>
      </c>
      <c r="KF107" s="92">
        <v>1500</v>
      </c>
      <c r="KG107" s="92" t="s">
        <v>4438</v>
      </c>
      <c r="KH107" s="92" t="s">
        <v>192</v>
      </c>
      <c r="KI107" s="92" t="s">
        <v>192</v>
      </c>
      <c r="KJ107" s="92" t="s">
        <v>192</v>
      </c>
      <c r="KK107" s="92" t="s">
        <v>192</v>
      </c>
      <c r="KL107" s="92" t="s">
        <v>1440</v>
      </c>
      <c r="KM107" s="92">
        <v>2050</v>
      </c>
      <c r="KN107" s="92" t="s">
        <v>4439</v>
      </c>
      <c r="KO107" s="92" t="s">
        <v>1425</v>
      </c>
      <c r="KP107" s="92" t="s">
        <v>1375</v>
      </c>
      <c r="KQ107" s="92" t="s">
        <v>192</v>
      </c>
      <c r="KR107" s="92">
        <v>53</v>
      </c>
      <c r="KS107" s="92" t="s">
        <v>1466</v>
      </c>
      <c r="KT107" s="92" t="s">
        <v>1344</v>
      </c>
      <c r="KU107" s="92">
        <v>49</v>
      </c>
      <c r="KV107" s="92" t="s">
        <v>1461</v>
      </c>
      <c r="KW107" s="92" t="s">
        <v>1344</v>
      </c>
      <c r="KX107" s="92" t="s">
        <v>1376</v>
      </c>
      <c r="KY107" s="92" t="s">
        <v>1377</v>
      </c>
      <c r="KZ107" s="92" t="s">
        <v>1403</v>
      </c>
      <c r="LA107" s="92" t="s">
        <v>109</v>
      </c>
      <c r="LB107" s="92" t="s">
        <v>109</v>
      </c>
      <c r="LC107" s="92" t="s">
        <v>4438</v>
      </c>
      <c r="LD107" s="92" t="s">
        <v>4438</v>
      </c>
      <c r="LE107" s="92" t="s">
        <v>192</v>
      </c>
      <c r="LF107" s="92" t="s">
        <v>192</v>
      </c>
    </row>
    <row r="108" spans="1:318" x14ac:dyDescent="0.25">
      <c r="A108" t="s">
        <v>1940</v>
      </c>
      <c r="B108" t="s">
        <v>1941</v>
      </c>
      <c r="C108" t="s">
        <v>1304</v>
      </c>
      <c r="D108" t="s">
        <v>1305</v>
      </c>
      <c r="E108" t="s">
        <v>1306</v>
      </c>
      <c r="G108" t="s">
        <v>1307</v>
      </c>
      <c r="H108">
        <v>2</v>
      </c>
      <c r="I108" t="s">
        <v>1307</v>
      </c>
      <c r="J108" t="s">
        <v>1430</v>
      </c>
      <c r="K108" t="s">
        <v>1309</v>
      </c>
      <c r="L108" t="s">
        <v>1309</v>
      </c>
      <c r="M108" t="s">
        <v>1310</v>
      </c>
      <c r="N108" t="s">
        <v>1309</v>
      </c>
      <c r="O108" t="s">
        <v>1309</v>
      </c>
      <c r="P108" t="s">
        <v>1309</v>
      </c>
      <c r="Q108" t="s">
        <v>1309</v>
      </c>
      <c r="R108" t="s">
        <v>1309</v>
      </c>
      <c r="T108">
        <v>2</v>
      </c>
      <c r="U108" t="s">
        <v>1311</v>
      </c>
      <c r="V108" t="s">
        <v>1312</v>
      </c>
      <c r="W108" t="s">
        <v>1311</v>
      </c>
      <c r="X108" t="s">
        <v>1312</v>
      </c>
      <c r="Y108" t="s">
        <v>1312</v>
      </c>
      <c r="Z108" t="s">
        <v>1312</v>
      </c>
      <c r="AC108">
        <v>2</v>
      </c>
      <c r="AD108">
        <v>4000</v>
      </c>
      <c r="AE108">
        <v>4000</v>
      </c>
      <c r="AF108" t="s">
        <v>1351</v>
      </c>
      <c r="AH108" t="s">
        <v>1314</v>
      </c>
      <c r="AJ108" t="s">
        <v>1353</v>
      </c>
      <c r="AL108" t="s">
        <v>1316</v>
      </c>
      <c r="BA108" t="s">
        <v>1354</v>
      </c>
      <c r="BS108" t="s">
        <v>1307</v>
      </c>
      <c r="CE108" t="s">
        <v>1414</v>
      </c>
      <c r="CF108" t="s">
        <v>1309</v>
      </c>
      <c r="CG108" t="s">
        <v>1309</v>
      </c>
      <c r="CH108" t="s">
        <v>1309</v>
      </c>
      <c r="CI108" t="s">
        <v>1309</v>
      </c>
      <c r="CJ108" t="s">
        <v>1309</v>
      </c>
      <c r="CK108" t="s">
        <v>1309</v>
      </c>
      <c r="CL108" t="s">
        <v>1309</v>
      </c>
      <c r="CM108" t="s">
        <v>1309</v>
      </c>
      <c r="CN108" t="s">
        <v>1309</v>
      </c>
      <c r="CO108" t="s">
        <v>1309</v>
      </c>
      <c r="CP108" t="s">
        <v>1309</v>
      </c>
      <c r="CQ108" t="s">
        <v>1310</v>
      </c>
      <c r="CR108" t="s">
        <v>1309</v>
      </c>
      <c r="CT108" t="s">
        <v>4436</v>
      </c>
      <c r="CV108" t="s">
        <v>1308</v>
      </c>
      <c r="CW108" t="s">
        <v>1310</v>
      </c>
      <c r="CX108" t="s">
        <v>1309</v>
      </c>
      <c r="CY108" t="s">
        <v>1309</v>
      </c>
      <c r="CZ108" t="s">
        <v>1309</v>
      </c>
      <c r="DA108" t="s">
        <v>1309</v>
      </c>
      <c r="DB108" t="s">
        <v>1309</v>
      </c>
      <c r="DC108" t="s">
        <v>1309</v>
      </c>
      <c r="DE108" t="s">
        <v>1358</v>
      </c>
      <c r="DF108" t="s">
        <v>1319</v>
      </c>
      <c r="DG108">
        <v>300</v>
      </c>
      <c r="DI108">
        <v>400</v>
      </c>
      <c r="DJ108" t="s">
        <v>1358</v>
      </c>
      <c r="DK108">
        <v>350</v>
      </c>
      <c r="DM108">
        <v>500</v>
      </c>
      <c r="DN108" t="s">
        <v>1320</v>
      </c>
      <c r="DO108" t="s">
        <v>1310</v>
      </c>
      <c r="DP108" t="s">
        <v>1309</v>
      </c>
      <c r="DQ108" t="s">
        <v>1309</v>
      </c>
      <c r="DR108" t="s">
        <v>1309</v>
      </c>
      <c r="DS108" t="s">
        <v>1309</v>
      </c>
      <c r="DT108" t="s">
        <v>1310</v>
      </c>
      <c r="DU108" t="s">
        <v>1309</v>
      </c>
      <c r="DV108" t="s">
        <v>1309</v>
      </c>
      <c r="DW108" t="s">
        <v>1309</v>
      </c>
      <c r="DY108" t="s">
        <v>1456</v>
      </c>
      <c r="DZ108">
        <v>500</v>
      </c>
      <c r="EA108" t="s">
        <v>1319</v>
      </c>
      <c r="EC108" t="s">
        <v>1457</v>
      </c>
      <c r="ED108">
        <v>800</v>
      </c>
      <c r="EE108" t="s">
        <v>1319</v>
      </c>
      <c r="EG108" t="s">
        <v>5356</v>
      </c>
      <c r="EI108" t="s">
        <v>1307</v>
      </c>
      <c r="ET108" t="s">
        <v>1307</v>
      </c>
      <c r="EV108" t="s">
        <v>1319</v>
      </c>
      <c r="EW108" t="s">
        <v>1361</v>
      </c>
      <c r="EX108" t="s">
        <v>1319</v>
      </c>
      <c r="EY108" t="s">
        <v>1319</v>
      </c>
      <c r="EZ108" t="s">
        <v>1319</v>
      </c>
      <c r="FA108" t="s">
        <v>1942</v>
      </c>
      <c r="FB108" t="s">
        <v>1309</v>
      </c>
      <c r="FC108" t="s">
        <v>1309</v>
      </c>
      <c r="FD108" t="s">
        <v>1309</v>
      </c>
      <c r="FE108" t="s">
        <v>1310</v>
      </c>
      <c r="FF108" t="s">
        <v>1309</v>
      </c>
      <c r="FG108" t="s">
        <v>1309</v>
      </c>
      <c r="FH108" t="s">
        <v>1309</v>
      </c>
      <c r="FI108" t="s">
        <v>1310</v>
      </c>
      <c r="FJ108" t="s">
        <v>1309</v>
      </c>
      <c r="FK108" t="s">
        <v>1310</v>
      </c>
      <c r="FL108" t="s">
        <v>1309</v>
      </c>
      <c r="FM108" t="s">
        <v>1309</v>
      </c>
      <c r="FN108" t="s">
        <v>1309</v>
      </c>
      <c r="FO108" t="s">
        <v>1309</v>
      </c>
      <c r="FP108" t="s">
        <v>1309</v>
      </c>
      <c r="FQ108" t="s">
        <v>1309</v>
      </c>
      <c r="FR108" t="s">
        <v>1309</v>
      </c>
      <c r="FT108" t="s">
        <v>1319</v>
      </c>
      <c r="FU108" t="s">
        <v>1943</v>
      </c>
      <c r="FV108" t="s">
        <v>1310</v>
      </c>
      <c r="FW108" t="s">
        <v>1309</v>
      </c>
      <c r="FX108" t="s">
        <v>1310</v>
      </c>
      <c r="FY108" t="s">
        <v>1309</v>
      </c>
      <c r="FZ108" t="s">
        <v>1309</v>
      </c>
      <c r="GA108" t="s">
        <v>1309</v>
      </c>
      <c r="GB108" t="s">
        <v>1309</v>
      </c>
      <c r="GC108" t="s">
        <v>1309</v>
      </c>
      <c r="GD108" t="s">
        <v>1309</v>
      </c>
      <c r="GE108" t="s">
        <v>1309</v>
      </c>
      <c r="GF108" t="s">
        <v>1309</v>
      </c>
      <c r="GG108" t="s">
        <v>1309</v>
      </c>
      <c r="GI108" t="s">
        <v>1324</v>
      </c>
      <c r="GJ108" t="s">
        <v>1324</v>
      </c>
      <c r="GT108" t="s">
        <v>1325</v>
      </c>
      <c r="GU108" t="s">
        <v>1310</v>
      </c>
      <c r="GV108" t="s">
        <v>1309</v>
      </c>
      <c r="GW108" t="s">
        <v>1309</v>
      </c>
      <c r="GX108" t="s">
        <v>1309</v>
      </c>
      <c r="GY108" t="s">
        <v>1309</v>
      </c>
      <c r="GZ108" t="s">
        <v>1309</v>
      </c>
      <c r="HA108" t="s">
        <v>1309</v>
      </c>
      <c r="HB108" t="s">
        <v>1309</v>
      </c>
      <c r="HC108" t="s">
        <v>1309</v>
      </c>
      <c r="HD108" t="s">
        <v>1309</v>
      </c>
      <c r="HE108" t="s">
        <v>1309</v>
      </c>
      <c r="HF108" t="s">
        <v>1309</v>
      </c>
      <c r="HH108" t="s">
        <v>1390</v>
      </c>
      <c r="HI108" t="s">
        <v>1390</v>
      </c>
      <c r="HJ108" t="s">
        <v>1390</v>
      </c>
      <c r="HK108" t="s">
        <v>1390</v>
      </c>
      <c r="HL108" t="s">
        <v>1328</v>
      </c>
      <c r="HM108" t="s">
        <v>1390</v>
      </c>
      <c r="HN108" t="s">
        <v>1944</v>
      </c>
      <c r="HO108" t="s">
        <v>1310</v>
      </c>
      <c r="HP108" t="s">
        <v>1310</v>
      </c>
      <c r="HQ108" t="s">
        <v>1310</v>
      </c>
      <c r="HR108" t="s">
        <v>1310</v>
      </c>
      <c r="HS108" t="s">
        <v>1309</v>
      </c>
      <c r="HT108" t="s">
        <v>1309</v>
      </c>
      <c r="HU108" t="s">
        <v>1309</v>
      </c>
      <c r="HV108" t="s">
        <v>1309</v>
      </c>
      <c r="HW108" t="s">
        <v>1309</v>
      </c>
      <c r="HX108" t="s">
        <v>1309</v>
      </c>
      <c r="HY108" t="s">
        <v>1309</v>
      </c>
      <c r="IA108" t="s">
        <v>1307</v>
      </c>
      <c r="IQ108" t="s">
        <v>1365</v>
      </c>
      <c r="IS108" t="s">
        <v>1316</v>
      </c>
      <c r="JF108" t="s">
        <v>1316</v>
      </c>
      <c r="JG108" t="s">
        <v>1945</v>
      </c>
      <c r="JH108" t="s">
        <v>1310</v>
      </c>
      <c r="JI108" t="s">
        <v>1309</v>
      </c>
      <c r="JJ108" t="s">
        <v>1309</v>
      </c>
      <c r="JK108" t="s">
        <v>1310</v>
      </c>
      <c r="JL108" t="s">
        <v>1309</v>
      </c>
      <c r="JM108" t="s">
        <v>1309</v>
      </c>
      <c r="JN108" t="s">
        <v>1309</v>
      </c>
      <c r="JO108" t="s">
        <v>1309</v>
      </c>
      <c r="JQ108" s="92" t="s">
        <v>1926</v>
      </c>
      <c r="JR108" s="92" t="s">
        <v>1927</v>
      </c>
      <c r="JS108" s="92">
        <v>67</v>
      </c>
      <c r="JT108" s="92" t="s">
        <v>1319</v>
      </c>
      <c r="JU108" s="92" t="s">
        <v>1335</v>
      </c>
      <c r="JV108" s="92" t="s">
        <v>1368</v>
      </c>
      <c r="JW108" s="92" t="s">
        <v>1296</v>
      </c>
      <c r="JX108" s="92" t="s">
        <v>70</v>
      </c>
      <c r="JY108" s="92" t="s">
        <v>5549</v>
      </c>
      <c r="JZ108" s="92" t="s">
        <v>1369</v>
      </c>
      <c r="KA108" s="92" t="s">
        <v>4845</v>
      </c>
      <c r="KB108" s="92" t="s">
        <v>1476</v>
      </c>
      <c r="KC108" s="92" t="s">
        <v>109</v>
      </c>
      <c r="KD108" s="92" t="s">
        <v>4847</v>
      </c>
      <c r="KE108" s="92" t="s">
        <v>5560</v>
      </c>
      <c r="KF108" s="92">
        <v>700</v>
      </c>
      <c r="KG108" s="92" t="s">
        <v>4438</v>
      </c>
      <c r="KH108" s="92" t="s">
        <v>192</v>
      </c>
      <c r="KI108" s="92" t="s">
        <v>109</v>
      </c>
      <c r="KJ108" s="92" t="s">
        <v>192</v>
      </c>
      <c r="KK108" s="92" t="s">
        <v>109</v>
      </c>
      <c r="KL108" s="92" t="s">
        <v>1374</v>
      </c>
      <c r="KM108" s="92">
        <v>850</v>
      </c>
      <c r="KN108" s="92" t="s">
        <v>4438</v>
      </c>
      <c r="KO108" s="92" t="s">
        <v>1374</v>
      </c>
      <c r="KP108" s="92" t="s">
        <v>1401</v>
      </c>
      <c r="KQ108" s="92" t="s">
        <v>192</v>
      </c>
      <c r="KR108" s="92"/>
      <c r="KS108" s="92" t="s">
        <v>1345</v>
      </c>
      <c r="KT108" s="92" t="s">
        <v>1344</v>
      </c>
      <c r="KU108" s="92"/>
      <c r="KV108" s="92" t="s">
        <v>1441</v>
      </c>
      <c r="KW108" s="92" t="s">
        <v>1344</v>
      </c>
      <c r="KX108" s="92" t="s">
        <v>1376</v>
      </c>
      <c r="KY108" s="92" t="s">
        <v>1377</v>
      </c>
      <c r="KZ108" s="92" t="s">
        <v>5795</v>
      </c>
      <c r="LA108" s="92" t="s">
        <v>109</v>
      </c>
      <c r="LB108" s="92" t="s">
        <v>109</v>
      </c>
      <c r="LC108" s="92" t="s">
        <v>4438</v>
      </c>
      <c r="LD108" s="92" t="s">
        <v>4438</v>
      </c>
      <c r="LE108" s="92" t="s">
        <v>192</v>
      </c>
      <c r="LF108" s="92" t="s">
        <v>192</v>
      </c>
    </row>
    <row r="109" spans="1:318" x14ac:dyDescent="0.25">
      <c r="A109" t="s">
        <v>1946</v>
      </c>
      <c r="B109" t="s">
        <v>1947</v>
      </c>
      <c r="C109" t="s">
        <v>1304</v>
      </c>
      <c r="D109" t="s">
        <v>1305</v>
      </c>
      <c r="E109" t="s">
        <v>1948</v>
      </c>
      <c r="G109" t="s">
        <v>1319</v>
      </c>
      <c r="H109">
        <v>4</v>
      </c>
      <c r="I109" t="s">
        <v>1318</v>
      </c>
      <c r="J109" t="s">
        <v>1430</v>
      </c>
      <c r="K109" t="s">
        <v>1309</v>
      </c>
      <c r="L109" t="s">
        <v>1309</v>
      </c>
      <c r="M109" t="s">
        <v>1310</v>
      </c>
      <c r="N109" t="s">
        <v>1309</v>
      </c>
      <c r="O109" t="s">
        <v>1309</v>
      </c>
      <c r="P109" t="s">
        <v>1309</v>
      </c>
      <c r="Q109" t="s">
        <v>1309</v>
      </c>
      <c r="R109" t="s">
        <v>1309</v>
      </c>
      <c r="T109">
        <v>1</v>
      </c>
      <c r="U109" t="s">
        <v>1311</v>
      </c>
      <c r="V109" t="s">
        <v>1312</v>
      </c>
      <c r="W109" t="s">
        <v>1312</v>
      </c>
      <c r="X109" t="s">
        <v>1312</v>
      </c>
      <c r="Y109" t="s">
        <v>1312</v>
      </c>
      <c r="Z109" t="s">
        <v>1312</v>
      </c>
      <c r="AC109">
        <v>3</v>
      </c>
      <c r="AF109" t="s">
        <v>1351</v>
      </c>
      <c r="AH109" t="s">
        <v>1314</v>
      </c>
      <c r="AJ109" t="s">
        <v>1315</v>
      </c>
      <c r="AL109" t="s">
        <v>1316</v>
      </c>
      <c r="BS109" t="s">
        <v>1307</v>
      </c>
      <c r="CE109" t="s">
        <v>1949</v>
      </c>
      <c r="CF109" t="s">
        <v>1309</v>
      </c>
      <c r="CG109" t="s">
        <v>1309</v>
      </c>
      <c r="CH109" t="s">
        <v>1309</v>
      </c>
      <c r="CI109" t="s">
        <v>1309</v>
      </c>
      <c r="CJ109" t="s">
        <v>1309</v>
      </c>
      <c r="CK109" t="s">
        <v>1310</v>
      </c>
      <c r="CL109" t="s">
        <v>1309</v>
      </c>
      <c r="CM109" t="s">
        <v>1310</v>
      </c>
      <c r="CN109" t="s">
        <v>1309</v>
      </c>
      <c r="CO109" t="s">
        <v>1309</v>
      </c>
      <c r="CP109" t="s">
        <v>1309</v>
      </c>
      <c r="CQ109" t="s">
        <v>1309</v>
      </c>
      <c r="CR109" t="s">
        <v>1309</v>
      </c>
      <c r="CT109" t="s">
        <v>4436</v>
      </c>
      <c r="CV109" t="s">
        <v>1308</v>
      </c>
      <c r="CW109" t="s">
        <v>1310</v>
      </c>
      <c r="CX109" t="s">
        <v>1309</v>
      </c>
      <c r="CY109" t="s">
        <v>1309</v>
      </c>
      <c r="CZ109" t="s">
        <v>1309</v>
      </c>
      <c r="DA109" t="s">
        <v>1309</v>
      </c>
      <c r="DB109" t="s">
        <v>1309</v>
      </c>
      <c r="DC109" t="s">
        <v>1309</v>
      </c>
      <c r="DE109" t="s">
        <v>1358</v>
      </c>
      <c r="DF109" t="s">
        <v>1319</v>
      </c>
      <c r="DG109">
        <v>200</v>
      </c>
      <c r="DI109">
        <v>600</v>
      </c>
      <c r="DJ109" t="s">
        <v>1358</v>
      </c>
      <c r="DK109">
        <v>250</v>
      </c>
      <c r="DM109">
        <v>600</v>
      </c>
      <c r="DN109" t="s">
        <v>1320</v>
      </c>
      <c r="DO109" t="s">
        <v>1310</v>
      </c>
      <c r="DP109" t="s">
        <v>1309</v>
      </c>
      <c r="DQ109" t="s">
        <v>1309</v>
      </c>
      <c r="DR109" t="s">
        <v>1309</v>
      </c>
      <c r="DS109" t="s">
        <v>1309</v>
      </c>
      <c r="DT109" t="s">
        <v>1310</v>
      </c>
      <c r="DU109" t="s">
        <v>1309</v>
      </c>
      <c r="DV109" t="s">
        <v>1309</v>
      </c>
      <c r="DW109" t="s">
        <v>1309</v>
      </c>
      <c r="DY109" t="s">
        <v>1359</v>
      </c>
      <c r="DZ109">
        <v>500</v>
      </c>
      <c r="EA109" t="s">
        <v>1319</v>
      </c>
      <c r="EC109" t="s">
        <v>1457</v>
      </c>
      <c r="ED109">
        <v>600</v>
      </c>
      <c r="EE109" t="s">
        <v>1319</v>
      </c>
      <c r="EG109" t="s">
        <v>5356</v>
      </c>
      <c r="EI109" t="s">
        <v>1307</v>
      </c>
      <c r="ET109" t="s">
        <v>1307</v>
      </c>
      <c r="EV109" t="s">
        <v>1307</v>
      </c>
      <c r="EX109" t="s">
        <v>1319</v>
      </c>
      <c r="EY109" t="s">
        <v>1307</v>
      </c>
      <c r="EZ109" t="s">
        <v>1307</v>
      </c>
      <c r="FA109" t="s">
        <v>1950</v>
      </c>
      <c r="FB109" t="s">
        <v>1309</v>
      </c>
      <c r="FC109" t="s">
        <v>1309</v>
      </c>
      <c r="FD109" t="s">
        <v>1309</v>
      </c>
      <c r="FE109" t="s">
        <v>1309</v>
      </c>
      <c r="FF109" t="s">
        <v>1309</v>
      </c>
      <c r="FG109" t="s">
        <v>1309</v>
      </c>
      <c r="FH109" t="s">
        <v>1310</v>
      </c>
      <c r="FI109" t="s">
        <v>1310</v>
      </c>
      <c r="FJ109" t="s">
        <v>1309</v>
      </c>
      <c r="FK109" t="s">
        <v>1309</v>
      </c>
      <c r="FL109" t="s">
        <v>1309</v>
      </c>
      <c r="FM109" t="s">
        <v>1309</v>
      </c>
      <c r="FN109" t="s">
        <v>1309</v>
      </c>
      <c r="FO109" t="s">
        <v>1309</v>
      </c>
      <c r="FP109" t="s">
        <v>1309</v>
      </c>
      <c r="FQ109" t="s">
        <v>1309</v>
      </c>
      <c r="FR109" t="s">
        <v>1309</v>
      </c>
      <c r="FT109" t="s">
        <v>1319</v>
      </c>
      <c r="FU109" t="s">
        <v>1649</v>
      </c>
      <c r="FV109" t="s">
        <v>1310</v>
      </c>
      <c r="FW109" t="s">
        <v>1310</v>
      </c>
      <c r="FX109" t="s">
        <v>1309</v>
      </c>
      <c r="FY109" t="s">
        <v>1309</v>
      </c>
      <c r="FZ109" t="s">
        <v>1309</v>
      </c>
      <c r="GA109" t="s">
        <v>1309</v>
      </c>
      <c r="GB109" t="s">
        <v>1309</v>
      </c>
      <c r="GC109" t="s">
        <v>1309</v>
      </c>
      <c r="GD109" t="s">
        <v>1309</v>
      </c>
      <c r="GE109" t="s">
        <v>1309</v>
      </c>
      <c r="GF109" t="s">
        <v>1309</v>
      </c>
      <c r="GG109" t="s">
        <v>1309</v>
      </c>
      <c r="GI109" t="s">
        <v>1324</v>
      </c>
      <c r="GJ109" t="s">
        <v>1324</v>
      </c>
      <c r="GT109" t="s">
        <v>1325</v>
      </c>
      <c r="GU109" t="s">
        <v>1310</v>
      </c>
      <c r="GV109" t="s">
        <v>1309</v>
      </c>
      <c r="GW109" t="s">
        <v>1309</v>
      </c>
      <c r="GX109" t="s">
        <v>1309</v>
      </c>
      <c r="GY109" t="s">
        <v>1309</v>
      </c>
      <c r="GZ109" t="s">
        <v>1309</v>
      </c>
      <c r="HA109" t="s">
        <v>1309</v>
      </c>
      <c r="HB109" t="s">
        <v>1309</v>
      </c>
      <c r="HC109" t="s">
        <v>1309</v>
      </c>
      <c r="HD109" t="s">
        <v>1309</v>
      </c>
      <c r="HE109" t="s">
        <v>1309</v>
      </c>
      <c r="HF109" t="s">
        <v>1309</v>
      </c>
      <c r="HH109" t="s">
        <v>1390</v>
      </c>
      <c r="HI109" t="s">
        <v>1390</v>
      </c>
      <c r="HJ109" t="s">
        <v>1390</v>
      </c>
      <c r="HK109" t="s">
        <v>1327</v>
      </c>
      <c r="HL109" t="s">
        <v>1437</v>
      </c>
      <c r="HM109" t="s">
        <v>1390</v>
      </c>
      <c r="HN109" t="s">
        <v>1726</v>
      </c>
      <c r="HO109" t="s">
        <v>1310</v>
      </c>
      <c r="HP109" t="s">
        <v>1310</v>
      </c>
      <c r="HQ109" t="s">
        <v>1309</v>
      </c>
      <c r="HR109" t="s">
        <v>1309</v>
      </c>
      <c r="HS109" t="s">
        <v>1310</v>
      </c>
      <c r="HT109" t="s">
        <v>1309</v>
      </c>
      <c r="HU109" t="s">
        <v>1309</v>
      </c>
      <c r="HV109" t="s">
        <v>1309</v>
      </c>
      <c r="HW109" t="s">
        <v>1309</v>
      </c>
      <c r="HX109" t="s">
        <v>1309</v>
      </c>
      <c r="HY109" t="s">
        <v>1309</v>
      </c>
      <c r="IA109" t="s">
        <v>1307</v>
      </c>
      <c r="IQ109" t="s">
        <v>1308</v>
      </c>
      <c r="IS109" t="s">
        <v>1316</v>
      </c>
      <c r="JF109" t="s">
        <v>1316</v>
      </c>
      <c r="JG109" t="s">
        <v>1414</v>
      </c>
      <c r="JH109" t="s">
        <v>1309</v>
      </c>
      <c r="JI109" t="s">
        <v>1309</v>
      </c>
      <c r="JJ109" t="s">
        <v>1309</v>
      </c>
      <c r="JK109" t="s">
        <v>1309</v>
      </c>
      <c r="JL109" t="s">
        <v>1309</v>
      </c>
      <c r="JM109" t="s">
        <v>1309</v>
      </c>
      <c r="JN109" t="s">
        <v>1310</v>
      </c>
      <c r="JO109" t="s">
        <v>1309</v>
      </c>
      <c r="JQ109" s="92" t="s">
        <v>1926</v>
      </c>
      <c r="JR109" s="92" t="s">
        <v>1933</v>
      </c>
      <c r="JS109" s="92">
        <v>56</v>
      </c>
      <c r="JT109" s="92" t="s">
        <v>1319</v>
      </c>
      <c r="JU109" s="92" t="s">
        <v>1575</v>
      </c>
      <c r="JV109" s="92" t="s">
        <v>1368</v>
      </c>
      <c r="JW109" s="92" t="s">
        <v>1296</v>
      </c>
      <c r="JX109" s="92" t="s">
        <v>71</v>
      </c>
      <c r="JY109" s="92" t="s">
        <v>5549</v>
      </c>
      <c r="JZ109" s="92" t="s">
        <v>1337</v>
      </c>
      <c r="KA109" s="92" t="s">
        <v>4845</v>
      </c>
      <c r="KB109" s="92" t="s">
        <v>1439</v>
      </c>
      <c r="KC109" s="92" t="s">
        <v>109</v>
      </c>
      <c r="KD109" s="92" t="s">
        <v>4848</v>
      </c>
      <c r="KE109" s="92" t="s">
        <v>1340</v>
      </c>
      <c r="KF109" s="92">
        <v>800</v>
      </c>
      <c r="KG109" s="92" t="s">
        <v>1340</v>
      </c>
      <c r="KH109" s="92" t="s">
        <v>192</v>
      </c>
      <c r="KI109" s="92" t="s">
        <v>109</v>
      </c>
      <c r="KJ109" s="92" t="s">
        <v>192</v>
      </c>
      <c r="KK109" s="92" t="s">
        <v>109</v>
      </c>
      <c r="KL109" s="92" t="s">
        <v>1374</v>
      </c>
      <c r="KM109" s="92">
        <v>850</v>
      </c>
      <c r="KN109" s="92" t="s">
        <v>1340</v>
      </c>
      <c r="KO109" s="92" t="s">
        <v>1374</v>
      </c>
      <c r="KP109" s="92" t="s">
        <v>1401</v>
      </c>
      <c r="KQ109" s="92" t="s">
        <v>192</v>
      </c>
      <c r="KR109" s="92"/>
      <c r="KS109" s="92" t="s">
        <v>1345</v>
      </c>
      <c r="KT109" s="92" t="s">
        <v>1344</v>
      </c>
      <c r="KU109" s="92"/>
      <c r="KV109" s="92" t="s">
        <v>1345</v>
      </c>
      <c r="KW109" s="92" t="s">
        <v>1344</v>
      </c>
      <c r="KX109" s="92" t="s">
        <v>1376</v>
      </c>
      <c r="KY109" s="92" t="s">
        <v>1377</v>
      </c>
      <c r="KZ109" s="92" t="s">
        <v>1378</v>
      </c>
      <c r="LA109" s="92" t="s">
        <v>109</v>
      </c>
      <c r="LB109" s="92" t="s">
        <v>109</v>
      </c>
      <c r="LC109" s="92" t="s">
        <v>5566</v>
      </c>
      <c r="LD109" s="92" t="s">
        <v>5566</v>
      </c>
      <c r="LE109" s="92"/>
      <c r="LF109" s="92"/>
    </row>
    <row r="110" spans="1:318" x14ac:dyDescent="0.25">
      <c r="A110" t="s">
        <v>1951</v>
      </c>
      <c r="B110" t="s">
        <v>1952</v>
      </c>
      <c r="C110" t="s">
        <v>1304</v>
      </c>
      <c r="D110" t="s">
        <v>1305</v>
      </c>
      <c r="E110" t="s">
        <v>1381</v>
      </c>
      <c r="G110" t="s">
        <v>1319</v>
      </c>
      <c r="H110">
        <v>2</v>
      </c>
      <c r="I110" t="s">
        <v>1358</v>
      </c>
      <c r="J110" t="s">
        <v>1430</v>
      </c>
      <c r="K110" t="s">
        <v>1309</v>
      </c>
      <c r="L110" t="s">
        <v>1309</v>
      </c>
      <c r="M110" t="s">
        <v>1310</v>
      </c>
      <c r="N110" t="s">
        <v>1309</v>
      </c>
      <c r="O110" t="s">
        <v>1309</v>
      </c>
      <c r="P110" t="s">
        <v>1309</v>
      </c>
      <c r="Q110" t="s">
        <v>1309</v>
      </c>
      <c r="R110" t="s">
        <v>1309</v>
      </c>
      <c r="T110">
        <v>2</v>
      </c>
      <c r="U110" t="s">
        <v>1311</v>
      </c>
      <c r="V110" t="s">
        <v>1312</v>
      </c>
      <c r="W110" t="s">
        <v>1311</v>
      </c>
      <c r="X110" t="s">
        <v>1311</v>
      </c>
      <c r="Y110" t="s">
        <v>1311</v>
      </c>
      <c r="Z110" t="s">
        <v>1311</v>
      </c>
      <c r="AC110">
        <v>1</v>
      </c>
      <c r="AD110">
        <v>6000</v>
      </c>
      <c r="AE110">
        <v>4000</v>
      </c>
      <c r="AF110" t="s">
        <v>1351</v>
      </c>
      <c r="AH110" t="s">
        <v>1383</v>
      </c>
      <c r="AJ110" t="s">
        <v>1353</v>
      </c>
      <c r="AL110" t="s">
        <v>1316</v>
      </c>
      <c r="BA110" t="s">
        <v>1316</v>
      </c>
      <c r="BS110" t="s">
        <v>1307</v>
      </c>
      <c r="CE110" t="s">
        <v>1317</v>
      </c>
      <c r="CF110" t="s">
        <v>1309</v>
      </c>
      <c r="CG110" t="s">
        <v>1309</v>
      </c>
      <c r="CH110" t="s">
        <v>1309</v>
      </c>
      <c r="CI110" t="s">
        <v>1309</v>
      </c>
      <c r="CJ110" t="s">
        <v>1309</v>
      </c>
      <c r="CK110" t="s">
        <v>1309</v>
      </c>
      <c r="CL110" t="s">
        <v>1309</v>
      </c>
      <c r="CM110" t="s">
        <v>1309</v>
      </c>
      <c r="CN110" t="s">
        <v>1310</v>
      </c>
      <c r="CO110" t="s">
        <v>1310</v>
      </c>
      <c r="CP110" t="s">
        <v>1309</v>
      </c>
      <c r="CQ110" t="s">
        <v>1309</v>
      </c>
      <c r="CR110" t="s">
        <v>1309</v>
      </c>
      <c r="CT110" t="s">
        <v>4434</v>
      </c>
      <c r="CV110" t="s">
        <v>1308</v>
      </c>
      <c r="CW110" t="s">
        <v>1310</v>
      </c>
      <c r="CX110" t="s">
        <v>1309</v>
      </c>
      <c r="CY110" t="s">
        <v>1309</v>
      </c>
      <c r="CZ110" t="s">
        <v>1309</v>
      </c>
      <c r="DA110" t="s">
        <v>1309</v>
      </c>
      <c r="DB110" t="s">
        <v>1309</v>
      </c>
      <c r="DC110" t="s">
        <v>1309</v>
      </c>
      <c r="DE110" t="s">
        <v>1358</v>
      </c>
      <c r="DG110">
        <v>2600</v>
      </c>
      <c r="DI110">
        <v>900</v>
      </c>
      <c r="DJ110" t="s">
        <v>1358</v>
      </c>
      <c r="DK110">
        <v>3000</v>
      </c>
      <c r="DM110">
        <v>1000</v>
      </c>
      <c r="DN110" t="s">
        <v>1953</v>
      </c>
      <c r="DO110" t="s">
        <v>1310</v>
      </c>
      <c r="DP110" t="s">
        <v>1310</v>
      </c>
      <c r="DQ110" t="s">
        <v>1309</v>
      </c>
      <c r="DR110" t="s">
        <v>1309</v>
      </c>
      <c r="DS110" t="s">
        <v>1310</v>
      </c>
      <c r="DT110" t="s">
        <v>1310</v>
      </c>
      <c r="DU110" t="s">
        <v>1309</v>
      </c>
      <c r="DV110" t="s">
        <v>1309</v>
      </c>
      <c r="DW110" t="s">
        <v>1309</v>
      </c>
      <c r="DY110" t="s">
        <v>1481</v>
      </c>
      <c r="DZ110">
        <v>300</v>
      </c>
      <c r="EA110" t="s">
        <v>1386</v>
      </c>
      <c r="EC110" t="s">
        <v>1504</v>
      </c>
      <c r="EG110" t="s">
        <v>5356</v>
      </c>
      <c r="EI110" t="s">
        <v>1307</v>
      </c>
      <c r="ET110" t="s">
        <v>1307</v>
      </c>
      <c r="EV110" t="s">
        <v>1319</v>
      </c>
      <c r="EW110" t="s">
        <v>1414</v>
      </c>
      <c r="EX110" t="s">
        <v>1319</v>
      </c>
      <c r="EY110" t="s">
        <v>1319</v>
      </c>
      <c r="FA110" t="s">
        <v>1954</v>
      </c>
      <c r="FB110" t="s">
        <v>1310</v>
      </c>
      <c r="FC110" t="s">
        <v>1309</v>
      </c>
      <c r="FD110" t="s">
        <v>1310</v>
      </c>
      <c r="FE110" t="s">
        <v>1310</v>
      </c>
      <c r="FF110" t="s">
        <v>1309</v>
      </c>
      <c r="FG110" t="s">
        <v>1309</v>
      </c>
      <c r="FH110" t="s">
        <v>1309</v>
      </c>
      <c r="FI110" t="s">
        <v>1310</v>
      </c>
      <c r="FJ110" t="s">
        <v>1310</v>
      </c>
      <c r="FK110" t="s">
        <v>1309</v>
      </c>
      <c r="FL110" t="s">
        <v>1309</v>
      </c>
      <c r="FM110" t="s">
        <v>1309</v>
      </c>
      <c r="FN110" t="s">
        <v>1310</v>
      </c>
      <c r="FO110" t="s">
        <v>1309</v>
      </c>
      <c r="FP110" t="s">
        <v>1309</v>
      </c>
      <c r="FQ110" t="s">
        <v>1309</v>
      </c>
      <c r="FR110" t="s">
        <v>1309</v>
      </c>
      <c r="FT110" t="s">
        <v>1319</v>
      </c>
      <c r="FU110" t="s">
        <v>1389</v>
      </c>
      <c r="FV110" t="s">
        <v>1310</v>
      </c>
      <c r="FW110" t="s">
        <v>1310</v>
      </c>
      <c r="FX110" t="s">
        <v>1309</v>
      </c>
      <c r="FY110" t="s">
        <v>1309</v>
      </c>
      <c r="FZ110" t="s">
        <v>1309</v>
      </c>
      <c r="GA110" t="s">
        <v>1310</v>
      </c>
      <c r="GB110" t="s">
        <v>1309</v>
      </c>
      <c r="GC110" t="s">
        <v>1309</v>
      </c>
      <c r="GD110" t="s">
        <v>1309</v>
      </c>
      <c r="GE110" t="s">
        <v>1309</v>
      </c>
      <c r="GF110" t="s">
        <v>1309</v>
      </c>
      <c r="GG110" t="s">
        <v>1309</v>
      </c>
      <c r="GI110" t="s">
        <v>1436</v>
      </c>
      <c r="GJ110" t="s">
        <v>1436</v>
      </c>
      <c r="GK110" t="s">
        <v>1307</v>
      </c>
      <c r="GT110" t="s">
        <v>1325</v>
      </c>
      <c r="GU110" t="s">
        <v>1310</v>
      </c>
      <c r="GV110" t="s">
        <v>1309</v>
      </c>
      <c r="GW110" t="s">
        <v>1309</v>
      </c>
      <c r="GX110" t="s">
        <v>1309</v>
      </c>
      <c r="GY110" t="s">
        <v>1309</v>
      </c>
      <c r="GZ110" t="s">
        <v>1309</v>
      </c>
      <c r="HA110" t="s">
        <v>1309</v>
      </c>
      <c r="HB110" t="s">
        <v>1309</v>
      </c>
      <c r="HC110" t="s">
        <v>1309</v>
      </c>
      <c r="HD110" t="s">
        <v>1309</v>
      </c>
      <c r="HE110" t="s">
        <v>1309</v>
      </c>
      <c r="HF110" t="s">
        <v>1309</v>
      </c>
      <c r="HH110" t="s">
        <v>1390</v>
      </c>
      <c r="HI110" t="s">
        <v>1390</v>
      </c>
      <c r="HJ110" t="s">
        <v>1390</v>
      </c>
      <c r="HK110" t="s">
        <v>1327</v>
      </c>
      <c r="HL110" t="s">
        <v>1328</v>
      </c>
      <c r="HM110" t="s">
        <v>1390</v>
      </c>
      <c r="HN110" t="s">
        <v>1903</v>
      </c>
      <c r="HO110" t="s">
        <v>1310</v>
      </c>
      <c r="HP110" t="s">
        <v>1310</v>
      </c>
      <c r="HQ110" t="s">
        <v>1310</v>
      </c>
      <c r="HR110" t="s">
        <v>1309</v>
      </c>
      <c r="HS110" t="s">
        <v>1310</v>
      </c>
      <c r="HT110" t="s">
        <v>1309</v>
      </c>
      <c r="HU110" t="s">
        <v>1309</v>
      </c>
      <c r="HV110" t="s">
        <v>1309</v>
      </c>
      <c r="HW110" t="s">
        <v>1309</v>
      </c>
      <c r="HX110" t="s">
        <v>1309</v>
      </c>
      <c r="HY110" t="s">
        <v>1309</v>
      </c>
      <c r="IA110" t="s">
        <v>1319</v>
      </c>
      <c r="IB110" t="s">
        <v>1423</v>
      </c>
      <c r="IC110" t="s">
        <v>1309</v>
      </c>
      <c r="ID110" t="s">
        <v>1309</v>
      </c>
      <c r="IE110" t="s">
        <v>1309</v>
      </c>
      <c r="IF110" t="s">
        <v>1309</v>
      </c>
      <c r="IG110" t="s">
        <v>1310</v>
      </c>
      <c r="IH110" t="s">
        <v>1309</v>
      </c>
      <c r="II110" t="s">
        <v>1309</v>
      </c>
      <c r="IJ110" t="s">
        <v>1309</v>
      </c>
      <c r="IK110" t="s">
        <v>1309</v>
      </c>
      <c r="IL110" t="s">
        <v>1309</v>
      </c>
      <c r="IM110" t="s">
        <v>1309</v>
      </c>
      <c r="IN110" t="s">
        <v>1309</v>
      </c>
      <c r="IO110" t="s">
        <v>1309</v>
      </c>
      <c r="IQ110" t="s">
        <v>1330</v>
      </c>
      <c r="IS110" t="s">
        <v>1316</v>
      </c>
      <c r="JF110" t="s">
        <v>1316</v>
      </c>
      <c r="JG110" t="s">
        <v>1955</v>
      </c>
      <c r="JH110" t="s">
        <v>1309</v>
      </c>
      <c r="JI110" t="s">
        <v>1309</v>
      </c>
      <c r="JJ110" t="s">
        <v>1310</v>
      </c>
      <c r="JK110" t="s">
        <v>1310</v>
      </c>
      <c r="JL110" t="s">
        <v>1309</v>
      </c>
      <c r="JM110" t="s">
        <v>1310</v>
      </c>
      <c r="JN110" t="s">
        <v>1309</v>
      </c>
      <c r="JO110" t="s">
        <v>1309</v>
      </c>
      <c r="JP110" t="s">
        <v>1915</v>
      </c>
      <c r="JQ110" s="92" t="s">
        <v>1516</v>
      </c>
      <c r="JR110" s="92" t="s">
        <v>1660</v>
      </c>
      <c r="JS110" s="92">
        <v>67</v>
      </c>
      <c r="JT110" s="92" t="s">
        <v>1319</v>
      </c>
      <c r="JU110" s="92" t="s">
        <v>1396</v>
      </c>
      <c r="JV110" s="92" t="s">
        <v>1336</v>
      </c>
      <c r="JW110" s="92" t="s">
        <v>1296</v>
      </c>
      <c r="JX110" s="92" t="s">
        <v>71</v>
      </c>
      <c r="JY110" s="92" t="s">
        <v>1397</v>
      </c>
      <c r="JZ110" s="92" t="s">
        <v>1369</v>
      </c>
      <c r="KA110" s="92" t="s">
        <v>4845</v>
      </c>
      <c r="KB110" s="92" t="s">
        <v>1476</v>
      </c>
      <c r="KC110" s="92" t="s">
        <v>109</v>
      </c>
      <c r="KD110" s="92" t="s">
        <v>4844</v>
      </c>
      <c r="KE110" s="92" t="s">
        <v>1424</v>
      </c>
      <c r="KF110" s="92">
        <v>3500</v>
      </c>
      <c r="KG110" s="92" t="s">
        <v>1400</v>
      </c>
      <c r="KH110" s="92" t="s">
        <v>192</v>
      </c>
      <c r="KI110" s="92" t="s">
        <v>109</v>
      </c>
      <c r="KJ110" s="92" t="s">
        <v>192</v>
      </c>
      <c r="KK110" s="92" t="s">
        <v>109</v>
      </c>
      <c r="KL110" s="92" t="s">
        <v>1341</v>
      </c>
      <c r="KM110" s="92">
        <v>4000</v>
      </c>
      <c r="KN110" s="92" t="s">
        <v>1400</v>
      </c>
      <c r="KO110" s="92" t="s">
        <v>1341</v>
      </c>
      <c r="KP110" s="92" t="s">
        <v>1460</v>
      </c>
      <c r="KQ110" s="92" t="s">
        <v>192</v>
      </c>
      <c r="KR110" s="92">
        <v>9</v>
      </c>
      <c r="KS110" s="92" t="s">
        <v>1343</v>
      </c>
      <c r="KT110" s="92" t="s">
        <v>1402</v>
      </c>
      <c r="KU110" s="92"/>
      <c r="KV110" s="92" t="s">
        <v>5554</v>
      </c>
      <c r="KW110" s="92"/>
      <c r="KX110" s="92" t="s">
        <v>1376</v>
      </c>
      <c r="KY110" s="92" t="s">
        <v>1508</v>
      </c>
      <c r="KZ110" s="92" t="s">
        <v>1403</v>
      </c>
      <c r="LA110" s="92" t="s">
        <v>109</v>
      </c>
      <c r="LB110" s="92" t="s">
        <v>109</v>
      </c>
      <c r="LC110" s="92" t="s">
        <v>4439</v>
      </c>
      <c r="LD110" s="92" t="s">
        <v>4439</v>
      </c>
      <c r="LE110" s="92" t="s">
        <v>192</v>
      </c>
      <c r="LF110" s="92" t="s">
        <v>192</v>
      </c>
    </row>
    <row r="111" spans="1:318" x14ac:dyDescent="0.25">
      <c r="A111" t="s">
        <v>1956</v>
      </c>
      <c r="B111" t="s">
        <v>1957</v>
      </c>
      <c r="C111" t="s">
        <v>1304</v>
      </c>
      <c r="D111" t="s">
        <v>1305</v>
      </c>
      <c r="E111" t="s">
        <v>1306</v>
      </c>
      <c r="G111" t="s">
        <v>1307</v>
      </c>
      <c r="H111">
        <v>2</v>
      </c>
      <c r="I111" t="s">
        <v>1307</v>
      </c>
      <c r="J111" t="s">
        <v>1430</v>
      </c>
      <c r="K111" t="s">
        <v>1309</v>
      </c>
      <c r="L111" t="s">
        <v>1309</v>
      </c>
      <c r="M111" t="s">
        <v>1310</v>
      </c>
      <c r="N111" t="s">
        <v>1309</v>
      </c>
      <c r="O111" t="s">
        <v>1309</v>
      </c>
      <c r="P111" t="s">
        <v>1309</v>
      </c>
      <c r="Q111" t="s">
        <v>1309</v>
      </c>
      <c r="R111" t="s">
        <v>1309</v>
      </c>
      <c r="T111">
        <v>2</v>
      </c>
      <c r="U111" t="s">
        <v>1311</v>
      </c>
      <c r="V111" t="s">
        <v>1312</v>
      </c>
      <c r="W111" t="s">
        <v>1311</v>
      </c>
      <c r="X111" t="s">
        <v>1311</v>
      </c>
      <c r="Y111" t="s">
        <v>1312</v>
      </c>
      <c r="Z111" t="s">
        <v>1312</v>
      </c>
      <c r="AC111">
        <v>2</v>
      </c>
      <c r="AD111">
        <v>5500</v>
      </c>
      <c r="AE111">
        <v>3000</v>
      </c>
      <c r="AF111" t="s">
        <v>1351</v>
      </c>
      <c r="AH111" t="s">
        <v>1352</v>
      </c>
      <c r="AJ111" t="s">
        <v>1353</v>
      </c>
      <c r="AL111" t="s">
        <v>1316</v>
      </c>
      <c r="BA111" t="s">
        <v>1354</v>
      </c>
      <c r="BS111" t="s">
        <v>1307</v>
      </c>
      <c r="CE111" t="s">
        <v>1958</v>
      </c>
      <c r="CF111" t="s">
        <v>1310</v>
      </c>
      <c r="CG111" t="s">
        <v>1309</v>
      </c>
      <c r="CH111" t="s">
        <v>1309</v>
      </c>
      <c r="CI111" t="s">
        <v>1310</v>
      </c>
      <c r="CJ111" t="s">
        <v>1309</v>
      </c>
      <c r="CK111" t="s">
        <v>1309</v>
      </c>
      <c r="CL111" t="s">
        <v>1309</v>
      </c>
      <c r="CM111" t="s">
        <v>1309</v>
      </c>
      <c r="CN111" t="s">
        <v>1310</v>
      </c>
      <c r="CO111" t="s">
        <v>1310</v>
      </c>
      <c r="CP111" t="s">
        <v>1309</v>
      </c>
      <c r="CQ111" t="s">
        <v>1309</v>
      </c>
      <c r="CR111" t="s">
        <v>1309</v>
      </c>
      <c r="CT111" t="s">
        <v>4434</v>
      </c>
      <c r="CV111" t="s">
        <v>1308</v>
      </c>
      <c r="CW111" t="s">
        <v>1310</v>
      </c>
      <c r="CX111" t="s">
        <v>1309</v>
      </c>
      <c r="CY111" t="s">
        <v>1309</v>
      </c>
      <c r="CZ111" t="s">
        <v>1309</v>
      </c>
      <c r="DA111" t="s">
        <v>1309</v>
      </c>
      <c r="DB111" t="s">
        <v>1309</v>
      </c>
      <c r="DC111" t="s">
        <v>1309</v>
      </c>
      <c r="DE111" t="s">
        <v>1358</v>
      </c>
      <c r="DG111">
        <v>1500</v>
      </c>
      <c r="DI111">
        <v>300</v>
      </c>
      <c r="DJ111" t="s">
        <v>1358</v>
      </c>
      <c r="DK111">
        <v>2000</v>
      </c>
      <c r="DM111">
        <v>600</v>
      </c>
      <c r="DN111" t="s">
        <v>1320</v>
      </c>
      <c r="DO111" t="s">
        <v>1310</v>
      </c>
      <c r="DP111" t="s">
        <v>1309</v>
      </c>
      <c r="DQ111" t="s">
        <v>1309</v>
      </c>
      <c r="DR111" t="s">
        <v>1309</v>
      </c>
      <c r="DS111" t="s">
        <v>1309</v>
      </c>
      <c r="DT111" t="s">
        <v>1310</v>
      </c>
      <c r="DU111" t="s">
        <v>1309</v>
      </c>
      <c r="DV111" t="s">
        <v>1309</v>
      </c>
      <c r="DW111" t="s">
        <v>1309</v>
      </c>
      <c r="DY111" t="s">
        <v>1408</v>
      </c>
      <c r="DZ111">
        <v>300</v>
      </c>
      <c r="EA111" t="s">
        <v>1386</v>
      </c>
      <c r="EC111" t="s">
        <v>1420</v>
      </c>
      <c r="ED111">
        <v>1000</v>
      </c>
      <c r="EE111" t="s">
        <v>1319</v>
      </c>
      <c r="EG111" t="s">
        <v>5356</v>
      </c>
      <c r="EI111" t="s">
        <v>1307</v>
      </c>
      <c r="ET111" t="s">
        <v>1307</v>
      </c>
      <c r="EV111" t="s">
        <v>1319</v>
      </c>
      <c r="EW111" t="s">
        <v>1409</v>
      </c>
      <c r="EX111" t="s">
        <v>1319</v>
      </c>
      <c r="EY111" t="s">
        <v>1319</v>
      </c>
      <c r="FA111" t="s">
        <v>1731</v>
      </c>
      <c r="FB111" t="s">
        <v>1310</v>
      </c>
      <c r="FC111" t="s">
        <v>1310</v>
      </c>
      <c r="FD111" t="s">
        <v>1309</v>
      </c>
      <c r="FE111" t="s">
        <v>1309</v>
      </c>
      <c r="FF111" t="s">
        <v>1309</v>
      </c>
      <c r="FG111" t="s">
        <v>1309</v>
      </c>
      <c r="FH111" t="s">
        <v>1309</v>
      </c>
      <c r="FI111" t="s">
        <v>1309</v>
      </c>
      <c r="FJ111" t="s">
        <v>1309</v>
      </c>
      <c r="FK111" t="s">
        <v>1309</v>
      </c>
      <c r="FL111" t="s">
        <v>1309</v>
      </c>
      <c r="FM111" t="s">
        <v>1309</v>
      </c>
      <c r="FN111" t="s">
        <v>1309</v>
      </c>
      <c r="FO111" t="s">
        <v>1309</v>
      </c>
      <c r="FP111" t="s">
        <v>1309</v>
      </c>
      <c r="FQ111" t="s">
        <v>1309</v>
      </c>
      <c r="FR111" t="s">
        <v>1309</v>
      </c>
      <c r="FT111" t="s">
        <v>1319</v>
      </c>
      <c r="FU111" t="s">
        <v>1626</v>
      </c>
      <c r="FV111" t="s">
        <v>1309</v>
      </c>
      <c r="FW111" t="s">
        <v>1310</v>
      </c>
      <c r="FX111" t="s">
        <v>1309</v>
      </c>
      <c r="FY111" t="s">
        <v>1309</v>
      </c>
      <c r="FZ111" t="s">
        <v>1309</v>
      </c>
      <c r="GA111" t="s">
        <v>1309</v>
      </c>
      <c r="GB111" t="s">
        <v>1309</v>
      </c>
      <c r="GC111" t="s">
        <v>1309</v>
      </c>
      <c r="GD111" t="s">
        <v>1309</v>
      </c>
      <c r="GE111" t="s">
        <v>1309</v>
      </c>
      <c r="GF111" t="s">
        <v>1309</v>
      </c>
      <c r="GG111" t="s">
        <v>1309</v>
      </c>
      <c r="GI111" t="s">
        <v>1324</v>
      </c>
      <c r="GJ111" t="s">
        <v>1436</v>
      </c>
      <c r="GK111" t="s">
        <v>1307</v>
      </c>
      <c r="GT111" t="s">
        <v>1325</v>
      </c>
      <c r="GU111" t="s">
        <v>1310</v>
      </c>
      <c r="GV111" t="s">
        <v>1309</v>
      </c>
      <c r="GW111" t="s">
        <v>1309</v>
      </c>
      <c r="GX111" t="s">
        <v>1309</v>
      </c>
      <c r="GY111" t="s">
        <v>1309</v>
      </c>
      <c r="GZ111" t="s">
        <v>1309</v>
      </c>
      <c r="HA111" t="s">
        <v>1309</v>
      </c>
      <c r="HB111" t="s">
        <v>1309</v>
      </c>
      <c r="HC111" t="s">
        <v>1309</v>
      </c>
      <c r="HD111" t="s">
        <v>1309</v>
      </c>
      <c r="HE111" t="s">
        <v>1309</v>
      </c>
      <c r="HF111" t="s">
        <v>1309</v>
      </c>
      <c r="HH111" t="s">
        <v>1390</v>
      </c>
      <c r="HI111" t="s">
        <v>1390</v>
      </c>
      <c r="HJ111" t="s">
        <v>1390</v>
      </c>
      <c r="HK111" t="s">
        <v>1327</v>
      </c>
      <c r="HL111" t="s">
        <v>1328</v>
      </c>
      <c r="HM111" t="s">
        <v>1390</v>
      </c>
      <c r="HN111" t="s">
        <v>1438</v>
      </c>
      <c r="HO111" t="s">
        <v>1310</v>
      </c>
      <c r="HP111" t="s">
        <v>1309</v>
      </c>
      <c r="HQ111" t="s">
        <v>1309</v>
      </c>
      <c r="HR111" t="s">
        <v>1310</v>
      </c>
      <c r="HS111" t="s">
        <v>1309</v>
      </c>
      <c r="HT111" t="s">
        <v>1309</v>
      </c>
      <c r="HU111" t="s">
        <v>1309</v>
      </c>
      <c r="HV111" t="s">
        <v>1309</v>
      </c>
      <c r="HW111" t="s">
        <v>1309</v>
      </c>
      <c r="HX111" t="s">
        <v>1309</v>
      </c>
      <c r="HY111" t="s">
        <v>1309</v>
      </c>
      <c r="IA111" t="s">
        <v>1307</v>
      </c>
      <c r="IQ111" t="s">
        <v>1330</v>
      </c>
      <c r="IS111" t="s">
        <v>1316</v>
      </c>
      <c r="JF111" t="s">
        <v>1316</v>
      </c>
      <c r="JG111" t="s">
        <v>1393</v>
      </c>
      <c r="JH111" t="s">
        <v>1310</v>
      </c>
      <c r="JI111" t="s">
        <v>1309</v>
      </c>
      <c r="JJ111" t="s">
        <v>1309</v>
      </c>
      <c r="JK111" t="s">
        <v>1309</v>
      </c>
      <c r="JL111" t="s">
        <v>1309</v>
      </c>
      <c r="JM111" t="s">
        <v>1309</v>
      </c>
      <c r="JN111" t="s">
        <v>1309</v>
      </c>
      <c r="JO111" t="s">
        <v>1309</v>
      </c>
      <c r="JQ111" s="92" t="s">
        <v>1711</v>
      </c>
      <c r="JR111" s="92" t="s">
        <v>1712</v>
      </c>
      <c r="JS111" s="92">
        <v>68</v>
      </c>
      <c r="JT111" s="92" t="s">
        <v>1319</v>
      </c>
      <c r="JU111" s="92" t="s">
        <v>1335</v>
      </c>
      <c r="JV111" s="92" t="s">
        <v>1368</v>
      </c>
      <c r="JW111" s="92" t="s">
        <v>1296</v>
      </c>
      <c r="JX111" s="92" t="s">
        <v>71</v>
      </c>
      <c r="JY111" s="92" t="s">
        <v>5549</v>
      </c>
      <c r="JZ111" s="92" t="s">
        <v>1369</v>
      </c>
      <c r="KA111" s="92" t="s">
        <v>4845</v>
      </c>
      <c r="KB111" s="92" t="s">
        <v>1476</v>
      </c>
      <c r="KC111" s="92" t="s">
        <v>109</v>
      </c>
      <c r="KD111" s="92" t="s">
        <v>4847</v>
      </c>
      <c r="KE111" s="92" t="s">
        <v>1424</v>
      </c>
      <c r="KF111" s="92">
        <v>1800</v>
      </c>
      <c r="KG111" s="92" t="s">
        <v>4439</v>
      </c>
      <c r="KH111" s="92" t="s">
        <v>192</v>
      </c>
      <c r="KI111" s="92" t="s">
        <v>109</v>
      </c>
      <c r="KJ111" s="92" t="s">
        <v>192</v>
      </c>
      <c r="KK111" s="92" t="s">
        <v>109</v>
      </c>
      <c r="KL111" s="92" t="s">
        <v>1440</v>
      </c>
      <c r="KM111" s="92">
        <v>2600</v>
      </c>
      <c r="KN111" s="92" t="s">
        <v>4439</v>
      </c>
      <c r="KO111" s="92" t="s">
        <v>1425</v>
      </c>
      <c r="KP111" s="92" t="s">
        <v>1460</v>
      </c>
      <c r="KQ111" s="92" t="s">
        <v>192</v>
      </c>
      <c r="KR111" s="92">
        <v>17</v>
      </c>
      <c r="KS111" s="92" t="s">
        <v>1343</v>
      </c>
      <c r="KT111" s="92" t="s">
        <v>1402</v>
      </c>
      <c r="KU111" s="92">
        <v>38</v>
      </c>
      <c r="KV111" s="92" t="s">
        <v>1461</v>
      </c>
      <c r="KW111" s="92" t="s">
        <v>1344</v>
      </c>
      <c r="KX111" s="92" t="s">
        <v>1346</v>
      </c>
      <c r="KY111" s="92" t="s">
        <v>1377</v>
      </c>
      <c r="KZ111" s="92" t="s">
        <v>5795</v>
      </c>
      <c r="LA111" s="92" t="s">
        <v>109</v>
      </c>
      <c r="LB111" s="92" t="s">
        <v>109</v>
      </c>
      <c r="LC111" s="92" t="s">
        <v>4439</v>
      </c>
      <c r="LD111" s="92" t="s">
        <v>4439</v>
      </c>
      <c r="LE111" s="92" t="s">
        <v>109</v>
      </c>
      <c r="LF111" s="92" t="s">
        <v>192</v>
      </c>
    </row>
    <row r="112" spans="1:318" x14ac:dyDescent="0.25">
      <c r="A112" t="s">
        <v>1959</v>
      </c>
      <c r="B112" t="s">
        <v>1960</v>
      </c>
      <c r="C112" t="s">
        <v>1304</v>
      </c>
      <c r="D112" t="s">
        <v>1305</v>
      </c>
      <c r="E112" t="s">
        <v>1306</v>
      </c>
      <c r="G112" t="s">
        <v>1307</v>
      </c>
      <c r="H112">
        <v>4</v>
      </c>
      <c r="I112" t="s">
        <v>1307</v>
      </c>
      <c r="J112" t="s">
        <v>1406</v>
      </c>
      <c r="K112" t="s">
        <v>1309</v>
      </c>
      <c r="L112" t="s">
        <v>1310</v>
      </c>
      <c r="M112" t="s">
        <v>1309</v>
      </c>
      <c r="N112" t="s">
        <v>1309</v>
      </c>
      <c r="O112" t="s">
        <v>1309</v>
      </c>
      <c r="P112" t="s">
        <v>1309</v>
      </c>
      <c r="Q112" t="s">
        <v>1309</v>
      </c>
      <c r="R112" t="s">
        <v>1309</v>
      </c>
      <c r="S112">
        <v>1</v>
      </c>
      <c r="U112" t="s">
        <v>1312</v>
      </c>
      <c r="V112" t="s">
        <v>1312</v>
      </c>
      <c r="W112" t="s">
        <v>1312</v>
      </c>
      <c r="X112" t="s">
        <v>1312</v>
      </c>
      <c r="Y112" t="s">
        <v>1312</v>
      </c>
      <c r="Z112" t="s">
        <v>1312</v>
      </c>
      <c r="AC112">
        <v>2</v>
      </c>
      <c r="AD112">
        <v>21000</v>
      </c>
      <c r="AE112">
        <v>12000</v>
      </c>
      <c r="AF112" t="s">
        <v>1351</v>
      </c>
      <c r="AH112" t="s">
        <v>1383</v>
      </c>
      <c r="AJ112" t="s">
        <v>1315</v>
      </c>
      <c r="AL112" t="s">
        <v>1331</v>
      </c>
      <c r="BS112" t="s">
        <v>1307</v>
      </c>
      <c r="CE112" t="s">
        <v>1961</v>
      </c>
      <c r="CF112" t="s">
        <v>1309</v>
      </c>
      <c r="CG112" t="s">
        <v>1309</v>
      </c>
      <c r="CH112" t="s">
        <v>1309</v>
      </c>
      <c r="CI112" t="s">
        <v>1309</v>
      </c>
      <c r="CJ112" t="s">
        <v>1310</v>
      </c>
      <c r="CK112" t="s">
        <v>1309</v>
      </c>
      <c r="CL112" t="s">
        <v>1309</v>
      </c>
      <c r="CM112" t="s">
        <v>1309</v>
      </c>
      <c r="CN112" t="s">
        <v>1310</v>
      </c>
      <c r="CO112" t="s">
        <v>1310</v>
      </c>
      <c r="CP112" t="s">
        <v>1309</v>
      </c>
      <c r="CQ112" t="s">
        <v>1309</v>
      </c>
      <c r="CR112" t="s">
        <v>1309</v>
      </c>
      <c r="CT112" t="s">
        <v>4434</v>
      </c>
      <c r="CV112" t="s">
        <v>1357</v>
      </c>
      <c r="CW112" t="s">
        <v>1309</v>
      </c>
      <c r="CX112" t="s">
        <v>1309</v>
      </c>
      <c r="CY112" t="s">
        <v>1309</v>
      </c>
      <c r="CZ112" t="s">
        <v>1309</v>
      </c>
      <c r="DA112" t="s">
        <v>1310</v>
      </c>
      <c r="DB112" t="s">
        <v>1309</v>
      </c>
      <c r="DC112" t="s">
        <v>1309</v>
      </c>
      <c r="DE112" t="s">
        <v>1358</v>
      </c>
      <c r="DG112">
        <v>2400</v>
      </c>
      <c r="DI112">
        <v>700</v>
      </c>
      <c r="DJ112" t="s">
        <v>1358</v>
      </c>
      <c r="DK112">
        <v>3000</v>
      </c>
      <c r="DM112">
        <v>800</v>
      </c>
      <c r="DN112" t="s">
        <v>1320</v>
      </c>
      <c r="DO112" t="s">
        <v>1310</v>
      </c>
      <c r="DP112" t="s">
        <v>1309</v>
      </c>
      <c r="DQ112" t="s">
        <v>1309</v>
      </c>
      <c r="DR112" t="s">
        <v>1309</v>
      </c>
      <c r="DS112" t="s">
        <v>1309</v>
      </c>
      <c r="DT112" t="s">
        <v>1310</v>
      </c>
      <c r="DU112" t="s">
        <v>1309</v>
      </c>
      <c r="DV112" t="s">
        <v>1309</v>
      </c>
      <c r="DW112" t="s">
        <v>1309</v>
      </c>
      <c r="DY112" t="s">
        <v>1321</v>
      </c>
      <c r="DZ112">
        <v>350</v>
      </c>
      <c r="EA112" t="s">
        <v>1319</v>
      </c>
      <c r="EC112" t="s">
        <v>1738</v>
      </c>
      <c r="ED112">
        <v>800</v>
      </c>
      <c r="EE112" t="s">
        <v>1319</v>
      </c>
      <c r="EG112" t="s">
        <v>5356</v>
      </c>
      <c r="EI112" t="s">
        <v>1307</v>
      </c>
      <c r="ET112" t="s">
        <v>1434</v>
      </c>
      <c r="EV112" t="s">
        <v>1319</v>
      </c>
      <c r="EW112" t="s">
        <v>1409</v>
      </c>
      <c r="EX112" t="s">
        <v>1319</v>
      </c>
      <c r="EY112" t="s">
        <v>1319</v>
      </c>
      <c r="FA112" t="s">
        <v>1962</v>
      </c>
      <c r="FB112" t="s">
        <v>1310</v>
      </c>
      <c r="FC112" t="s">
        <v>1310</v>
      </c>
      <c r="FD112" t="s">
        <v>1309</v>
      </c>
      <c r="FE112" t="s">
        <v>1309</v>
      </c>
      <c r="FF112" t="s">
        <v>1309</v>
      </c>
      <c r="FG112" t="s">
        <v>1309</v>
      </c>
      <c r="FH112" t="s">
        <v>1310</v>
      </c>
      <c r="FI112" t="s">
        <v>1310</v>
      </c>
      <c r="FJ112" t="s">
        <v>1309</v>
      </c>
      <c r="FK112" t="s">
        <v>1309</v>
      </c>
      <c r="FL112" t="s">
        <v>1310</v>
      </c>
      <c r="FM112" t="s">
        <v>1310</v>
      </c>
      <c r="FN112" t="s">
        <v>1309</v>
      </c>
      <c r="FO112" t="s">
        <v>1309</v>
      </c>
      <c r="FP112" t="s">
        <v>1309</v>
      </c>
      <c r="FQ112" t="s">
        <v>1309</v>
      </c>
      <c r="FR112" t="s">
        <v>1309</v>
      </c>
      <c r="FT112" t="s">
        <v>1307</v>
      </c>
      <c r="GI112" t="s">
        <v>1324</v>
      </c>
      <c r="GJ112" t="s">
        <v>1324</v>
      </c>
      <c r="GT112" t="s">
        <v>1325</v>
      </c>
      <c r="GU112" t="s">
        <v>1310</v>
      </c>
      <c r="GV112" t="s">
        <v>1309</v>
      </c>
      <c r="GW112" t="s">
        <v>1309</v>
      </c>
      <c r="GX112" t="s">
        <v>1309</v>
      </c>
      <c r="GY112" t="s">
        <v>1309</v>
      </c>
      <c r="GZ112" t="s">
        <v>1309</v>
      </c>
      <c r="HA112" t="s">
        <v>1309</v>
      </c>
      <c r="HB112" t="s">
        <v>1309</v>
      </c>
      <c r="HC112" t="s">
        <v>1309</v>
      </c>
      <c r="HD112" t="s">
        <v>1309</v>
      </c>
      <c r="HE112" t="s">
        <v>1309</v>
      </c>
      <c r="HF112" t="s">
        <v>1309</v>
      </c>
      <c r="HH112" t="s">
        <v>1326</v>
      </c>
      <c r="HI112" t="s">
        <v>1327</v>
      </c>
      <c r="HJ112" t="s">
        <v>1326</v>
      </c>
      <c r="HK112" t="s">
        <v>1327</v>
      </c>
      <c r="HL112" t="s">
        <v>1364</v>
      </c>
      <c r="HM112" t="s">
        <v>1326</v>
      </c>
      <c r="IA112" t="s">
        <v>1319</v>
      </c>
      <c r="IB112" t="s">
        <v>1963</v>
      </c>
      <c r="IC112" t="s">
        <v>1310</v>
      </c>
      <c r="ID112" t="s">
        <v>1309</v>
      </c>
      <c r="IE112" t="s">
        <v>1309</v>
      </c>
      <c r="IF112" t="s">
        <v>1309</v>
      </c>
      <c r="IG112" t="s">
        <v>1310</v>
      </c>
      <c r="IH112" t="s">
        <v>1309</v>
      </c>
      <c r="II112" t="s">
        <v>1309</v>
      </c>
      <c r="IJ112" t="s">
        <v>1309</v>
      </c>
      <c r="IK112" t="s">
        <v>1309</v>
      </c>
      <c r="IL112" t="s">
        <v>1309</v>
      </c>
      <c r="IM112" t="s">
        <v>1309</v>
      </c>
      <c r="IN112" t="s">
        <v>1309</v>
      </c>
      <c r="IO112" t="s">
        <v>1309</v>
      </c>
      <c r="IQ112" t="s">
        <v>1308</v>
      </c>
      <c r="IS112" t="s">
        <v>1316</v>
      </c>
      <c r="JF112" t="s">
        <v>1316</v>
      </c>
      <c r="JG112" t="s">
        <v>1523</v>
      </c>
      <c r="JH112" t="s">
        <v>1309</v>
      </c>
      <c r="JI112" t="s">
        <v>1309</v>
      </c>
      <c r="JJ112" t="s">
        <v>1309</v>
      </c>
      <c r="JK112" t="s">
        <v>1310</v>
      </c>
      <c r="JL112" t="s">
        <v>1309</v>
      </c>
      <c r="JM112" t="s">
        <v>1309</v>
      </c>
      <c r="JN112" t="s">
        <v>1309</v>
      </c>
      <c r="JO112" t="s">
        <v>1309</v>
      </c>
      <c r="JQ112" s="92" t="s">
        <v>1711</v>
      </c>
      <c r="JR112" s="92" t="s">
        <v>1712</v>
      </c>
      <c r="JS112" s="92">
        <v>44</v>
      </c>
      <c r="JT112" s="92" t="s">
        <v>1319</v>
      </c>
      <c r="JU112" s="92" t="s">
        <v>1335</v>
      </c>
      <c r="JV112" s="92" t="s">
        <v>1368</v>
      </c>
      <c r="JW112" s="92" t="s">
        <v>1296</v>
      </c>
      <c r="JX112" s="92" t="s">
        <v>71</v>
      </c>
      <c r="JY112" s="92" t="s">
        <v>5549</v>
      </c>
      <c r="JZ112" s="92" t="s">
        <v>1337</v>
      </c>
      <c r="KA112" s="92" t="s">
        <v>4845</v>
      </c>
      <c r="KB112" s="92" t="s">
        <v>1415</v>
      </c>
      <c r="KC112" s="92" t="s">
        <v>109</v>
      </c>
      <c r="KD112" s="92" t="s">
        <v>4847</v>
      </c>
      <c r="KE112" s="92" t="s">
        <v>1416</v>
      </c>
      <c r="KF112" s="92">
        <v>3100</v>
      </c>
      <c r="KG112" s="92" t="s">
        <v>4438</v>
      </c>
      <c r="KH112" s="92" t="s">
        <v>192</v>
      </c>
      <c r="KI112" s="92" t="s">
        <v>109</v>
      </c>
      <c r="KJ112" s="92" t="s">
        <v>192</v>
      </c>
      <c r="KK112" s="92" t="s">
        <v>109</v>
      </c>
      <c r="KL112" s="92" t="s">
        <v>1341</v>
      </c>
      <c r="KM112" s="92">
        <v>3800</v>
      </c>
      <c r="KN112" s="92" t="s">
        <v>4438</v>
      </c>
      <c r="KO112" s="92" t="s">
        <v>1341</v>
      </c>
      <c r="KP112" s="92" t="s">
        <v>1375</v>
      </c>
      <c r="KQ112" s="92" t="s">
        <v>192</v>
      </c>
      <c r="KR112" s="92">
        <v>11</v>
      </c>
      <c r="KS112" s="92" t="s">
        <v>1343</v>
      </c>
      <c r="KT112" s="92" t="s">
        <v>1344</v>
      </c>
      <c r="KU112" s="92">
        <v>21</v>
      </c>
      <c r="KV112" s="92" t="s">
        <v>1441</v>
      </c>
      <c r="KW112" s="92" t="s">
        <v>1344</v>
      </c>
      <c r="KX112" s="92" t="s">
        <v>1346</v>
      </c>
      <c r="KY112" s="92" t="s">
        <v>1347</v>
      </c>
      <c r="KZ112" s="92" t="s">
        <v>5795</v>
      </c>
      <c r="LA112" s="92" t="s">
        <v>109</v>
      </c>
      <c r="LB112" s="92" t="s">
        <v>109</v>
      </c>
      <c r="LC112" s="92" t="s">
        <v>4438</v>
      </c>
      <c r="LD112" s="92" t="s">
        <v>4438</v>
      </c>
      <c r="LE112" s="92" t="s">
        <v>109</v>
      </c>
      <c r="LF112" s="92" t="s">
        <v>109</v>
      </c>
    </row>
    <row r="113" spans="1:318" x14ac:dyDescent="0.25">
      <c r="A113" t="s">
        <v>1964</v>
      </c>
      <c r="B113" t="s">
        <v>1965</v>
      </c>
      <c r="C113" t="s">
        <v>1304</v>
      </c>
      <c r="D113" t="s">
        <v>1305</v>
      </c>
      <c r="E113" t="s">
        <v>1306</v>
      </c>
      <c r="G113" t="s">
        <v>1307</v>
      </c>
      <c r="H113">
        <v>2</v>
      </c>
      <c r="I113" t="s">
        <v>1307</v>
      </c>
      <c r="J113" t="s">
        <v>1891</v>
      </c>
      <c r="K113" t="s">
        <v>1309</v>
      </c>
      <c r="L113" t="s">
        <v>1309</v>
      </c>
      <c r="M113" t="s">
        <v>1310</v>
      </c>
      <c r="N113" t="s">
        <v>1309</v>
      </c>
      <c r="O113" t="s">
        <v>1310</v>
      </c>
      <c r="P113" t="s">
        <v>1309</v>
      </c>
      <c r="Q113" t="s">
        <v>1309</v>
      </c>
      <c r="R113" t="s">
        <v>1309</v>
      </c>
      <c r="T113">
        <v>2</v>
      </c>
      <c r="U113" t="s">
        <v>1311</v>
      </c>
      <c r="V113" t="s">
        <v>1312</v>
      </c>
      <c r="W113" t="s">
        <v>1311</v>
      </c>
      <c r="X113" t="s">
        <v>1312</v>
      </c>
      <c r="Y113" t="s">
        <v>1312</v>
      </c>
      <c r="Z113" t="s">
        <v>1312</v>
      </c>
      <c r="AC113">
        <v>2</v>
      </c>
      <c r="AD113">
        <v>7000</v>
      </c>
      <c r="AE113">
        <v>6000</v>
      </c>
      <c r="AF113" t="s">
        <v>1351</v>
      </c>
      <c r="AH113" t="s">
        <v>1352</v>
      </c>
      <c r="AJ113" t="s">
        <v>1315</v>
      </c>
      <c r="AL113" t="s">
        <v>1316</v>
      </c>
      <c r="BS113" t="s">
        <v>1307</v>
      </c>
      <c r="CE113" t="s">
        <v>1355</v>
      </c>
      <c r="CF113" t="s">
        <v>1309</v>
      </c>
      <c r="CG113" t="s">
        <v>1309</v>
      </c>
      <c r="CH113" t="s">
        <v>1309</v>
      </c>
      <c r="CI113" t="s">
        <v>1309</v>
      </c>
      <c r="CJ113" t="s">
        <v>1309</v>
      </c>
      <c r="CK113" t="s">
        <v>1309</v>
      </c>
      <c r="CL113" t="s">
        <v>1309</v>
      </c>
      <c r="CM113" t="s">
        <v>1309</v>
      </c>
      <c r="CN113" t="s">
        <v>1310</v>
      </c>
      <c r="CO113" t="s">
        <v>1309</v>
      </c>
      <c r="CP113" t="s">
        <v>1309</v>
      </c>
      <c r="CQ113" t="s">
        <v>1309</v>
      </c>
      <c r="CR113" t="s">
        <v>1309</v>
      </c>
      <c r="CT113" t="s">
        <v>4434</v>
      </c>
      <c r="CV113" t="s">
        <v>1308</v>
      </c>
      <c r="CW113" t="s">
        <v>1310</v>
      </c>
      <c r="CX113" t="s">
        <v>1309</v>
      </c>
      <c r="CY113" t="s">
        <v>1309</v>
      </c>
      <c r="CZ113" t="s">
        <v>1309</v>
      </c>
      <c r="DA113" t="s">
        <v>1309</v>
      </c>
      <c r="DB113" t="s">
        <v>1309</v>
      </c>
      <c r="DC113" t="s">
        <v>1309</v>
      </c>
      <c r="DE113" t="s">
        <v>1358</v>
      </c>
      <c r="DG113">
        <v>1400</v>
      </c>
      <c r="DI113">
        <v>400</v>
      </c>
      <c r="DJ113" t="s">
        <v>1358</v>
      </c>
      <c r="DK113">
        <v>1900</v>
      </c>
      <c r="DM113">
        <v>600</v>
      </c>
      <c r="DN113" t="s">
        <v>1432</v>
      </c>
      <c r="DO113" t="s">
        <v>1310</v>
      </c>
      <c r="DP113" t="s">
        <v>1309</v>
      </c>
      <c r="DQ113" t="s">
        <v>1309</v>
      </c>
      <c r="DR113" t="s">
        <v>1310</v>
      </c>
      <c r="DS113" t="s">
        <v>1309</v>
      </c>
      <c r="DT113" t="s">
        <v>1310</v>
      </c>
      <c r="DU113" t="s">
        <v>1309</v>
      </c>
      <c r="DV113" t="s">
        <v>1309</v>
      </c>
      <c r="DW113" t="s">
        <v>1309</v>
      </c>
      <c r="DY113" t="s">
        <v>1481</v>
      </c>
      <c r="DZ113">
        <v>400</v>
      </c>
      <c r="EA113" t="s">
        <v>1386</v>
      </c>
      <c r="EC113" t="s">
        <v>1624</v>
      </c>
      <c r="ED113">
        <v>900</v>
      </c>
      <c r="EE113" t="s">
        <v>1386</v>
      </c>
      <c r="EG113" t="s">
        <v>5356</v>
      </c>
      <c r="EI113" t="s">
        <v>1307</v>
      </c>
      <c r="ET113" t="s">
        <v>1434</v>
      </c>
      <c r="EV113" t="s">
        <v>1319</v>
      </c>
      <c r="EW113" t="s">
        <v>1409</v>
      </c>
      <c r="EX113" t="s">
        <v>1319</v>
      </c>
      <c r="EY113" t="s">
        <v>1319</v>
      </c>
      <c r="FA113" t="s">
        <v>1966</v>
      </c>
      <c r="FB113" t="s">
        <v>1310</v>
      </c>
      <c r="FC113" t="s">
        <v>1309</v>
      </c>
      <c r="FD113" t="s">
        <v>1310</v>
      </c>
      <c r="FE113" t="s">
        <v>1310</v>
      </c>
      <c r="FF113" t="s">
        <v>1309</v>
      </c>
      <c r="FG113" t="s">
        <v>1309</v>
      </c>
      <c r="FH113" t="s">
        <v>1310</v>
      </c>
      <c r="FI113" t="s">
        <v>1310</v>
      </c>
      <c r="FJ113" t="s">
        <v>1309</v>
      </c>
      <c r="FK113" t="s">
        <v>1309</v>
      </c>
      <c r="FL113" t="s">
        <v>1309</v>
      </c>
      <c r="FM113" t="s">
        <v>1310</v>
      </c>
      <c r="FN113" t="s">
        <v>1309</v>
      </c>
      <c r="FO113" t="s">
        <v>1309</v>
      </c>
      <c r="FP113" t="s">
        <v>1309</v>
      </c>
      <c r="FQ113" t="s">
        <v>1309</v>
      </c>
      <c r="FR113" t="s">
        <v>1309</v>
      </c>
      <c r="FT113" t="s">
        <v>1307</v>
      </c>
      <c r="GI113" t="s">
        <v>1324</v>
      </c>
      <c r="GJ113" t="s">
        <v>1324</v>
      </c>
      <c r="GT113" t="s">
        <v>1325</v>
      </c>
      <c r="GU113" t="s">
        <v>1310</v>
      </c>
      <c r="GV113" t="s">
        <v>1309</v>
      </c>
      <c r="GW113" t="s">
        <v>1309</v>
      </c>
      <c r="GX113" t="s">
        <v>1309</v>
      </c>
      <c r="GY113" t="s">
        <v>1309</v>
      </c>
      <c r="GZ113" t="s">
        <v>1309</v>
      </c>
      <c r="HA113" t="s">
        <v>1309</v>
      </c>
      <c r="HB113" t="s">
        <v>1309</v>
      </c>
      <c r="HC113" t="s">
        <v>1309</v>
      </c>
      <c r="HD113" t="s">
        <v>1309</v>
      </c>
      <c r="HE113" t="s">
        <v>1309</v>
      </c>
      <c r="HF113" t="s">
        <v>1309</v>
      </c>
      <c r="HH113" t="s">
        <v>1390</v>
      </c>
      <c r="HI113" t="s">
        <v>1327</v>
      </c>
      <c r="HJ113" t="s">
        <v>1390</v>
      </c>
      <c r="HK113" t="s">
        <v>1327</v>
      </c>
      <c r="HL113" t="s">
        <v>1437</v>
      </c>
      <c r="HM113" t="s">
        <v>1390</v>
      </c>
      <c r="HN113" t="s">
        <v>1967</v>
      </c>
      <c r="HO113" t="s">
        <v>1310</v>
      </c>
      <c r="HP113" t="s">
        <v>1310</v>
      </c>
      <c r="HQ113" t="s">
        <v>1309</v>
      </c>
      <c r="HR113" t="s">
        <v>1310</v>
      </c>
      <c r="HS113" t="s">
        <v>1310</v>
      </c>
      <c r="HT113" t="s">
        <v>1309</v>
      </c>
      <c r="HU113" t="s">
        <v>1309</v>
      </c>
      <c r="HV113" t="s">
        <v>1309</v>
      </c>
      <c r="HW113" t="s">
        <v>1309</v>
      </c>
      <c r="HX113" t="s">
        <v>1309</v>
      </c>
      <c r="HY113" t="s">
        <v>1309</v>
      </c>
      <c r="IA113" t="s">
        <v>1307</v>
      </c>
      <c r="IQ113" t="s">
        <v>1365</v>
      </c>
      <c r="IS113" t="s">
        <v>1331</v>
      </c>
      <c r="JF113" t="s">
        <v>1413</v>
      </c>
      <c r="JG113" t="s">
        <v>1414</v>
      </c>
      <c r="JH113" t="s">
        <v>1309</v>
      </c>
      <c r="JI113" t="s">
        <v>1309</v>
      </c>
      <c r="JJ113" t="s">
        <v>1309</v>
      </c>
      <c r="JK113" t="s">
        <v>1309</v>
      </c>
      <c r="JL113" t="s">
        <v>1309</v>
      </c>
      <c r="JM113" t="s">
        <v>1309</v>
      </c>
      <c r="JN113" t="s">
        <v>1310</v>
      </c>
      <c r="JO113" t="s">
        <v>1309</v>
      </c>
      <c r="JQ113" s="92" t="s">
        <v>1711</v>
      </c>
      <c r="JR113" s="92" t="s">
        <v>1712</v>
      </c>
      <c r="JS113" s="92">
        <v>63</v>
      </c>
      <c r="JT113" s="92" t="s">
        <v>1319</v>
      </c>
      <c r="JU113" s="92" t="s">
        <v>1335</v>
      </c>
      <c r="JV113" s="92" t="s">
        <v>1368</v>
      </c>
      <c r="JW113" s="92" t="s">
        <v>1296</v>
      </c>
      <c r="JX113" s="92" t="s">
        <v>71</v>
      </c>
      <c r="JY113" s="92" t="s">
        <v>5549</v>
      </c>
      <c r="JZ113" s="92" t="s">
        <v>1369</v>
      </c>
      <c r="KA113" s="92" t="s">
        <v>4845</v>
      </c>
      <c r="KB113" s="92" t="s">
        <v>1476</v>
      </c>
      <c r="KC113" s="92" t="s">
        <v>109</v>
      </c>
      <c r="KD113" s="92" t="s">
        <v>4847</v>
      </c>
      <c r="KE113" s="92" t="s">
        <v>1424</v>
      </c>
      <c r="KF113" s="92">
        <v>1800</v>
      </c>
      <c r="KG113" s="92" t="s">
        <v>4439</v>
      </c>
      <c r="KH113" s="92" t="s">
        <v>192</v>
      </c>
      <c r="KI113" s="92" t="s">
        <v>109</v>
      </c>
      <c r="KJ113" s="92" t="s">
        <v>192</v>
      </c>
      <c r="KK113" s="92" t="s">
        <v>109</v>
      </c>
      <c r="KL113" s="92" t="s">
        <v>1440</v>
      </c>
      <c r="KM113" s="92">
        <v>2500</v>
      </c>
      <c r="KN113" s="92" t="s">
        <v>4439</v>
      </c>
      <c r="KO113" s="92" t="s">
        <v>1425</v>
      </c>
      <c r="KP113" s="92" t="s">
        <v>1460</v>
      </c>
      <c r="KQ113" s="92" t="s">
        <v>192</v>
      </c>
      <c r="KR113" s="92">
        <v>22</v>
      </c>
      <c r="KS113" s="92" t="s">
        <v>1343</v>
      </c>
      <c r="KT113" s="92" t="s">
        <v>1402</v>
      </c>
      <c r="KU113" s="92">
        <v>36</v>
      </c>
      <c r="KV113" s="92" t="s">
        <v>1461</v>
      </c>
      <c r="KW113" s="92" t="s">
        <v>1402</v>
      </c>
      <c r="KX113" s="92" t="s">
        <v>1376</v>
      </c>
      <c r="KY113" s="92" t="s">
        <v>1377</v>
      </c>
      <c r="KZ113" s="92" t="s">
        <v>5795</v>
      </c>
      <c r="LA113" s="92" t="s">
        <v>109</v>
      </c>
      <c r="LB113" s="92" t="s">
        <v>109</v>
      </c>
      <c r="LC113" s="92" t="s">
        <v>4438</v>
      </c>
      <c r="LD113" s="92" t="s">
        <v>4439</v>
      </c>
      <c r="LE113" s="92" t="s">
        <v>192</v>
      </c>
      <c r="LF113" s="92" t="s">
        <v>192</v>
      </c>
    </row>
    <row r="114" spans="1:318" x14ac:dyDescent="0.25">
      <c r="A114" t="s">
        <v>1968</v>
      </c>
      <c r="B114" t="s">
        <v>1969</v>
      </c>
      <c r="C114" t="s">
        <v>1304</v>
      </c>
      <c r="D114" t="s">
        <v>1305</v>
      </c>
      <c r="E114" t="s">
        <v>1306</v>
      </c>
      <c r="G114" t="s">
        <v>1307</v>
      </c>
      <c r="H114">
        <v>1</v>
      </c>
      <c r="J114" t="s">
        <v>1891</v>
      </c>
      <c r="K114" t="s">
        <v>1309</v>
      </c>
      <c r="L114" t="s">
        <v>1309</v>
      </c>
      <c r="M114" t="s">
        <v>1310</v>
      </c>
      <c r="N114" t="s">
        <v>1309</v>
      </c>
      <c r="O114" t="s">
        <v>1310</v>
      </c>
      <c r="P114" t="s">
        <v>1309</v>
      </c>
      <c r="Q114" t="s">
        <v>1309</v>
      </c>
      <c r="R114" t="s">
        <v>1309</v>
      </c>
      <c r="T114">
        <v>1</v>
      </c>
      <c r="U114" t="s">
        <v>1486</v>
      </c>
      <c r="V114" t="s">
        <v>1311</v>
      </c>
      <c r="W114" t="s">
        <v>1311</v>
      </c>
      <c r="X114" t="s">
        <v>1312</v>
      </c>
      <c r="Y114" t="s">
        <v>1312</v>
      </c>
      <c r="Z114" t="s">
        <v>1312</v>
      </c>
      <c r="AC114">
        <v>1</v>
      </c>
      <c r="AD114">
        <v>2000</v>
      </c>
      <c r="AE114">
        <v>1500</v>
      </c>
      <c r="AF114" t="s">
        <v>1351</v>
      </c>
      <c r="AH114" t="s">
        <v>1536</v>
      </c>
      <c r="AJ114" t="s">
        <v>1353</v>
      </c>
      <c r="AL114" t="s">
        <v>1316</v>
      </c>
      <c r="BA114" t="s">
        <v>1354</v>
      </c>
      <c r="BS114" t="s">
        <v>1307</v>
      </c>
      <c r="CE114" t="s">
        <v>1970</v>
      </c>
      <c r="CF114" t="s">
        <v>1309</v>
      </c>
      <c r="CG114" t="s">
        <v>1309</v>
      </c>
      <c r="CH114" t="s">
        <v>1309</v>
      </c>
      <c r="CI114" t="s">
        <v>1309</v>
      </c>
      <c r="CJ114" t="s">
        <v>1309</v>
      </c>
      <c r="CK114" t="s">
        <v>1309</v>
      </c>
      <c r="CL114" t="s">
        <v>1310</v>
      </c>
      <c r="CM114" t="s">
        <v>1309</v>
      </c>
      <c r="CN114" t="s">
        <v>1310</v>
      </c>
      <c r="CO114" t="s">
        <v>1309</v>
      </c>
      <c r="CP114" t="s">
        <v>1309</v>
      </c>
      <c r="CQ114" t="s">
        <v>1309</v>
      </c>
      <c r="CR114" t="s">
        <v>1309</v>
      </c>
      <c r="CT114" t="s">
        <v>4436</v>
      </c>
      <c r="CV114" t="s">
        <v>1308</v>
      </c>
      <c r="CW114" t="s">
        <v>1310</v>
      </c>
      <c r="CX114" t="s">
        <v>1309</v>
      </c>
      <c r="CY114" t="s">
        <v>1309</v>
      </c>
      <c r="CZ114" t="s">
        <v>1309</v>
      </c>
      <c r="DA114" t="s">
        <v>1309</v>
      </c>
      <c r="DB114" t="s">
        <v>1309</v>
      </c>
      <c r="DC114" t="s">
        <v>1309</v>
      </c>
      <c r="DE114" t="s">
        <v>1358</v>
      </c>
      <c r="DF114" t="s">
        <v>1307</v>
      </c>
      <c r="DI114">
        <v>200</v>
      </c>
      <c r="DJ114" t="s">
        <v>1358</v>
      </c>
      <c r="DM114">
        <v>200</v>
      </c>
      <c r="DN114" t="s">
        <v>1320</v>
      </c>
      <c r="DO114" t="s">
        <v>1310</v>
      </c>
      <c r="DP114" t="s">
        <v>1309</v>
      </c>
      <c r="DQ114" t="s">
        <v>1309</v>
      </c>
      <c r="DR114" t="s">
        <v>1309</v>
      </c>
      <c r="DS114" t="s">
        <v>1309</v>
      </c>
      <c r="DT114" t="s">
        <v>1310</v>
      </c>
      <c r="DU114" t="s">
        <v>1309</v>
      </c>
      <c r="DV114" t="s">
        <v>1309</v>
      </c>
      <c r="DW114" t="s">
        <v>1309</v>
      </c>
      <c r="DY114" t="s">
        <v>1446</v>
      </c>
      <c r="DZ114">
        <v>800</v>
      </c>
      <c r="EA114" t="s">
        <v>1319</v>
      </c>
      <c r="EC114" t="s">
        <v>1854</v>
      </c>
      <c r="ED114">
        <v>800</v>
      </c>
      <c r="EE114" t="s">
        <v>1319</v>
      </c>
      <c r="EG114" t="s">
        <v>5356</v>
      </c>
      <c r="EI114" t="s">
        <v>1307</v>
      </c>
      <c r="ET114" t="s">
        <v>1307</v>
      </c>
      <c r="EV114" t="s">
        <v>1319</v>
      </c>
      <c r="EW114" t="s">
        <v>1421</v>
      </c>
      <c r="EX114" t="s">
        <v>1319</v>
      </c>
      <c r="EZ114" t="s">
        <v>1319</v>
      </c>
      <c r="FA114" t="s">
        <v>1677</v>
      </c>
      <c r="FB114" t="s">
        <v>1309</v>
      </c>
      <c r="FC114" t="s">
        <v>1309</v>
      </c>
      <c r="FD114" t="s">
        <v>1310</v>
      </c>
      <c r="FE114" t="s">
        <v>1309</v>
      </c>
      <c r="FF114" t="s">
        <v>1309</v>
      </c>
      <c r="FG114" t="s">
        <v>1309</v>
      </c>
      <c r="FH114" t="s">
        <v>1309</v>
      </c>
      <c r="FI114" t="s">
        <v>1310</v>
      </c>
      <c r="FJ114" t="s">
        <v>1309</v>
      </c>
      <c r="FK114" t="s">
        <v>1309</v>
      </c>
      <c r="FL114" t="s">
        <v>1309</v>
      </c>
      <c r="FM114" t="s">
        <v>1309</v>
      </c>
      <c r="FN114" t="s">
        <v>1309</v>
      </c>
      <c r="FO114" t="s">
        <v>1309</v>
      </c>
      <c r="FP114" t="s">
        <v>1309</v>
      </c>
      <c r="FQ114" t="s">
        <v>1309</v>
      </c>
      <c r="FR114" t="s">
        <v>1309</v>
      </c>
      <c r="FT114" t="s">
        <v>1319</v>
      </c>
      <c r="FU114" t="s">
        <v>1389</v>
      </c>
      <c r="FV114" t="s">
        <v>1310</v>
      </c>
      <c r="FW114" t="s">
        <v>1310</v>
      </c>
      <c r="FX114" t="s">
        <v>1309</v>
      </c>
      <c r="FY114" t="s">
        <v>1309</v>
      </c>
      <c r="FZ114" t="s">
        <v>1309</v>
      </c>
      <c r="GA114" t="s">
        <v>1310</v>
      </c>
      <c r="GB114" t="s">
        <v>1309</v>
      </c>
      <c r="GC114" t="s">
        <v>1309</v>
      </c>
      <c r="GD114" t="s">
        <v>1309</v>
      </c>
      <c r="GE114" t="s">
        <v>1309</v>
      </c>
      <c r="GF114" t="s">
        <v>1309</v>
      </c>
      <c r="GG114" t="s">
        <v>1309</v>
      </c>
      <c r="GI114" t="s">
        <v>1324</v>
      </c>
      <c r="GJ114" t="s">
        <v>1324</v>
      </c>
      <c r="GT114" t="s">
        <v>1531</v>
      </c>
      <c r="GU114" t="s">
        <v>1310</v>
      </c>
      <c r="GV114" t="s">
        <v>1310</v>
      </c>
      <c r="GW114" t="s">
        <v>1309</v>
      </c>
      <c r="GX114" t="s">
        <v>1309</v>
      </c>
      <c r="GY114" t="s">
        <v>1309</v>
      </c>
      <c r="GZ114" t="s">
        <v>1309</v>
      </c>
      <c r="HA114" t="s">
        <v>1309</v>
      </c>
      <c r="HB114" t="s">
        <v>1309</v>
      </c>
      <c r="HC114" t="s">
        <v>1309</v>
      </c>
      <c r="HD114" t="s">
        <v>1309</v>
      </c>
      <c r="HE114" t="s">
        <v>1309</v>
      </c>
      <c r="HF114" t="s">
        <v>1309</v>
      </c>
      <c r="HH114" t="s">
        <v>1390</v>
      </c>
      <c r="HI114" t="s">
        <v>1327</v>
      </c>
      <c r="HJ114" t="s">
        <v>1390</v>
      </c>
      <c r="HK114" t="s">
        <v>1327</v>
      </c>
      <c r="HL114" t="s">
        <v>1437</v>
      </c>
      <c r="HM114" t="s">
        <v>1390</v>
      </c>
      <c r="HN114" t="s">
        <v>1555</v>
      </c>
      <c r="HO114" t="s">
        <v>1310</v>
      </c>
      <c r="HP114" t="s">
        <v>1310</v>
      </c>
      <c r="HQ114" t="s">
        <v>1309</v>
      </c>
      <c r="HR114" t="s">
        <v>1309</v>
      </c>
      <c r="HS114" t="s">
        <v>1309</v>
      </c>
      <c r="HT114" t="s">
        <v>1310</v>
      </c>
      <c r="HU114" t="s">
        <v>1309</v>
      </c>
      <c r="HV114" t="s">
        <v>1309</v>
      </c>
      <c r="HW114" t="s">
        <v>1309</v>
      </c>
      <c r="HX114" t="s">
        <v>1309</v>
      </c>
      <c r="HY114" t="s">
        <v>1309</v>
      </c>
      <c r="IA114" t="s">
        <v>1319</v>
      </c>
      <c r="IB114" t="s">
        <v>1532</v>
      </c>
      <c r="IC114" t="s">
        <v>1309</v>
      </c>
      <c r="ID114" t="s">
        <v>1309</v>
      </c>
      <c r="IE114" t="s">
        <v>1309</v>
      </c>
      <c r="IF114" t="s">
        <v>1309</v>
      </c>
      <c r="IG114" t="s">
        <v>1310</v>
      </c>
      <c r="IH114" t="s">
        <v>1309</v>
      </c>
      <c r="II114" t="s">
        <v>1310</v>
      </c>
      <c r="IJ114" t="s">
        <v>1309</v>
      </c>
      <c r="IK114" t="s">
        <v>1309</v>
      </c>
      <c r="IL114" t="s">
        <v>1309</v>
      </c>
      <c r="IM114" t="s">
        <v>1309</v>
      </c>
      <c r="IN114" t="s">
        <v>1309</v>
      </c>
      <c r="IO114" t="s">
        <v>1309</v>
      </c>
      <c r="IQ114" t="s">
        <v>1308</v>
      </c>
      <c r="IS114" t="s">
        <v>1316</v>
      </c>
      <c r="JF114" t="s">
        <v>1331</v>
      </c>
      <c r="JG114" t="s">
        <v>1332</v>
      </c>
      <c r="JH114" t="s">
        <v>1309</v>
      </c>
      <c r="JI114" t="s">
        <v>1309</v>
      </c>
      <c r="JJ114" t="s">
        <v>1309</v>
      </c>
      <c r="JK114" t="s">
        <v>1309</v>
      </c>
      <c r="JL114" t="s">
        <v>1310</v>
      </c>
      <c r="JM114" t="s">
        <v>1309</v>
      </c>
      <c r="JN114" t="s">
        <v>1309</v>
      </c>
      <c r="JO114" t="s">
        <v>1309</v>
      </c>
      <c r="JQ114" s="92" t="s">
        <v>1757</v>
      </c>
      <c r="JR114" s="92" t="s">
        <v>1971</v>
      </c>
      <c r="JS114" s="92">
        <v>68</v>
      </c>
      <c r="JT114" s="92" t="s">
        <v>1319</v>
      </c>
      <c r="JU114" s="92" t="s">
        <v>1335</v>
      </c>
      <c r="JV114" s="92" t="s">
        <v>1526</v>
      </c>
      <c r="JW114" s="92" t="s">
        <v>1296</v>
      </c>
      <c r="JX114" s="92" t="s">
        <v>70</v>
      </c>
      <c r="JY114" s="92" t="s">
        <v>5549</v>
      </c>
      <c r="JZ114" s="92" t="s">
        <v>1369</v>
      </c>
      <c r="KA114" s="92" t="s">
        <v>4844</v>
      </c>
      <c r="KB114" s="92" t="s">
        <v>1476</v>
      </c>
      <c r="KC114" s="92" t="s">
        <v>192</v>
      </c>
      <c r="KD114" s="92" t="s">
        <v>4844</v>
      </c>
      <c r="KE114" s="92" t="s">
        <v>5561</v>
      </c>
      <c r="KF114" s="92">
        <v>200</v>
      </c>
      <c r="KG114" s="92" t="s">
        <v>1372</v>
      </c>
      <c r="KH114" s="92" t="s">
        <v>109</v>
      </c>
      <c r="KI114" s="92" t="s">
        <v>109</v>
      </c>
      <c r="KJ114" s="92" t="s">
        <v>109</v>
      </c>
      <c r="KK114" s="92" t="s">
        <v>109</v>
      </c>
      <c r="KL114" s="92" t="s">
        <v>1373</v>
      </c>
      <c r="KM114" s="92">
        <v>200</v>
      </c>
      <c r="KN114" s="92" t="s">
        <v>1372</v>
      </c>
      <c r="KO114" s="92" t="s">
        <v>1373</v>
      </c>
      <c r="KP114" s="92" t="s">
        <v>1401</v>
      </c>
      <c r="KQ114" s="92" t="s">
        <v>109</v>
      </c>
      <c r="KR114" s="92"/>
      <c r="KS114" s="92" t="s">
        <v>1466</v>
      </c>
      <c r="KT114" s="92" t="s">
        <v>1344</v>
      </c>
      <c r="KU114" s="92"/>
      <c r="KV114" s="92" t="s">
        <v>1441</v>
      </c>
      <c r="KW114" s="92" t="s">
        <v>1344</v>
      </c>
      <c r="KX114" s="92" t="s">
        <v>1376</v>
      </c>
      <c r="KY114" s="92" t="s">
        <v>1377</v>
      </c>
      <c r="KZ114" s="92" t="s">
        <v>5795</v>
      </c>
      <c r="LA114" s="92" t="s">
        <v>109</v>
      </c>
      <c r="LB114" s="92" t="s">
        <v>109</v>
      </c>
      <c r="LC114" s="92" t="s">
        <v>4438</v>
      </c>
      <c r="LD114" s="92" t="s">
        <v>4438</v>
      </c>
      <c r="LE114" s="92" t="s">
        <v>109</v>
      </c>
      <c r="LF114" s="92" t="s">
        <v>109</v>
      </c>
    </row>
    <row r="115" spans="1:318" x14ac:dyDescent="0.25">
      <c r="A115" t="s">
        <v>1972</v>
      </c>
      <c r="B115" t="s">
        <v>1973</v>
      </c>
      <c r="C115" t="s">
        <v>1304</v>
      </c>
      <c r="D115" t="s">
        <v>1305</v>
      </c>
      <c r="E115" t="s">
        <v>1306</v>
      </c>
      <c r="G115" t="s">
        <v>1307</v>
      </c>
      <c r="H115">
        <v>2</v>
      </c>
      <c r="I115" t="s">
        <v>1307</v>
      </c>
      <c r="J115" t="s">
        <v>1382</v>
      </c>
      <c r="K115" t="s">
        <v>1309</v>
      </c>
      <c r="L115" t="s">
        <v>1310</v>
      </c>
      <c r="M115" t="s">
        <v>1309</v>
      </c>
      <c r="N115" t="s">
        <v>1309</v>
      </c>
      <c r="O115" t="s">
        <v>1309</v>
      </c>
      <c r="P115" t="s">
        <v>1310</v>
      </c>
      <c r="Q115" t="s">
        <v>1309</v>
      </c>
      <c r="R115" t="s">
        <v>1309</v>
      </c>
      <c r="S115">
        <v>1</v>
      </c>
      <c r="U115" t="s">
        <v>1312</v>
      </c>
      <c r="V115" t="s">
        <v>1312</v>
      </c>
      <c r="W115" t="s">
        <v>1312</v>
      </c>
      <c r="X115" t="s">
        <v>1312</v>
      </c>
      <c r="Y115" t="s">
        <v>1312</v>
      </c>
      <c r="Z115" t="s">
        <v>1312</v>
      </c>
      <c r="AC115">
        <v>1</v>
      </c>
      <c r="AD115">
        <v>6000</v>
      </c>
      <c r="AE115">
        <v>5000</v>
      </c>
      <c r="AF115" t="s">
        <v>1351</v>
      </c>
      <c r="AH115" t="s">
        <v>1383</v>
      </c>
      <c r="AJ115" t="s">
        <v>1353</v>
      </c>
      <c r="AL115" t="s">
        <v>1354</v>
      </c>
      <c r="BA115" t="s">
        <v>1354</v>
      </c>
      <c r="BS115" t="s">
        <v>1307</v>
      </c>
      <c r="CE115" t="s">
        <v>1974</v>
      </c>
      <c r="CF115" t="s">
        <v>1309</v>
      </c>
      <c r="CG115" t="s">
        <v>1309</v>
      </c>
      <c r="CH115" t="s">
        <v>1310</v>
      </c>
      <c r="CI115" t="s">
        <v>1310</v>
      </c>
      <c r="CJ115" t="s">
        <v>1310</v>
      </c>
      <c r="CK115" t="s">
        <v>1309</v>
      </c>
      <c r="CL115" t="s">
        <v>1309</v>
      </c>
      <c r="CM115" t="s">
        <v>1309</v>
      </c>
      <c r="CN115" t="s">
        <v>1309</v>
      </c>
      <c r="CO115" t="s">
        <v>1309</v>
      </c>
      <c r="CP115" t="s">
        <v>1309</v>
      </c>
      <c r="CQ115" t="s">
        <v>1309</v>
      </c>
      <c r="CR115" t="s">
        <v>1309</v>
      </c>
      <c r="CT115" t="s">
        <v>4436</v>
      </c>
      <c r="CV115" t="s">
        <v>1308</v>
      </c>
      <c r="CW115" t="s">
        <v>1310</v>
      </c>
      <c r="CX115" t="s">
        <v>1309</v>
      </c>
      <c r="CY115" t="s">
        <v>1309</v>
      </c>
      <c r="CZ115" t="s">
        <v>1309</v>
      </c>
      <c r="DA115" t="s">
        <v>1309</v>
      </c>
      <c r="DB115" t="s">
        <v>1309</v>
      </c>
      <c r="DC115" t="s">
        <v>1309</v>
      </c>
      <c r="DE115" t="s">
        <v>1358</v>
      </c>
      <c r="DF115" t="s">
        <v>1319</v>
      </c>
      <c r="DG115">
        <v>100</v>
      </c>
      <c r="DI115">
        <v>600</v>
      </c>
      <c r="DJ115" t="s">
        <v>1358</v>
      </c>
      <c r="DK115">
        <v>150</v>
      </c>
      <c r="DM115">
        <v>900</v>
      </c>
      <c r="DN115" t="s">
        <v>1320</v>
      </c>
      <c r="DO115" t="s">
        <v>1310</v>
      </c>
      <c r="DP115" t="s">
        <v>1309</v>
      </c>
      <c r="DQ115" t="s">
        <v>1309</v>
      </c>
      <c r="DR115" t="s">
        <v>1309</v>
      </c>
      <c r="DS115" t="s">
        <v>1309</v>
      </c>
      <c r="DT115" t="s">
        <v>1310</v>
      </c>
      <c r="DU115" t="s">
        <v>1309</v>
      </c>
      <c r="DV115" t="s">
        <v>1309</v>
      </c>
      <c r="DW115" t="s">
        <v>1309</v>
      </c>
      <c r="DY115" t="s">
        <v>1359</v>
      </c>
      <c r="DZ115">
        <v>600</v>
      </c>
      <c r="EA115" t="s">
        <v>1319</v>
      </c>
      <c r="EC115" t="s">
        <v>1360</v>
      </c>
      <c r="ED115">
        <v>800</v>
      </c>
      <c r="EE115" t="s">
        <v>1319</v>
      </c>
      <c r="EG115" t="s">
        <v>5356</v>
      </c>
      <c r="EI115" t="s">
        <v>1307</v>
      </c>
      <c r="ET115" t="s">
        <v>1307</v>
      </c>
      <c r="EV115" t="s">
        <v>1319</v>
      </c>
      <c r="EW115" t="s">
        <v>1421</v>
      </c>
      <c r="EX115" t="s">
        <v>1319</v>
      </c>
      <c r="EY115" t="s">
        <v>1307</v>
      </c>
      <c r="EZ115" t="s">
        <v>1307</v>
      </c>
      <c r="FA115" t="s">
        <v>1975</v>
      </c>
      <c r="FB115" t="s">
        <v>1309</v>
      </c>
      <c r="FC115" t="s">
        <v>1309</v>
      </c>
      <c r="FD115" t="s">
        <v>1309</v>
      </c>
      <c r="FE115" t="s">
        <v>1309</v>
      </c>
      <c r="FF115" t="s">
        <v>1309</v>
      </c>
      <c r="FG115" t="s">
        <v>1309</v>
      </c>
      <c r="FH115" t="s">
        <v>1309</v>
      </c>
      <c r="FI115" t="s">
        <v>1310</v>
      </c>
      <c r="FJ115" t="s">
        <v>1310</v>
      </c>
      <c r="FK115" t="s">
        <v>1309</v>
      </c>
      <c r="FL115" t="s">
        <v>1309</v>
      </c>
      <c r="FM115" t="s">
        <v>1309</v>
      </c>
      <c r="FN115" t="s">
        <v>1309</v>
      </c>
      <c r="FO115" t="s">
        <v>1309</v>
      </c>
      <c r="FP115" t="s">
        <v>1309</v>
      </c>
      <c r="FQ115" t="s">
        <v>1309</v>
      </c>
      <c r="FR115" t="s">
        <v>1309</v>
      </c>
      <c r="FT115" t="s">
        <v>1307</v>
      </c>
      <c r="GI115" t="s">
        <v>1324</v>
      </c>
      <c r="GJ115" t="s">
        <v>1324</v>
      </c>
      <c r="GT115" t="s">
        <v>1325</v>
      </c>
      <c r="GU115" t="s">
        <v>1310</v>
      </c>
      <c r="GV115" t="s">
        <v>1309</v>
      </c>
      <c r="GW115" t="s">
        <v>1309</v>
      </c>
      <c r="GX115" t="s">
        <v>1309</v>
      </c>
      <c r="GY115" t="s">
        <v>1309</v>
      </c>
      <c r="GZ115" t="s">
        <v>1309</v>
      </c>
      <c r="HA115" t="s">
        <v>1309</v>
      </c>
      <c r="HB115" t="s">
        <v>1309</v>
      </c>
      <c r="HC115" t="s">
        <v>1309</v>
      </c>
      <c r="HD115" t="s">
        <v>1309</v>
      </c>
      <c r="HE115" t="s">
        <v>1309</v>
      </c>
      <c r="HF115" t="s">
        <v>1309</v>
      </c>
      <c r="HH115" t="s">
        <v>1390</v>
      </c>
      <c r="HI115" t="s">
        <v>1327</v>
      </c>
      <c r="HJ115" t="s">
        <v>1390</v>
      </c>
      <c r="HK115" t="s">
        <v>1327</v>
      </c>
      <c r="HL115" t="s">
        <v>1437</v>
      </c>
      <c r="HM115" t="s">
        <v>1390</v>
      </c>
      <c r="HN115" t="s">
        <v>1435</v>
      </c>
      <c r="HO115" t="s">
        <v>1309</v>
      </c>
      <c r="HP115" t="s">
        <v>1310</v>
      </c>
      <c r="HQ115" t="s">
        <v>1309</v>
      </c>
      <c r="HR115" t="s">
        <v>1309</v>
      </c>
      <c r="HS115" t="s">
        <v>1309</v>
      </c>
      <c r="HT115" t="s">
        <v>1309</v>
      </c>
      <c r="HU115" t="s">
        <v>1309</v>
      </c>
      <c r="HV115" t="s">
        <v>1309</v>
      </c>
      <c r="HW115" t="s">
        <v>1309</v>
      </c>
      <c r="HX115" t="s">
        <v>1309</v>
      </c>
      <c r="HY115" t="s">
        <v>1309</v>
      </c>
      <c r="IA115" t="s">
        <v>1307</v>
      </c>
      <c r="IQ115" t="s">
        <v>1365</v>
      </c>
      <c r="IS115" t="s">
        <v>1316</v>
      </c>
      <c r="JF115" t="s">
        <v>1331</v>
      </c>
      <c r="JG115" t="s">
        <v>1976</v>
      </c>
      <c r="JH115" t="s">
        <v>1310</v>
      </c>
      <c r="JI115" t="s">
        <v>1309</v>
      </c>
      <c r="JJ115" t="s">
        <v>1309</v>
      </c>
      <c r="JK115" t="s">
        <v>1309</v>
      </c>
      <c r="JL115" t="s">
        <v>1310</v>
      </c>
      <c r="JM115" t="s">
        <v>1309</v>
      </c>
      <c r="JN115" t="s">
        <v>1309</v>
      </c>
      <c r="JO115" t="s">
        <v>1309</v>
      </c>
      <c r="JQ115" s="92" t="s">
        <v>1757</v>
      </c>
      <c r="JR115" s="92" t="s">
        <v>1971</v>
      </c>
      <c r="JS115" s="92">
        <v>39</v>
      </c>
      <c r="JT115" s="92" t="s">
        <v>1319</v>
      </c>
      <c r="JU115" s="92" t="s">
        <v>1335</v>
      </c>
      <c r="JV115" s="92" t="s">
        <v>1526</v>
      </c>
      <c r="JW115" s="92" t="s">
        <v>1296</v>
      </c>
      <c r="JX115" s="92" t="s">
        <v>70</v>
      </c>
      <c r="JY115" s="92" t="s">
        <v>5549</v>
      </c>
      <c r="JZ115" s="92" t="s">
        <v>1337</v>
      </c>
      <c r="KA115" s="92" t="s">
        <v>4845</v>
      </c>
      <c r="KB115" s="92" t="s">
        <v>1399</v>
      </c>
      <c r="KC115" s="92" t="s">
        <v>109</v>
      </c>
      <c r="KD115" s="92" t="s">
        <v>4844</v>
      </c>
      <c r="KE115" s="92" t="s">
        <v>1424</v>
      </c>
      <c r="KF115" s="92">
        <v>700</v>
      </c>
      <c r="KG115" s="92" t="s">
        <v>4438</v>
      </c>
      <c r="KH115" s="92" t="s">
        <v>192</v>
      </c>
      <c r="KI115" s="92" t="s">
        <v>109</v>
      </c>
      <c r="KJ115" s="92" t="s">
        <v>192</v>
      </c>
      <c r="KK115" s="92" t="s">
        <v>109</v>
      </c>
      <c r="KL115" s="92" t="s">
        <v>1374</v>
      </c>
      <c r="KM115" s="92">
        <v>1050</v>
      </c>
      <c r="KN115" s="92" t="s">
        <v>4438</v>
      </c>
      <c r="KO115" s="92" t="s">
        <v>1440</v>
      </c>
      <c r="KP115" s="92" t="s">
        <v>1401</v>
      </c>
      <c r="KQ115" s="92" t="s">
        <v>192</v>
      </c>
      <c r="KR115" s="92"/>
      <c r="KS115" s="92" t="s">
        <v>1345</v>
      </c>
      <c r="KT115" s="92" t="s">
        <v>1344</v>
      </c>
      <c r="KU115" s="92"/>
      <c r="KV115" s="92" t="s">
        <v>1441</v>
      </c>
      <c r="KW115" s="92" t="s">
        <v>1344</v>
      </c>
      <c r="KX115" s="92" t="s">
        <v>1376</v>
      </c>
      <c r="KY115" s="92" t="s">
        <v>1377</v>
      </c>
      <c r="KZ115" s="92" t="s">
        <v>5795</v>
      </c>
      <c r="LA115" s="92" t="s">
        <v>109</v>
      </c>
      <c r="LB115" s="92" t="s">
        <v>109</v>
      </c>
      <c r="LC115" s="92" t="s">
        <v>4438</v>
      </c>
      <c r="LD115" s="92" t="s">
        <v>4438</v>
      </c>
      <c r="LE115" s="92" t="s">
        <v>109</v>
      </c>
      <c r="LF115" s="92" t="s">
        <v>192</v>
      </c>
    </row>
    <row r="116" spans="1:318" x14ac:dyDescent="0.25">
      <c r="A116" t="s">
        <v>1977</v>
      </c>
      <c r="B116" t="s">
        <v>1978</v>
      </c>
      <c r="C116" t="s">
        <v>1304</v>
      </c>
      <c r="D116" t="s">
        <v>1305</v>
      </c>
      <c r="E116" t="s">
        <v>1306</v>
      </c>
      <c r="G116" t="s">
        <v>1307</v>
      </c>
      <c r="H116">
        <v>2</v>
      </c>
      <c r="I116" t="s">
        <v>1307</v>
      </c>
      <c r="J116" t="s">
        <v>1891</v>
      </c>
      <c r="K116" t="s">
        <v>1309</v>
      </c>
      <c r="L116" t="s">
        <v>1309</v>
      </c>
      <c r="M116" t="s">
        <v>1310</v>
      </c>
      <c r="N116" t="s">
        <v>1309</v>
      </c>
      <c r="O116" t="s">
        <v>1310</v>
      </c>
      <c r="P116" t="s">
        <v>1309</v>
      </c>
      <c r="Q116" t="s">
        <v>1309</v>
      </c>
      <c r="R116" t="s">
        <v>1309</v>
      </c>
      <c r="T116">
        <v>2</v>
      </c>
      <c r="U116" t="s">
        <v>1486</v>
      </c>
      <c r="V116" t="s">
        <v>1311</v>
      </c>
      <c r="W116" t="s">
        <v>1486</v>
      </c>
      <c r="X116" t="s">
        <v>1312</v>
      </c>
      <c r="Y116" t="s">
        <v>1311</v>
      </c>
      <c r="Z116" t="s">
        <v>1312</v>
      </c>
      <c r="AC116">
        <v>2</v>
      </c>
      <c r="AD116">
        <v>4500</v>
      </c>
      <c r="AE116">
        <v>3000</v>
      </c>
      <c r="AF116" t="s">
        <v>1351</v>
      </c>
      <c r="AH116" t="s">
        <v>1536</v>
      </c>
      <c r="AJ116" t="s">
        <v>1353</v>
      </c>
      <c r="AL116" t="s">
        <v>1354</v>
      </c>
      <c r="BA116" t="s">
        <v>1354</v>
      </c>
      <c r="BS116" t="s">
        <v>1307</v>
      </c>
      <c r="CE116" t="s">
        <v>1979</v>
      </c>
      <c r="CF116" t="s">
        <v>1309</v>
      </c>
      <c r="CG116" t="s">
        <v>1309</v>
      </c>
      <c r="CH116" t="s">
        <v>1310</v>
      </c>
      <c r="CI116" t="s">
        <v>1309</v>
      </c>
      <c r="CJ116" t="s">
        <v>1309</v>
      </c>
      <c r="CK116" t="s">
        <v>1309</v>
      </c>
      <c r="CL116" t="s">
        <v>1310</v>
      </c>
      <c r="CM116" t="s">
        <v>1309</v>
      </c>
      <c r="CN116" t="s">
        <v>1309</v>
      </c>
      <c r="CO116" t="s">
        <v>1309</v>
      </c>
      <c r="CP116" t="s">
        <v>1309</v>
      </c>
      <c r="CQ116" t="s">
        <v>1309</v>
      </c>
      <c r="CR116" t="s">
        <v>1309</v>
      </c>
      <c r="CT116" t="s">
        <v>4436</v>
      </c>
      <c r="CV116" t="s">
        <v>1308</v>
      </c>
      <c r="CW116" t="s">
        <v>1310</v>
      </c>
      <c r="CX116" t="s">
        <v>1309</v>
      </c>
      <c r="CY116" t="s">
        <v>1309</v>
      </c>
      <c r="CZ116" t="s">
        <v>1309</v>
      </c>
      <c r="DA116" t="s">
        <v>1309</v>
      </c>
      <c r="DB116" t="s">
        <v>1309</v>
      </c>
      <c r="DC116" t="s">
        <v>1309</v>
      </c>
      <c r="DE116" t="s">
        <v>1358</v>
      </c>
      <c r="DF116" t="s">
        <v>1319</v>
      </c>
      <c r="DI116">
        <v>300</v>
      </c>
      <c r="DJ116" t="s">
        <v>1358</v>
      </c>
      <c r="DM116">
        <v>250</v>
      </c>
      <c r="DN116" t="s">
        <v>1320</v>
      </c>
      <c r="DO116" t="s">
        <v>1310</v>
      </c>
      <c r="DP116" t="s">
        <v>1309</v>
      </c>
      <c r="DQ116" t="s">
        <v>1309</v>
      </c>
      <c r="DR116" t="s">
        <v>1309</v>
      </c>
      <c r="DS116" t="s">
        <v>1309</v>
      </c>
      <c r="DT116" t="s">
        <v>1310</v>
      </c>
      <c r="DU116" t="s">
        <v>1309</v>
      </c>
      <c r="DV116" t="s">
        <v>1309</v>
      </c>
      <c r="DW116" t="s">
        <v>1309</v>
      </c>
      <c r="DY116" t="s">
        <v>1446</v>
      </c>
      <c r="DZ116">
        <v>800</v>
      </c>
      <c r="EA116" t="s">
        <v>1319</v>
      </c>
      <c r="EC116" t="s">
        <v>1457</v>
      </c>
      <c r="ED116">
        <v>800</v>
      </c>
      <c r="EE116" t="s">
        <v>1319</v>
      </c>
      <c r="EG116" t="s">
        <v>5356</v>
      </c>
      <c r="EI116" t="s">
        <v>1307</v>
      </c>
      <c r="ET116" t="s">
        <v>1307</v>
      </c>
      <c r="EV116" t="s">
        <v>1319</v>
      </c>
      <c r="EW116" t="s">
        <v>1421</v>
      </c>
      <c r="EX116" t="s">
        <v>1319</v>
      </c>
      <c r="EY116" t="s">
        <v>1319</v>
      </c>
      <c r="EZ116" t="s">
        <v>1319</v>
      </c>
      <c r="FA116" t="s">
        <v>1980</v>
      </c>
      <c r="FB116" t="s">
        <v>1309</v>
      </c>
      <c r="FC116" t="s">
        <v>1309</v>
      </c>
      <c r="FD116" t="s">
        <v>1310</v>
      </c>
      <c r="FE116" t="s">
        <v>1309</v>
      </c>
      <c r="FF116" t="s">
        <v>1310</v>
      </c>
      <c r="FG116" t="s">
        <v>1309</v>
      </c>
      <c r="FH116" t="s">
        <v>1310</v>
      </c>
      <c r="FI116" t="s">
        <v>1310</v>
      </c>
      <c r="FJ116" t="s">
        <v>1310</v>
      </c>
      <c r="FK116" t="s">
        <v>1310</v>
      </c>
      <c r="FL116" t="s">
        <v>1309</v>
      </c>
      <c r="FM116" t="s">
        <v>1309</v>
      </c>
      <c r="FN116" t="s">
        <v>1309</v>
      </c>
      <c r="FO116" t="s">
        <v>1309</v>
      </c>
      <c r="FP116" t="s">
        <v>1309</v>
      </c>
      <c r="FQ116" t="s">
        <v>1309</v>
      </c>
      <c r="FR116" t="s">
        <v>1309</v>
      </c>
      <c r="FT116" t="s">
        <v>1319</v>
      </c>
      <c r="FU116" t="s">
        <v>1649</v>
      </c>
      <c r="FV116" t="s">
        <v>1310</v>
      </c>
      <c r="FW116" t="s">
        <v>1310</v>
      </c>
      <c r="FX116" t="s">
        <v>1309</v>
      </c>
      <c r="FY116" t="s">
        <v>1309</v>
      </c>
      <c r="FZ116" t="s">
        <v>1309</v>
      </c>
      <c r="GA116" t="s">
        <v>1309</v>
      </c>
      <c r="GB116" t="s">
        <v>1309</v>
      </c>
      <c r="GC116" t="s">
        <v>1309</v>
      </c>
      <c r="GD116" t="s">
        <v>1309</v>
      </c>
      <c r="GE116" t="s">
        <v>1309</v>
      </c>
      <c r="GF116" t="s">
        <v>1309</v>
      </c>
      <c r="GG116" t="s">
        <v>1309</v>
      </c>
      <c r="GI116" t="s">
        <v>1324</v>
      </c>
      <c r="GJ116" t="s">
        <v>1324</v>
      </c>
      <c r="GT116" t="s">
        <v>1325</v>
      </c>
      <c r="GU116" t="s">
        <v>1310</v>
      </c>
      <c r="GV116" t="s">
        <v>1309</v>
      </c>
      <c r="GW116" t="s">
        <v>1309</v>
      </c>
      <c r="GX116" t="s">
        <v>1309</v>
      </c>
      <c r="GY116" t="s">
        <v>1309</v>
      </c>
      <c r="GZ116" t="s">
        <v>1309</v>
      </c>
      <c r="HA116" t="s">
        <v>1309</v>
      </c>
      <c r="HB116" t="s">
        <v>1309</v>
      </c>
      <c r="HC116" t="s">
        <v>1309</v>
      </c>
      <c r="HD116" t="s">
        <v>1309</v>
      </c>
      <c r="HE116" t="s">
        <v>1309</v>
      </c>
      <c r="HF116" t="s">
        <v>1309</v>
      </c>
      <c r="HH116" t="s">
        <v>1390</v>
      </c>
      <c r="HI116" t="s">
        <v>1327</v>
      </c>
      <c r="HJ116" t="s">
        <v>1390</v>
      </c>
      <c r="HK116" t="s">
        <v>1327</v>
      </c>
      <c r="HL116" t="s">
        <v>1437</v>
      </c>
      <c r="HM116" t="s">
        <v>1390</v>
      </c>
      <c r="HN116" t="s">
        <v>1435</v>
      </c>
      <c r="HO116" t="s">
        <v>1309</v>
      </c>
      <c r="HP116" t="s">
        <v>1310</v>
      </c>
      <c r="HQ116" t="s">
        <v>1309</v>
      </c>
      <c r="HR116" t="s">
        <v>1309</v>
      </c>
      <c r="HS116" t="s">
        <v>1309</v>
      </c>
      <c r="HT116" t="s">
        <v>1309</v>
      </c>
      <c r="HU116" t="s">
        <v>1309</v>
      </c>
      <c r="HV116" t="s">
        <v>1309</v>
      </c>
      <c r="HW116" t="s">
        <v>1309</v>
      </c>
      <c r="HX116" t="s">
        <v>1309</v>
      </c>
      <c r="HY116" t="s">
        <v>1309</v>
      </c>
      <c r="IA116" t="s">
        <v>1307</v>
      </c>
      <c r="IQ116" t="s">
        <v>1308</v>
      </c>
      <c r="IS116" t="s">
        <v>1316</v>
      </c>
      <c r="JF116" t="s">
        <v>1331</v>
      </c>
      <c r="JG116" t="s">
        <v>1332</v>
      </c>
      <c r="JH116" t="s">
        <v>1309</v>
      </c>
      <c r="JI116" t="s">
        <v>1309</v>
      </c>
      <c r="JJ116" t="s">
        <v>1309</v>
      </c>
      <c r="JK116" t="s">
        <v>1309</v>
      </c>
      <c r="JL116" t="s">
        <v>1310</v>
      </c>
      <c r="JM116" t="s">
        <v>1309</v>
      </c>
      <c r="JN116" t="s">
        <v>1309</v>
      </c>
      <c r="JO116" t="s">
        <v>1309</v>
      </c>
      <c r="JQ116" s="92" t="s">
        <v>1757</v>
      </c>
      <c r="JR116" s="92" t="s">
        <v>1971</v>
      </c>
      <c r="JS116" s="92">
        <v>69</v>
      </c>
      <c r="JT116" s="92" t="s">
        <v>1319</v>
      </c>
      <c r="JU116" s="92" t="s">
        <v>1335</v>
      </c>
      <c r="JV116" s="92" t="s">
        <v>1526</v>
      </c>
      <c r="JW116" s="92" t="s">
        <v>1296</v>
      </c>
      <c r="JX116" s="92" t="s">
        <v>70</v>
      </c>
      <c r="JY116" s="92" t="s">
        <v>5549</v>
      </c>
      <c r="JZ116" s="92" t="s">
        <v>1369</v>
      </c>
      <c r="KA116" s="92" t="s">
        <v>4845</v>
      </c>
      <c r="KB116" s="92" t="s">
        <v>1476</v>
      </c>
      <c r="KC116" s="92" t="s">
        <v>192</v>
      </c>
      <c r="KD116" s="92" t="s">
        <v>4847</v>
      </c>
      <c r="KE116" s="92" t="s">
        <v>5560</v>
      </c>
      <c r="KF116" s="92">
        <v>300</v>
      </c>
      <c r="KG116" s="92" t="s">
        <v>1372</v>
      </c>
      <c r="KH116" s="92" t="s">
        <v>109</v>
      </c>
      <c r="KI116" s="92" t="s">
        <v>109</v>
      </c>
      <c r="KJ116" s="92" t="s">
        <v>109</v>
      </c>
      <c r="KK116" s="92" t="s">
        <v>109</v>
      </c>
      <c r="KL116" s="92" t="s">
        <v>1373</v>
      </c>
      <c r="KM116" s="92">
        <v>250</v>
      </c>
      <c r="KN116" s="92" t="s">
        <v>1372</v>
      </c>
      <c r="KO116" s="92" t="s">
        <v>1373</v>
      </c>
      <c r="KP116" s="92" t="s">
        <v>1401</v>
      </c>
      <c r="KQ116" s="92" t="s">
        <v>192</v>
      </c>
      <c r="KR116" s="92"/>
      <c r="KS116" s="92" t="s">
        <v>1466</v>
      </c>
      <c r="KT116" s="92" t="s">
        <v>1344</v>
      </c>
      <c r="KU116" s="92"/>
      <c r="KV116" s="92" t="s">
        <v>1441</v>
      </c>
      <c r="KW116" s="92" t="s">
        <v>1344</v>
      </c>
      <c r="KX116" s="92" t="s">
        <v>1376</v>
      </c>
      <c r="KY116" s="92" t="s">
        <v>1377</v>
      </c>
      <c r="KZ116" s="92" t="s">
        <v>5795</v>
      </c>
      <c r="LA116" s="92" t="s">
        <v>109</v>
      </c>
      <c r="LB116" s="92" t="s">
        <v>109</v>
      </c>
      <c r="LC116" s="92" t="s">
        <v>1372</v>
      </c>
      <c r="LD116" s="92" t="s">
        <v>1372</v>
      </c>
      <c r="LE116" s="92" t="s">
        <v>109</v>
      </c>
      <c r="LF116" s="92" t="s">
        <v>109</v>
      </c>
    </row>
    <row r="117" spans="1:318" x14ac:dyDescent="0.25">
      <c r="A117" t="s">
        <v>1981</v>
      </c>
      <c r="B117" t="s">
        <v>1982</v>
      </c>
      <c r="C117" t="s">
        <v>1304</v>
      </c>
      <c r="D117" t="s">
        <v>1305</v>
      </c>
      <c r="E117" t="s">
        <v>1306</v>
      </c>
      <c r="G117" t="s">
        <v>1307</v>
      </c>
      <c r="H117">
        <v>5</v>
      </c>
      <c r="I117" t="s">
        <v>1307</v>
      </c>
      <c r="J117" t="s">
        <v>1406</v>
      </c>
      <c r="K117" t="s">
        <v>1309</v>
      </c>
      <c r="L117" t="s">
        <v>1310</v>
      </c>
      <c r="M117" t="s">
        <v>1309</v>
      </c>
      <c r="N117" t="s">
        <v>1309</v>
      </c>
      <c r="O117" t="s">
        <v>1309</v>
      </c>
      <c r="P117" t="s">
        <v>1309</v>
      </c>
      <c r="Q117" t="s">
        <v>1309</v>
      </c>
      <c r="R117" t="s">
        <v>1309</v>
      </c>
      <c r="S117">
        <v>1</v>
      </c>
      <c r="U117" t="s">
        <v>1311</v>
      </c>
      <c r="V117" t="s">
        <v>1312</v>
      </c>
      <c r="W117" t="s">
        <v>1312</v>
      </c>
      <c r="X117" t="s">
        <v>1312</v>
      </c>
      <c r="Y117" t="s">
        <v>1312</v>
      </c>
      <c r="Z117" t="s">
        <v>1312</v>
      </c>
      <c r="AC117">
        <v>3</v>
      </c>
      <c r="AE117">
        <v>20000</v>
      </c>
      <c r="AF117" t="s">
        <v>1351</v>
      </c>
      <c r="AH117" t="s">
        <v>1352</v>
      </c>
      <c r="AJ117" t="s">
        <v>1315</v>
      </c>
      <c r="AL117" t="s">
        <v>1316</v>
      </c>
      <c r="BS117" t="s">
        <v>1307</v>
      </c>
      <c r="CE117" t="s">
        <v>1983</v>
      </c>
      <c r="CF117" t="s">
        <v>1310</v>
      </c>
      <c r="CG117" t="s">
        <v>1309</v>
      </c>
      <c r="CH117" t="s">
        <v>1309</v>
      </c>
      <c r="CI117" t="s">
        <v>1309</v>
      </c>
      <c r="CJ117" t="s">
        <v>1310</v>
      </c>
      <c r="CK117" t="s">
        <v>1309</v>
      </c>
      <c r="CL117" t="s">
        <v>1309</v>
      </c>
      <c r="CM117" t="s">
        <v>1309</v>
      </c>
      <c r="CN117" t="s">
        <v>1310</v>
      </c>
      <c r="CO117" t="s">
        <v>1309</v>
      </c>
      <c r="CP117" t="s">
        <v>1309</v>
      </c>
      <c r="CQ117" t="s">
        <v>1309</v>
      </c>
      <c r="CR117" t="s">
        <v>1309</v>
      </c>
      <c r="CT117" t="s">
        <v>4434</v>
      </c>
      <c r="CV117" t="s">
        <v>1488</v>
      </c>
      <c r="CW117" t="s">
        <v>1309</v>
      </c>
      <c r="CX117" t="s">
        <v>1309</v>
      </c>
      <c r="CY117" t="s">
        <v>1309</v>
      </c>
      <c r="CZ117" t="s">
        <v>1310</v>
      </c>
      <c r="DA117" t="s">
        <v>1310</v>
      </c>
      <c r="DB117" t="s">
        <v>1309</v>
      </c>
      <c r="DC117" t="s">
        <v>1309</v>
      </c>
      <c r="DE117" t="s">
        <v>1358</v>
      </c>
      <c r="DG117">
        <v>2400</v>
      </c>
      <c r="DI117">
        <v>550</v>
      </c>
      <c r="DJ117" t="s">
        <v>1358</v>
      </c>
      <c r="DK117">
        <v>3000</v>
      </c>
      <c r="DM117">
        <v>700</v>
      </c>
      <c r="DN117" t="s">
        <v>1320</v>
      </c>
      <c r="DO117" t="s">
        <v>1310</v>
      </c>
      <c r="DP117" t="s">
        <v>1309</v>
      </c>
      <c r="DQ117" t="s">
        <v>1309</v>
      </c>
      <c r="DR117" t="s">
        <v>1309</v>
      </c>
      <c r="DS117" t="s">
        <v>1309</v>
      </c>
      <c r="DT117" t="s">
        <v>1310</v>
      </c>
      <c r="DU117" t="s">
        <v>1309</v>
      </c>
      <c r="DV117" t="s">
        <v>1309</v>
      </c>
      <c r="DW117" t="s">
        <v>1309</v>
      </c>
      <c r="DY117" t="s">
        <v>1408</v>
      </c>
      <c r="DZ117">
        <v>300</v>
      </c>
      <c r="EA117" t="s">
        <v>1319</v>
      </c>
      <c r="EC117" t="s">
        <v>1984</v>
      </c>
      <c r="ED117">
        <v>1000</v>
      </c>
      <c r="EE117" t="s">
        <v>1319</v>
      </c>
      <c r="EG117" t="s">
        <v>5357</v>
      </c>
      <c r="ET117" t="s">
        <v>1434</v>
      </c>
      <c r="EV117" t="s">
        <v>1319</v>
      </c>
      <c r="EW117" t="s">
        <v>1421</v>
      </c>
      <c r="EX117" t="s">
        <v>1319</v>
      </c>
      <c r="EY117" t="s">
        <v>1319</v>
      </c>
      <c r="EZ117" t="s">
        <v>1319</v>
      </c>
      <c r="FA117" t="s">
        <v>1985</v>
      </c>
      <c r="FB117" t="s">
        <v>1310</v>
      </c>
      <c r="FC117" t="s">
        <v>1309</v>
      </c>
      <c r="FD117" t="s">
        <v>1310</v>
      </c>
      <c r="FE117" t="s">
        <v>1309</v>
      </c>
      <c r="FF117" t="s">
        <v>1310</v>
      </c>
      <c r="FG117" t="s">
        <v>1309</v>
      </c>
      <c r="FH117" t="s">
        <v>1310</v>
      </c>
      <c r="FI117" t="s">
        <v>1310</v>
      </c>
      <c r="FJ117" t="s">
        <v>1309</v>
      </c>
      <c r="FK117" t="s">
        <v>1309</v>
      </c>
      <c r="FL117" t="s">
        <v>1309</v>
      </c>
      <c r="FM117" t="s">
        <v>1310</v>
      </c>
      <c r="FN117" t="s">
        <v>1309</v>
      </c>
      <c r="FO117" t="s">
        <v>1310</v>
      </c>
      <c r="FP117" t="s">
        <v>1309</v>
      </c>
      <c r="FQ117" t="s">
        <v>1309</v>
      </c>
      <c r="FR117" t="s">
        <v>1309</v>
      </c>
      <c r="FT117" t="s">
        <v>1307</v>
      </c>
      <c r="GI117" t="s">
        <v>1448</v>
      </c>
      <c r="GJ117" t="s">
        <v>1448</v>
      </c>
      <c r="GT117" t="s">
        <v>1531</v>
      </c>
      <c r="GU117" t="s">
        <v>1310</v>
      </c>
      <c r="GV117" t="s">
        <v>1310</v>
      </c>
      <c r="GW117" t="s">
        <v>1309</v>
      </c>
      <c r="GX117" t="s">
        <v>1309</v>
      </c>
      <c r="GY117" t="s">
        <v>1309</v>
      </c>
      <c r="GZ117" t="s">
        <v>1309</v>
      </c>
      <c r="HA117" t="s">
        <v>1309</v>
      </c>
      <c r="HB117" t="s">
        <v>1309</v>
      </c>
      <c r="HC117" t="s">
        <v>1309</v>
      </c>
      <c r="HD117" t="s">
        <v>1309</v>
      </c>
      <c r="HE117" t="s">
        <v>1309</v>
      </c>
      <c r="HF117" t="s">
        <v>1309</v>
      </c>
      <c r="HH117" t="s">
        <v>1326</v>
      </c>
      <c r="HI117" t="s">
        <v>1326</v>
      </c>
      <c r="HJ117" t="s">
        <v>1326</v>
      </c>
      <c r="HK117" t="s">
        <v>1327</v>
      </c>
      <c r="HL117" t="s">
        <v>1364</v>
      </c>
      <c r="HM117" t="s">
        <v>1326</v>
      </c>
      <c r="IA117" t="s">
        <v>1319</v>
      </c>
      <c r="IB117" t="s">
        <v>1986</v>
      </c>
      <c r="IC117" t="s">
        <v>1309</v>
      </c>
      <c r="ID117" t="s">
        <v>1310</v>
      </c>
      <c r="IE117" t="s">
        <v>1309</v>
      </c>
      <c r="IF117" t="s">
        <v>1309</v>
      </c>
      <c r="IG117" t="s">
        <v>1310</v>
      </c>
      <c r="IH117" t="s">
        <v>1309</v>
      </c>
      <c r="II117" t="s">
        <v>1310</v>
      </c>
      <c r="IJ117" t="s">
        <v>1309</v>
      </c>
      <c r="IK117" t="s">
        <v>1310</v>
      </c>
      <c r="IL117" t="s">
        <v>1309</v>
      </c>
      <c r="IM117" t="s">
        <v>1309</v>
      </c>
      <c r="IN117" t="s">
        <v>1309</v>
      </c>
      <c r="IO117" t="s">
        <v>1309</v>
      </c>
      <c r="IQ117" t="s">
        <v>1308</v>
      </c>
      <c r="IS117" t="s">
        <v>1316</v>
      </c>
      <c r="JF117" t="s">
        <v>1413</v>
      </c>
      <c r="JG117" t="s">
        <v>1752</v>
      </c>
      <c r="JH117" t="s">
        <v>1310</v>
      </c>
      <c r="JI117" t="s">
        <v>1309</v>
      </c>
      <c r="JJ117" t="s">
        <v>1309</v>
      </c>
      <c r="JK117" t="s">
        <v>1310</v>
      </c>
      <c r="JL117" t="s">
        <v>1310</v>
      </c>
      <c r="JM117" t="s">
        <v>1309</v>
      </c>
      <c r="JN117" t="s">
        <v>1309</v>
      </c>
      <c r="JO117" t="s">
        <v>1309</v>
      </c>
      <c r="JQ117" s="92" t="s">
        <v>1711</v>
      </c>
      <c r="JR117" s="92" t="s">
        <v>1712</v>
      </c>
      <c r="JS117" s="92">
        <v>57</v>
      </c>
      <c r="JT117" s="92" t="s">
        <v>1319</v>
      </c>
      <c r="JU117" s="92" t="s">
        <v>1335</v>
      </c>
      <c r="JV117" s="92" t="s">
        <v>1368</v>
      </c>
      <c r="JW117" s="92" t="s">
        <v>1296</v>
      </c>
      <c r="JX117" s="92" t="s">
        <v>71</v>
      </c>
      <c r="JY117" s="92" t="s">
        <v>5549</v>
      </c>
      <c r="JZ117" s="92" t="s">
        <v>1337</v>
      </c>
      <c r="KA117" s="92" t="s">
        <v>4846</v>
      </c>
      <c r="KB117" s="92" t="s">
        <v>1415</v>
      </c>
      <c r="KC117" s="92" t="s">
        <v>109</v>
      </c>
      <c r="KD117" s="92" t="s">
        <v>4848</v>
      </c>
      <c r="KE117" s="92" t="s">
        <v>1340</v>
      </c>
      <c r="KF117" s="92">
        <v>2950</v>
      </c>
      <c r="KG117" s="92" t="s">
        <v>1340</v>
      </c>
      <c r="KH117" s="92" t="s">
        <v>192</v>
      </c>
      <c r="KI117" s="92" t="s">
        <v>109</v>
      </c>
      <c r="KJ117" s="92" t="s">
        <v>192</v>
      </c>
      <c r="KK117" s="92" t="s">
        <v>109</v>
      </c>
      <c r="KL117" s="92" t="s">
        <v>1425</v>
      </c>
      <c r="KM117" s="92">
        <v>3700</v>
      </c>
      <c r="KN117" s="92" t="s">
        <v>1340</v>
      </c>
      <c r="KO117" s="92" t="s">
        <v>1341</v>
      </c>
      <c r="KP117" s="92" t="s">
        <v>1375</v>
      </c>
      <c r="KQ117" s="92" t="s">
        <v>192</v>
      </c>
      <c r="KR117" s="92">
        <v>10</v>
      </c>
      <c r="KS117" s="92" t="s">
        <v>1343</v>
      </c>
      <c r="KT117" s="92" t="s">
        <v>1344</v>
      </c>
      <c r="KU117" s="92">
        <v>27</v>
      </c>
      <c r="KV117" s="92" t="s">
        <v>1461</v>
      </c>
      <c r="KW117" s="92" t="s">
        <v>1344</v>
      </c>
      <c r="KX117" s="92" t="s">
        <v>1346</v>
      </c>
      <c r="KY117" s="92" t="s">
        <v>1987</v>
      </c>
      <c r="KZ117" s="92" t="s">
        <v>5795</v>
      </c>
      <c r="LA117" s="92" t="s">
        <v>109</v>
      </c>
      <c r="LB117" s="92" t="s">
        <v>109</v>
      </c>
      <c r="LC117" s="92" t="s">
        <v>5566</v>
      </c>
      <c r="LD117" s="92" t="s">
        <v>5566</v>
      </c>
      <c r="LE117" s="92"/>
      <c r="LF117" s="92"/>
    </row>
    <row r="118" spans="1:318" x14ac:dyDescent="0.25">
      <c r="A118" t="s">
        <v>1988</v>
      </c>
      <c r="B118" t="s">
        <v>1989</v>
      </c>
      <c r="C118" t="s">
        <v>1304</v>
      </c>
      <c r="D118" t="s">
        <v>1429</v>
      </c>
      <c r="E118" t="s">
        <v>1306</v>
      </c>
      <c r="G118" t="s">
        <v>1307</v>
      </c>
      <c r="H118">
        <v>4</v>
      </c>
      <c r="I118" t="s">
        <v>1307</v>
      </c>
      <c r="J118" t="s">
        <v>1930</v>
      </c>
      <c r="K118" t="s">
        <v>1309</v>
      </c>
      <c r="L118" t="s">
        <v>1310</v>
      </c>
      <c r="M118" t="s">
        <v>1310</v>
      </c>
      <c r="N118" t="s">
        <v>1309</v>
      </c>
      <c r="O118" t="s">
        <v>1309</v>
      </c>
      <c r="P118" t="s">
        <v>1309</v>
      </c>
      <c r="Q118" t="s">
        <v>1309</v>
      </c>
      <c r="R118" t="s">
        <v>1309</v>
      </c>
      <c r="S118">
        <v>1</v>
      </c>
      <c r="T118">
        <v>1</v>
      </c>
      <c r="U118" t="s">
        <v>1311</v>
      </c>
      <c r="V118" t="s">
        <v>1312</v>
      </c>
      <c r="W118" t="s">
        <v>1311</v>
      </c>
      <c r="X118" t="s">
        <v>1312</v>
      </c>
      <c r="Y118" t="s">
        <v>1312</v>
      </c>
      <c r="Z118" t="s">
        <v>1312</v>
      </c>
      <c r="AC118">
        <v>3</v>
      </c>
      <c r="AD118">
        <v>15000</v>
      </c>
      <c r="AE118">
        <v>9000</v>
      </c>
      <c r="AF118" t="s">
        <v>1351</v>
      </c>
      <c r="AH118" t="s">
        <v>1383</v>
      </c>
      <c r="AJ118" t="s">
        <v>1315</v>
      </c>
      <c r="AL118" t="s">
        <v>1316</v>
      </c>
      <c r="BS118" t="s">
        <v>1307</v>
      </c>
      <c r="CE118" t="s">
        <v>1355</v>
      </c>
      <c r="CF118" t="s">
        <v>1309</v>
      </c>
      <c r="CG118" t="s">
        <v>1309</v>
      </c>
      <c r="CH118" t="s">
        <v>1309</v>
      </c>
      <c r="CI118" t="s">
        <v>1309</v>
      </c>
      <c r="CJ118" t="s">
        <v>1309</v>
      </c>
      <c r="CK118" t="s">
        <v>1309</v>
      </c>
      <c r="CL118" t="s">
        <v>1309</v>
      </c>
      <c r="CM118" t="s">
        <v>1309</v>
      </c>
      <c r="CN118" t="s">
        <v>1310</v>
      </c>
      <c r="CO118" t="s">
        <v>1309</v>
      </c>
      <c r="CP118" t="s">
        <v>1309</v>
      </c>
      <c r="CQ118" t="s">
        <v>1309</v>
      </c>
      <c r="CR118" t="s">
        <v>1309</v>
      </c>
      <c r="CT118" t="s">
        <v>4434</v>
      </c>
      <c r="CV118" t="s">
        <v>1990</v>
      </c>
      <c r="CW118" t="s">
        <v>1309</v>
      </c>
      <c r="CX118" t="s">
        <v>1309</v>
      </c>
      <c r="CY118" t="s">
        <v>1309</v>
      </c>
      <c r="CZ118" t="s">
        <v>1310</v>
      </c>
      <c r="DA118" t="s">
        <v>1310</v>
      </c>
      <c r="DB118" t="s">
        <v>1309</v>
      </c>
      <c r="DC118" t="s">
        <v>1309</v>
      </c>
      <c r="DE118" t="s">
        <v>1358</v>
      </c>
      <c r="DG118">
        <v>4000</v>
      </c>
      <c r="DI118">
        <v>500</v>
      </c>
      <c r="DJ118" t="s">
        <v>1358</v>
      </c>
      <c r="DK118">
        <v>5000</v>
      </c>
      <c r="DM118">
        <v>800</v>
      </c>
      <c r="DN118" t="s">
        <v>1320</v>
      </c>
      <c r="DO118" t="s">
        <v>1310</v>
      </c>
      <c r="DP118" t="s">
        <v>1309</v>
      </c>
      <c r="DQ118" t="s">
        <v>1309</v>
      </c>
      <c r="DR118" t="s">
        <v>1309</v>
      </c>
      <c r="DS118" t="s">
        <v>1309</v>
      </c>
      <c r="DT118" t="s">
        <v>1310</v>
      </c>
      <c r="DU118" t="s">
        <v>1309</v>
      </c>
      <c r="DV118" t="s">
        <v>1309</v>
      </c>
      <c r="DW118" t="s">
        <v>1309</v>
      </c>
      <c r="DY118" t="s">
        <v>1359</v>
      </c>
      <c r="DZ118">
        <v>300</v>
      </c>
      <c r="EA118" t="s">
        <v>1319</v>
      </c>
      <c r="EC118" t="s">
        <v>1991</v>
      </c>
      <c r="ED118">
        <v>500</v>
      </c>
      <c r="EE118" t="s">
        <v>1319</v>
      </c>
      <c r="EG118" t="s">
        <v>5357</v>
      </c>
      <c r="ET118" t="s">
        <v>1307</v>
      </c>
      <c r="EV118" t="s">
        <v>1307</v>
      </c>
      <c r="EX118" t="s">
        <v>1319</v>
      </c>
      <c r="EY118" t="s">
        <v>1307</v>
      </c>
      <c r="EZ118" t="s">
        <v>1307</v>
      </c>
      <c r="FA118" t="s">
        <v>1697</v>
      </c>
      <c r="FB118" t="s">
        <v>1309</v>
      </c>
      <c r="FC118" t="s">
        <v>1309</v>
      </c>
      <c r="FD118" t="s">
        <v>1309</v>
      </c>
      <c r="FE118" t="s">
        <v>1309</v>
      </c>
      <c r="FF118" t="s">
        <v>1309</v>
      </c>
      <c r="FG118" t="s">
        <v>1309</v>
      </c>
      <c r="FH118" t="s">
        <v>1309</v>
      </c>
      <c r="FI118" t="s">
        <v>1310</v>
      </c>
      <c r="FJ118" t="s">
        <v>1309</v>
      </c>
      <c r="FK118" t="s">
        <v>1309</v>
      </c>
      <c r="FL118" t="s">
        <v>1309</v>
      </c>
      <c r="FM118" t="s">
        <v>1309</v>
      </c>
      <c r="FN118" t="s">
        <v>1309</v>
      </c>
      <c r="FO118" t="s">
        <v>1309</v>
      </c>
      <c r="FP118" t="s">
        <v>1309</v>
      </c>
      <c r="FQ118" t="s">
        <v>1309</v>
      </c>
      <c r="FR118" t="s">
        <v>1309</v>
      </c>
      <c r="FT118" t="s">
        <v>1307</v>
      </c>
      <c r="GI118" t="s">
        <v>1324</v>
      </c>
      <c r="GJ118" t="s">
        <v>1324</v>
      </c>
      <c r="GT118" t="s">
        <v>1325</v>
      </c>
      <c r="GU118" t="s">
        <v>1310</v>
      </c>
      <c r="GV118" t="s">
        <v>1309</v>
      </c>
      <c r="GW118" t="s">
        <v>1309</v>
      </c>
      <c r="GX118" t="s">
        <v>1309</v>
      </c>
      <c r="GY118" t="s">
        <v>1309</v>
      </c>
      <c r="GZ118" t="s">
        <v>1309</v>
      </c>
      <c r="HA118" t="s">
        <v>1309</v>
      </c>
      <c r="HB118" t="s">
        <v>1309</v>
      </c>
      <c r="HC118" t="s">
        <v>1309</v>
      </c>
      <c r="HD118" t="s">
        <v>1309</v>
      </c>
      <c r="HE118" t="s">
        <v>1309</v>
      </c>
      <c r="HF118" t="s">
        <v>1309</v>
      </c>
      <c r="HH118" t="s">
        <v>1326</v>
      </c>
      <c r="HI118" t="s">
        <v>1326</v>
      </c>
      <c r="HJ118" t="s">
        <v>1390</v>
      </c>
      <c r="HK118" t="s">
        <v>1327</v>
      </c>
      <c r="HL118" t="s">
        <v>1364</v>
      </c>
      <c r="HM118" t="s">
        <v>1390</v>
      </c>
      <c r="IA118" t="s">
        <v>1414</v>
      </c>
      <c r="IQ118" t="s">
        <v>1330</v>
      </c>
      <c r="IS118" t="s">
        <v>1331</v>
      </c>
      <c r="JF118" t="s">
        <v>1331</v>
      </c>
      <c r="JG118" t="s">
        <v>1414</v>
      </c>
      <c r="JH118" t="s">
        <v>1309</v>
      </c>
      <c r="JI118" t="s">
        <v>1309</v>
      </c>
      <c r="JJ118" t="s">
        <v>1309</v>
      </c>
      <c r="JK118" t="s">
        <v>1309</v>
      </c>
      <c r="JL118" t="s">
        <v>1309</v>
      </c>
      <c r="JM118" t="s">
        <v>1309</v>
      </c>
      <c r="JN118" t="s">
        <v>1310</v>
      </c>
      <c r="JO118" t="s">
        <v>1309</v>
      </c>
      <c r="JQ118" s="92" t="s">
        <v>1711</v>
      </c>
      <c r="JR118" s="92" t="s">
        <v>1712</v>
      </c>
      <c r="JS118" s="92">
        <v>46</v>
      </c>
      <c r="JT118" s="92" t="s">
        <v>1319</v>
      </c>
      <c r="JU118" s="92" t="s">
        <v>1335</v>
      </c>
      <c r="JV118" s="92" t="s">
        <v>1368</v>
      </c>
      <c r="JW118" s="92" t="s">
        <v>1296</v>
      </c>
      <c r="JX118" s="92" t="s">
        <v>71</v>
      </c>
      <c r="JY118" s="92" t="s">
        <v>5549</v>
      </c>
      <c r="JZ118" s="92" t="s">
        <v>1337</v>
      </c>
      <c r="KA118" s="92" t="s">
        <v>4845</v>
      </c>
      <c r="KB118" s="92" t="s">
        <v>1370</v>
      </c>
      <c r="KC118" s="92" t="s">
        <v>109</v>
      </c>
      <c r="KD118" s="92" t="s">
        <v>4848</v>
      </c>
      <c r="KE118" s="92" t="s">
        <v>1371</v>
      </c>
      <c r="KF118" s="92">
        <v>4500</v>
      </c>
      <c r="KG118" s="92" t="s">
        <v>4439</v>
      </c>
      <c r="KH118" s="92" t="s">
        <v>192</v>
      </c>
      <c r="KI118" s="92" t="s">
        <v>109</v>
      </c>
      <c r="KJ118" s="92" t="s">
        <v>192</v>
      </c>
      <c r="KK118" s="92" t="s">
        <v>109</v>
      </c>
      <c r="KL118" s="92" t="s">
        <v>1341</v>
      </c>
      <c r="KM118" s="92">
        <v>5800</v>
      </c>
      <c r="KN118" s="92" t="s">
        <v>4439</v>
      </c>
      <c r="KO118" s="92" t="s">
        <v>1341</v>
      </c>
      <c r="KP118" s="92" t="s">
        <v>1375</v>
      </c>
      <c r="KQ118" s="92" t="s">
        <v>192</v>
      </c>
      <c r="KR118" s="92">
        <v>7</v>
      </c>
      <c r="KS118" s="92" t="s">
        <v>1343</v>
      </c>
      <c r="KT118" s="92" t="s">
        <v>1344</v>
      </c>
      <c r="KU118" s="92">
        <v>9</v>
      </c>
      <c r="KV118" s="92" t="s">
        <v>1345</v>
      </c>
      <c r="KW118" s="92" t="s">
        <v>1344</v>
      </c>
      <c r="KX118" s="92" t="s">
        <v>1376</v>
      </c>
      <c r="KY118" s="92" t="s">
        <v>1347</v>
      </c>
      <c r="KZ118" s="92" t="s">
        <v>5795</v>
      </c>
      <c r="LA118" s="92" t="s">
        <v>109</v>
      </c>
      <c r="LB118" s="92" t="s">
        <v>109</v>
      </c>
      <c r="LC118" s="92" t="s">
        <v>4439</v>
      </c>
      <c r="LD118" s="92" t="s">
        <v>4439</v>
      </c>
      <c r="LE118" s="92" t="s">
        <v>109</v>
      </c>
      <c r="LF118" s="92" t="s">
        <v>109</v>
      </c>
    </row>
    <row r="119" spans="1:318" x14ac:dyDescent="0.25">
      <c r="A119" t="s">
        <v>1992</v>
      </c>
      <c r="B119" t="s">
        <v>1993</v>
      </c>
      <c r="C119" t="s">
        <v>1304</v>
      </c>
      <c r="D119" t="s">
        <v>1305</v>
      </c>
      <c r="E119" t="s">
        <v>1306</v>
      </c>
      <c r="G119" t="s">
        <v>1307</v>
      </c>
      <c r="H119">
        <v>2</v>
      </c>
      <c r="I119" t="s">
        <v>1307</v>
      </c>
      <c r="J119" t="s">
        <v>1308</v>
      </c>
      <c r="K119" t="s">
        <v>1309</v>
      </c>
      <c r="L119" t="s">
        <v>1309</v>
      </c>
      <c r="M119" t="s">
        <v>1309</v>
      </c>
      <c r="N119" t="s">
        <v>1309</v>
      </c>
      <c r="O119" t="s">
        <v>1309</v>
      </c>
      <c r="P119" t="s">
        <v>1309</v>
      </c>
      <c r="Q119" t="s">
        <v>1310</v>
      </c>
      <c r="R119" t="s">
        <v>1309</v>
      </c>
      <c r="U119" t="s">
        <v>1312</v>
      </c>
      <c r="V119" t="s">
        <v>1312</v>
      </c>
      <c r="W119" t="s">
        <v>1312</v>
      </c>
      <c r="X119" t="s">
        <v>1312</v>
      </c>
      <c r="Y119" t="s">
        <v>1312</v>
      </c>
      <c r="Z119" t="s">
        <v>1312</v>
      </c>
      <c r="AC119">
        <v>2</v>
      </c>
      <c r="AD119">
        <v>18000</v>
      </c>
      <c r="AE119">
        <v>15000</v>
      </c>
      <c r="AF119" t="s">
        <v>1351</v>
      </c>
      <c r="AH119" t="s">
        <v>1314</v>
      </c>
      <c r="AJ119" t="s">
        <v>1315</v>
      </c>
      <c r="AL119" t="s">
        <v>1413</v>
      </c>
      <c r="AM119" t="s">
        <v>1994</v>
      </c>
      <c r="AN119" t="s">
        <v>1309</v>
      </c>
      <c r="AO119" t="s">
        <v>1309</v>
      </c>
      <c r="AP119" t="s">
        <v>1310</v>
      </c>
      <c r="AQ119" t="s">
        <v>1310</v>
      </c>
      <c r="AR119" t="s">
        <v>1309</v>
      </c>
      <c r="AS119" t="s">
        <v>1309</v>
      </c>
      <c r="AT119" t="s">
        <v>1309</v>
      </c>
      <c r="AU119" t="s">
        <v>1309</v>
      </c>
      <c r="AV119" t="s">
        <v>1309</v>
      </c>
      <c r="AW119" t="s">
        <v>1309</v>
      </c>
      <c r="AX119" t="s">
        <v>1309</v>
      </c>
      <c r="AY119" t="s">
        <v>1309</v>
      </c>
      <c r="BS119" t="s">
        <v>1319</v>
      </c>
      <c r="BT119" t="s">
        <v>1604</v>
      </c>
      <c r="BU119" t="s">
        <v>1309</v>
      </c>
      <c r="BV119" t="s">
        <v>1309</v>
      </c>
      <c r="BW119" t="s">
        <v>1309</v>
      </c>
      <c r="BX119" t="s">
        <v>1309</v>
      </c>
      <c r="BY119" t="s">
        <v>1310</v>
      </c>
      <c r="BZ119" t="s">
        <v>1309</v>
      </c>
      <c r="CA119" t="s">
        <v>1309</v>
      </c>
      <c r="CB119" t="s">
        <v>1309</v>
      </c>
      <c r="CC119" t="s">
        <v>1309</v>
      </c>
      <c r="CE119" t="s">
        <v>1995</v>
      </c>
      <c r="CF119" t="s">
        <v>1310</v>
      </c>
      <c r="CG119" t="s">
        <v>1309</v>
      </c>
      <c r="CH119" t="s">
        <v>1309</v>
      </c>
      <c r="CI119" t="s">
        <v>1310</v>
      </c>
      <c r="CJ119" t="s">
        <v>1310</v>
      </c>
      <c r="CK119" t="s">
        <v>1309</v>
      </c>
      <c r="CL119" t="s">
        <v>1309</v>
      </c>
      <c r="CM119" t="s">
        <v>1309</v>
      </c>
      <c r="CN119" t="s">
        <v>1310</v>
      </c>
      <c r="CO119" t="s">
        <v>1310</v>
      </c>
      <c r="CP119" t="s">
        <v>1309</v>
      </c>
      <c r="CQ119" t="s">
        <v>1309</v>
      </c>
      <c r="CR119" t="s">
        <v>1309</v>
      </c>
      <c r="CT119" t="s">
        <v>4434</v>
      </c>
      <c r="CV119" t="s">
        <v>1356</v>
      </c>
      <c r="CW119" t="s">
        <v>1309</v>
      </c>
      <c r="CX119" t="s">
        <v>1309</v>
      </c>
      <c r="CY119" t="s">
        <v>1309</v>
      </c>
      <c r="CZ119" t="s">
        <v>1310</v>
      </c>
      <c r="DA119" t="s">
        <v>1309</v>
      </c>
      <c r="DB119" t="s">
        <v>1309</v>
      </c>
      <c r="DC119" t="s">
        <v>1309</v>
      </c>
      <c r="DE119" t="s">
        <v>1358</v>
      </c>
      <c r="DG119">
        <v>900</v>
      </c>
      <c r="DI119">
        <v>300</v>
      </c>
      <c r="DJ119" t="s">
        <v>1358</v>
      </c>
      <c r="DK119">
        <v>1500</v>
      </c>
      <c r="DL119">
        <v>4900</v>
      </c>
      <c r="DM119">
        <v>400</v>
      </c>
      <c r="DN119" t="s">
        <v>1445</v>
      </c>
      <c r="DO119" t="s">
        <v>1310</v>
      </c>
      <c r="DP119" t="s">
        <v>1310</v>
      </c>
      <c r="DQ119" t="s">
        <v>1309</v>
      </c>
      <c r="DR119" t="s">
        <v>1309</v>
      </c>
      <c r="DS119" t="s">
        <v>1309</v>
      </c>
      <c r="DT119" t="s">
        <v>1310</v>
      </c>
      <c r="DU119" t="s">
        <v>1309</v>
      </c>
      <c r="DV119" t="s">
        <v>1309</v>
      </c>
      <c r="DW119" t="s">
        <v>1309</v>
      </c>
      <c r="DY119" t="s">
        <v>1446</v>
      </c>
      <c r="DZ119">
        <v>400</v>
      </c>
      <c r="EA119" t="s">
        <v>1386</v>
      </c>
      <c r="EC119" t="s">
        <v>1387</v>
      </c>
      <c r="ED119">
        <v>800</v>
      </c>
      <c r="EE119" t="s">
        <v>1386</v>
      </c>
      <c r="EG119" t="s">
        <v>5356</v>
      </c>
      <c r="EI119" t="s">
        <v>1307</v>
      </c>
      <c r="ET119" t="s">
        <v>1307</v>
      </c>
      <c r="EV119" t="s">
        <v>1319</v>
      </c>
      <c r="EW119" t="s">
        <v>1409</v>
      </c>
      <c r="EX119" t="s">
        <v>1319</v>
      </c>
      <c r="EY119" t="s">
        <v>1319</v>
      </c>
      <c r="EZ119" t="s">
        <v>1319</v>
      </c>
      <c r="FA119" t="s">
        <v>1996</v>
      </c>
      <c r="FB119" t="s">
        <v>1310</v>
      </c>
      <c r="FC119" t="s">
        <v>1309</v>
      </c>
      <c r="FD119" t="s">
        <v>1310</v>
      </c>
      <c r="FE119" t="s">
        <v>1309</v>
      </c>
      <c r="FF119" t="s">
        <v>1310</v>
      </c>
      <c r="FG119" t="s">
        <v>1309</v>
      </c>
      <c r="FH119" t="s">
        <v>1309</v>
      </c>
      <c r="FI119" t="s">
        <v>1310</v>
      </c>
      <c r="FJ119" t="s">
        <v>1309</v>
      </c>
      <c r="FK119" t="s">
        <v>1309</v>
      </c>
      <c r="FL119" t="s">
        <v>1309</v>
      </c>
      <c r="FM119" t="s">
        <v>1309</v>
      </c>
      <c r="FN119" t="s">
        <v>1309</v>
      </c>
      <c r="FO119" t="s">
        <v>1309</v>
      </c>
      <c r="FP119" t="s">
        <v>1309</v>
      </c>
      <c r="FQ119" t="s">
        <v>1309</v>
      </c>
      <c r="FR119" t="s">
        <v>1309</v>
      </c>
      <c r="FT119" t="s">
        <v>1307</v>
      </c>
      <c r="GI119" t="s">
        <v>1324</v>
      </c>
      <c r="GJ119" t="s">
        <v>1324</v>
      </c>
      <c r="GT119" t="s">
        <v>1325</v>
      </c>
      <c r="GU119" t="s">
        <v>1310</v>
      </c>
      <c r="GV119" t="s">
        <v>1309</v>
      </c>
      <c r="GW119" t="s">
        <v>1309</v>
      </c>
      <c r="GX119" t="s">
        <v>1309</v>
      </c>
      <c r="GY119" t="s">
        <v>1309</v>
      </c>
      <c r="GZ119" t="s">
        <v>1309</v>
      </c>
      <c r="HA119" t="s">
        <v>1309</v>
      </c>
      <c r="HB119" t="s">
        <v>1309</v>
      </c>
      <c r="HC119" t="s">
        <v>1309</v>
      </c>
      <c r="HD119" t="s">
        <v>1309</v>
      </c>
      <c r="HE119" t="s">
        <v>1309</v>
      </c>
      <c r="HF119" t="s">
        <v>1309</v>
      </c>
      <c r="HH119" t="s">
        <v>1326</v>
      </c>
      <c r="HI119" t="s">
        <v>1327</v>
      </c>
      <c r="HJ119" t="s">
        <v>1326</v>
      </c>
      <c r="HK119" t="s">
        <v>1327</v>
      </c>
      <c r="HL119" t="s">
        <v>1364</v>
      </c>
      <c r="HM119" t="s">
        <v>1326</v>
      </c>
      <c r="IA119" t="s">
        <v>1307</v>
      </c>
      <c r="IQ119" t="s">
        <v>1308</v>
      </c>
      <c r="IS119" t="s">
        <v>1316</v>
      </c>
      <c r="JF119" t="s">
        <v>1331</v>
      </c>
      <c r="JG119" t="s">
        <v>1997</v>
      </c>
      <c r="JH119" t="s">
        <v>1309</v>
      </c>
      <c r="JI119" t="s">
        <v>1309</v>
      </c>
      <c r="JJ119" t="s">
        <v>1309</v>
      </c>
      <c r="JK119" t="s">
        <v>1310</v>
      </c>
      <c r="JL119" t="s">
        <v>1310</v>
      </c>
      <c r="JM119" t="s">
        <v>1309</v>
      </c>
      <c r="JN119" t="s">
        <v>1309</v>
      </c>
      <c r="JO119" t="s">
        <v>1309</v>
      </c>
      <c r="JQ119" s="92" t="s">
        <v>1711</v>
      </c>
      <c r="JR119" s="92" t="s">
        <v>1712</v>
      </c>
      <c r="JS119" s="92">
        <v>52</v>
      </c>
      <c r="JT119" s="92" t="s">
        <v>1319</v>
      </c>
      <c r="JU119" s="92" t="s">
        <v>1335</v>
      </c>
      <c r="JV119" s="92" t="s">
        <v>1368</v>
      </c>
      <c r="JW119" s="92" t="s">
        <v>1296</v>
      </c>
      <c r="JX119" s="92" t="s">
        <v>71</v>
      </c>
      <c r="JY119" s="92" t="s">
        <v>5549</v>
      </c>
      <c r="JZ119" s="92" t="s">
        <v>1337</v>
      </c>
      <c r="KA119" s="92" t="s">
        <v>4845</v>
      </c>
      <c r="KB119" s="92" t="s">
        <v>1338</v>
      </c>
      <c r="KC119" s="92" t="s">
        <v>109</v>
      </c>
      <c r="KD119" s="92" t="s">
        <v>4847</v>
      </c>
      <c r="KE119" s="92" t="s">
        <v>1452</v>
      </c>
      <c r="KF119" s="92">
        <v>1200</v>
      </c>
      <c r="KG119" s="92" t="s">
        <v>1372</v>
      </c>
      <c r="KH119" s="92" t="s">
        <v>192</v>
      </c>
      <c r="KI119" s="92" t="s">
        <v>109</v>
      </c>
      <c r="KJ119" s="92" t="s">
        <v>192</v>
      </c>
      <c r="KK119" s="92" t="s">
        <v>192</v>
      </c>
      <c r="KL119" s="92" t="s">
        <v>1440</v>
      </c>
      <c r="KM119" s="92">
        <v>6800</v>
      </c>
      <c r="KN119" s="92" t="s">
        <v>4439</v>
      </c>
      <c r="KO119" s="92" t="s">
        <v>1341</v>
      </c>
      <c r="KP119" s="92" t="s">
        <v>1375</v>
      </c>
      <c r="KQ119" s="92" t="s">
        <v>192</v>
      </c>
      <c r="KR119" s="92">
        <v>33</v>
      </c>
      <c r="KS119" s="92" t="s">
        <v>1343</v>
      </c>
      <c r="KT119" s="92" t="s">
        <v>1402</v>
      </c>
      <c r="KU119" s="92">
        <v>12</v>
      </c>
      <c r="KV119" s="92" t="s">
        <v>1441</v>
      </c>
      <c r="KW119" s="92" t="s">
        <v>1402</v>
      </c>
      <c r="KX119" s="92" t="s">
        <v>1376</v>
      </c>
      <c r="KY119" s="92" t="s">
        <v>1347</v>
      </c>
      <c r="KZ119" s="92" t="s">
        <v>5795</v>
      </c>
      <c r="LA119" s="92" t="s">
        <v>109</v>
      </c>
      <c r="LB119" s="92" t="s">
        <v>109</v>
      </c>
      <c r="LC119" s="92" t="s">
        <v>1372</v>
      </c>
      <c r="LD119" s="92" t="s">
        <v>4439</v>
      </c>
      <c r="LE119" s="92" t="s">
        <v>109</v>
      </c>
      <c r="LF119" s="92" t="s">
        <v>192</v>
      </c>
    </row>
    <row r="120" spans="1:318" x14ac:dyDescent="0.25">
      <c r="A120" t="s">
        <v>1998</v>
      </c>
      <c r="B120" t="s">
        <v>1999</v>
      </c>
      <c r="C120" t="s">
        <v>1304</v>
      </c>
      <c r="D120" t="s">
        <v>1305</v>
      </c>
      <c r="E120" t="s">
        <v>1306</v>
      </c>
      <c r="G120" t="s">
        <v>1307</v>
      </c>
      <c r="H120">
        <v>3</v>
      </c>
      <c r="I120" t="s">
        <v>1307</v>
      </c>
      <c r="J120" t="s">
        <v>1382</v>
      </c>
      <c r="K120" t="s">
        <v>1309</v>
      </c>
      <c r="L120" t="s">
        <v>1310</v>
      </c>
      <c r="M120" t="s">
        <v>1309</v>
      </c>
      <c r="N120" t="s">
        <v>1309</v>
      </c>
      <c r="O120" t="s">
        <v>1309</v>
      </c>
      <c r="P120" t="s">
        <v>1310</v>
      </c>
      <c r="Q120" t="s">
        <v>1309</v>
      </c>
      <c r="R120" t="s">
        <v>1309</v>
      </c>
      <c r="S120">
        <v>2</v>
      </c>
      <c r="U120" t="s">
        <v>1312</v>
      </c>
      <c r="V120" t="s">
        <v>1312</v>
      </c>
      <c r="W120" t="s">
        <v>1312</v>
      </c>
      <c r="X120" t="s">
        <v>1312</v>
      </c>
      <c r="Y120" t="s">
        <v>1312</v>
      </c>
      <c r="Z120" t="s">
        <v>1312</v>
      </c>
      <c r="AC120">
        <v>1</v>
      </c>
      <c r="AD120">
        <v>25000</v>
      </c>
      <c r="AE120">
        <v>10000</v>
      </c>
      <c r="AF120" t="s">
        <v>1313</v>
      </c>
      <c r="AH120" t="s">
        <v>1314</v>
      </c>
      <c r="AJ120" t="s">
        <v>1315</v>
      </c>
      <c r="AL120" t="s">
        <v>1316</v>
      </c>
      <c r="BS120" t="s">
        <v>1307</v>
      </c>
      <c r="CE120" t="s">
        <v>1355</v>
      </c>
      <c r="CF120" t="s">
        <v>1309</v>
      </c>
      <c r="CG120" t="s">
        <v>1309</v>
      </c>
      <c r="CH120" t="s">
        <v>1309</v>
      </c>
      <c r="CI120" t="s">
        <v>1309</v>
      </c>
      <c r="CJ120" t="s">
        <v>1309</v>
      </c>
      <c r="CK120" t="s">
        <v>1309</v>
      </c>
      <c r="CL120" t="s">
        <v>1309</v>
      </c>
      <c r="CM120" t="s">
        <v>1309</v>
      </c>
      <c r="CN120" t="s">
        <v>1310</v>
      </c>
      <c r="CO120" t="s">
        <v>1309</v>
      </c>
      <c r="CP120" t="s">
        <v>1309</v>
      </c>
      <c r="CQ120" t="s">
        <v>1309</v>
      </c>
      <c r="CR120" t="s">
        <v>1309</v>
      </c>
      <c r="CT120" t="s">
        <v>4435</v>
      </c>
      <c r="CV120" t="s">
        <v>1357</v>
      </c>
      <c r="CW120" t="s">
        <v>1309</v>
      </c>
      <c r="CX120" t="s">
        <v>1309</v>
      </c>
      <c r="CY120" t="s">
        <v>1309</v>
      </c>
      <c r="CZ120" t="s">
        <v>1309</v>
      </c>
      <c r="DA120" t="s">
        <v>1310</v>
      </c>
      <c r="DB120" t="s">
        <v>1309</v>
      </c>
      <c r="DC120" t="s">
        <v>1309</v>
      </c>
      <c r="DE120" t="s">
        <v>1358</v>
      </c>
      <c r="DF120" t="s">
        <v>1319</v>
      </c>
      <c r="DG120">
        <v>500</v>
      </c>
      <c r="DH120">
        <v>2500</v>
      </c>
      <c r="DI120">
        <v>400</v>
      </c>
      <c r="DJ120" t="s">
        <v>1358</v>
      </c>
      <c r="DK120">
        <v>800</v>
      </c>
      <c r="DL120">
        <v>3000</v>
      </c>
      <c r="DM120">
        <v>500</v>
      </c>
      <c r="DN120" t="s">
        <v>1432</v>
      </c>
      <c r="DO120" t="s">
        <v>1310</v>
      </c>
      <c r="DP120" t="s">
        <v>1309</v>
      </c>
      <c r="DQ120" t="s">
        <v>1309</v>
      </c>
      <c r="DR120" t="s">
        <v>1310</v>
      </c>
      <c r="DS120" t="s">
        <v>1309</v>
      </c>
      <c r="DT120" t="s">
        <v>1310</v>
      </c>
      <c r="DU120" t="s">
        <v>1309</v>
      </c>
      <c r="DV120" t="s">
        <v>1309</v>
      </c>
      <c r="DW120" t="s">
        <v>1309</v>
      </c>
      <c r="DY120" t="s">
        <v>1408</v>
      </c>
      <c r="DZ120">
        <v>500</v>
      </c>
      <c r="EA120" t="s">
        <v>1319</v>
      </c>
      <c r="EC120" t="s">
        <v>1658</v>
      </c>
      <c r="ED120">
        <v>550</v>
      </c>
      <c r="EE120" t="s">
        <v>1319</v>
      </c>
      <c r="EG120" t="s">
        <v>5357</v>
      </c>
      <c r="ET120" t="s">
        <v>1307</v>
      </c>
      <c r="EV120" t="s">
        <v>1319</v>
      </c>
      <c r="EW120" t="s">
        <v>1409</v>
      </c>
      <c r="EX120" t="s">
        <v>1307</v>
      </c>
      <c r="EY120" t="s">
        <v>1307</v>
      </c>
      <c r="FT120" t="s">
        <v>1307</v>
      </c>
      <c r="GI120" t="s">
        <v>1324</v>
      </c>
      <c r="GJ120" t="s">
        <v>1324</v>
      </c>
      <c r="GT120" t="s">
        <v>1325</v>
      </c>
      <c r="GU120" t="s">
        <v>1310</v>
      </c>
      <c r="GV120" t="s">
        <v>1309</v>
      </c>
      <c r="GW120" t="s">
        <v>1309</v>
      </c>
      <c r="GX120" t="s">
        <v>1309</v>
      </c>
      <c r="GY120" t="s">
        <v>1309</v>
      </c>
      <c r="GZ120" t="s">
        <v>1309</v>
      </c>
      <c r="HA120" t="s">
        <v>1309</v>
      </c>
      <c r="HB120" t="s">
        <v>1309</v>
      </c>
      <c r="HC120" t="s">
        <v>1309</v>
      </c>
      <c r="HD120" t="s">
        <v>1309</v>
      </c>
      <c r="HE120" t="s">
        <v>1309</v>
      </c>
      <c r="HF120" t="s">
        <v>1309</v>
      </c>
      <c r="HH120" t="s">
        <v>1326</v>
      </c>
      <c r="HI120" t="s">
        <v>1326</v>
      </c>
      <c r="HJ120" t="s">
        <v>1326</v>
      </c>
      <c r="HK120" t="s">
        <v>1327</v>
      </c>
      <c r="HL120" t="s">
        <v>1328</v>
      </c>
      <c r="HM120" t="s">
        <v>1326</v>
      </c>
      <c r="HN120" t="s">
        <v>1329</v>
      </c>
      <c r="HO120" t="s">
        <v>1309</v>
      </c>
      <c r="HP120" t="s">
        <v>1309</v>
      </c>
      <c r="HQ120" t="s">
        <v>1309</v>
      </c>
      <c r="HR120" t="s">
        <v>1310</v>
      </c>
      <c r="HS120" t="s">
        <v>1309</v>
      </c>
      <c r="HT120" t="s">
        <v>1309</v>
      </c>
      <c r="HU120" t="s">
        <v>1309</v>
      </c>
      <c r="HV120" t="s">
        <v>1309</v>
      </c>
      <c r="HW120" t="s">
        <v>1309</v>
      </c>
      <c r="HX120" t="s">
        <v>1309</v>
      </c>
      <c r="HY120" t="s">
        <v>1309</v>
      </c>
      <c r="IA120" t="s">
        <v>1307</v>
      </c>
      <c r="IQ120" t="s">
        <v>1365</v>
      </c>
      <c r="IS120" t="s">
        <v>1331</v>
      </c>
      <c r="JF120" t="s">
        <v>1331</v>
      </c>
      <c r="JG120" t="s">
        <v>1414</v>
      </c>
      <c r="JH120" t="s">
        <v>1309</v>
      </c>
      <c r="JI120" t="s">
        <v>1309</v>
      </c>
      <c r="JJ120" t="s">
        <v>1309</v>
      </c>
      <c r="JK120" t="s">
        <v>1309</v>
      </c>
      <c r="JL120" t="s">
        <v>1309</v>
      </c>
      <c r="JM120" t="s">
        <v>1309</v>
      </c>
      <c r="JN120" t="s">
        <v>1310</v>
      </c>
      <c r="JO120" t="s">
        <v>1309</v>
      </c>
      <c r="JQ120" s="92" t="s">
        <v>1711</v>
      </c>
      <c r="JR120" s="92" t="s">
        <v>1712</v>
      </c>
      <c r="JS120" s="92">
        <v>35</v>
      </c>
      <c r="JT120" s="92" t="s">
        <v>1319</v>
      </c>
      <c r="JU120" s="92" t="s">
        <v>1335</v>
      </c>
      <c r="JV120" s="92" t="s">
        <v>1368</v>
      </c>
      <c r="JW120" s="92" t="s">
        <v>1296</v>
      </c>
      <c r="JX120" s="92" t="s">
        <v>71</v>
      </c>
      <c r="JY120" s="92" t="s">
        <v>5549</v>
      </c>
      <c r="JZ120" s="92" t="s">
        <v>1337</v>
      </c>
      <c r="KA120" s="92" t="s">
        <v>4845</v>
      </c>
      <c r="KB120" s="92" t="s">
        <v>1399</v>
      </c>
      <c r="KC120" s="92" t="s">
        <v>109</v>
      </c>
      <c r="KD120" s="92" t="s">
        <v>4844</v>
      </c>
      <c r="KE120" s="92" t="s">
        <v>1416</v>
      </c>
      <c r="KF120" s="92">
        <v>3400</v>
      </c>
      <c r="KG120" s="92" t="s">
        <v>4438</v>
      </c>
      <c r="KH120" s="92" t="s">
        <v>192</v>
      </c>
      <c r="KI120" s="92" t="s">
        <v>192</v>
      </c>
      <c r="KJ120" s="92" t="s">
        <v>192</v>
      </c>
      <c r="KK120" s="92" t="s">
        <v>192</v>
      </c>
      <c r="KL120" s="92" t="s">
        <v>1341</v>
      </c>
      <c r="KM120" s="92">
        <v>4300</v>
      </c>
      <c r="KN120" s="92" t="s">
        <v>4438</v>
      </c>
      <c r="KO120" s="92" t="s">
        <v>1341</v>
      </c>
      <c r="KP120" s="92" t="s">
        <v>1375</v>
      </c>
      <c r="KQ120" s="92" t="s">
        <v>192</v>
      </c>
      <c r="KR120" s="92">
        <v>15</v>
      </c>
      <c r="KS120" s="92" t="s">
        <v>1345</v>
      </c>
      <c r="KT120" s="92" t="s">
        <v>1344</v>
      </c>
      <c r="KU120" s="92">
        <v>13</v>
      </c>
      <c r="KV120" s="92" t="s">
        <v>1345</v>
      </c>
      <c r="KW120" s="92" t="s">
        <v>1344</v>
      </c>
      <c r="KX120" s="92" t="s">
        <v>1346</v>
      </c>
      <c r="KY120" s="92" t="s">
        <v>1347</v>
      </c>
      <c r="KZ120" s="92" t="s">
        <v>5795</v>
      </c>
      <c r="LA120" s="92" t="s">
        <v>109</v>
      </c>
      <c r="LB120" s="92" t="s">
        <v>109</v>
      </c>
      <c r="LC120" s="92" t="s">
        <v>4438</v>
      </c>
      <c r="LD120" s="92" t="s">
        <v>4439</v>
      </c>
      <c r="LE120" s="92" t="s">
        <v>109</v>
      </c>
      <c r="LF120" s="92" t="s">
        <v>109</v>
      </c>
    </row>
    <row r="121" spans="1:318" x14ac:dyDescent="0.25">
      <c r="A121" t="s">
        <v>2000</v>
      </c>
      <c r="B121" t="s">
        <v>2001</v>
      </c>
      <c r="C121" t="s">
        <v>1304</v>
      </c>
      <c r="D121" t="s">
        <v>1305</v>
      </c>
      <c r="E121" t="s">
        <v>1381</v>
      </c>
      <c r="G121" t="s">
        <v>1319</v>
      </c>
      <c r="H121">
        <v>2</v>
      </c>
      <c r="I121" t="s">
        <v>1358</v>
      </c>
      <c r="J121" t="s">
        <v>1614</v>
      </c>
      <c r="K121" t="s">
        <v>1309</v>
      </c>
      <c r="L121" t="s">
        <v>1310</v>
      </c>
      <c r="M121" t="s">
        <v>1310</v>
      </c>
      <c r="N121" t="s">
        <v>1309</v>
      </c>
      <c r="O121" t="s">
        <v>1310</v>
      </c>
      <c r="P121" t="s">
        <v>1309</v>
      </c>
      <c r="Q121" t="s">
        <v>1309</v>
      </c>
      <c r="R121" t="s">
        <v>1309</v>
      </c>
      <c r="S121">
        <v>1</v>
      </c>
      <c r="T121">
        <v>1</v>
      </c>
      <c r="U121" t="s">
        <v>1312</v>
      </c>
      <c r="V121" t="s">
        <v>1312</v>
      </c>
      <c r="W121" t="s">
        <v>1312</v>
      </c>
      <c r="X121" t="s">
        <v>1312</v>
      </c>
      <c r="Y121" t="s">
        <v>1312</v>
      </c>
      <c r="Z121" t="s">
        <v>1312</v>
      </c>
      <c r="AC121">
        <v>1</v>
      </c>
      <c r="AD121">
        <v>5000</v>
      </c>
      <c r="AE121">
        <v>2500</v>
      </c>
      <c r="AF121" t="s">
        <v>1313</v>
      </c>
      <c r="AH121" t="s">
        <v>1383</v>
      </c>
      <c r="AJ121" t="s">
        <v>1315</v>
      </c>
      <c r="AL121" t="s">
        <v>1316</v>
      </c>
      <c r="BS121" t="s">
        <v>1307</v>
      </c>
      <c r="CE121" t="s">
        <v>1414</v>
      </c>
      <c r="CF121" t="s">
        <v>1309</v>
      </c>
      <c r="CG121" t="s">
        <v>1309</v>
      </c>
      <c r="CH121" t="s">
        <v>1309</v>
      </c>
      <c r="CI121" t="s">
        <v>1309</v>
      </c>
      <c r="CJ121" t="s">
        <v>1309</v>
      </c>
      <c r="CK121" t="s">
        <v>1309</v>
      </c>
      <c r="CL121" t="s">
        <v>1309</v>
      </c>
      <c r="CM121" t="s">
        <v>1309</v>
      </c>
      <c r="CN121" t="s">
        <v>1309</v>
      </c>
      <c r="CO121" t="s">
        <v>1309</v>
      </c>
      <c r="CP121" t="s">
        <v>1309</v>
      </c>
      <c r="CQ121" t="s">
        <v>1310</v>
      </c>
      <c r="CR121" t="s">
        <v>1309</v>
      </c>
      <c r="CT121" t="s">
        <v>4434</v>
      </c>
      <c r="CV121" t="s">
        <v>1357</v>
      </c>
      <c r="CW121" t="s">
        <v>1309</v>
      </c>
      <c r="CX121" t="s">
        <v>1309</v>
      </c>
      <c r="CY121" t="s">
        <v>1309</v>
      </c>
      <c r="CZ121" t="s">
        <v>1309</v>
      </c>
      <c r="DA121" t="s">
        <v>1310</v>
      </c>
      <c r="DB121" t="s">
        <v>1309</v>
      </c>
      <c r="DC121" t="s">
        <v>1309</v>
      </c>
      <c r="DE121" t="s">
        <v>1358</v>
      </c>
      <c r="DG121">
        <v>1500</v>
      </c>
      <c r="DI121">
        <v>400</v>
      </c>
      <c r="DJ121" t="s">
        <v>1358</v>
      </c>
      <c r="DK121">
        <v>2000</v>
      </c>
      <c r="DM121">
        <v>500</v>
      </c>
      <c r="DN121" t="s">
        <v>1521</v>
      </c>
      <c r="DO121" t="s">
        <v>1309</v>
      </c>
      <c r="DP121" t="s">
        <v>1310</v>
      </c>
      <c r="DQ121" t="s">
        <v>1309</v>
      </c>
      <c r="DR121" t="s">
        <v>1309</v>
      </c>
      <c r="DS121" t="s">
        <v>1309</v>
      </c>
      <c r="DT121" t="s">
        <v>1310</v>
      </c>
      <c r="DU121" t="s">
        <v>1309</v>
      </c>
      <c r="DV121" t="s">
        <v>1309</v>
      </c>
      <c r="DW121" t="s">
        <v>1309</v>
      </c>
      <c r="DY121" t="s">
        <v>1456</v>
      </c>
      <c r="DZ121">
        <v>800</v>
      </c>
      <c r="EA121" t="s">
        <v>1319</v>
      </c>
      <c r="EC121" t="s">
        <v>1360</v>
      </c>
      <c r="ED121">
        <v>1000</v>
      </c>
      <c r="EE121" t="s">
        <v>1319</v>
      </c>
      <c r="EG121" t="s">
        <v>5356</v>
      </c>
      <c r="EI121" t="s">
        <v>1307</v>
      </c>
      <c r="ET121" t="s">
        <v>1307</v>
      </c>
      <c r="EV121" t="s">
        <v>1307</v>
      </c>
      <c r="EX121" t="s">
        <v>1319</v>
      </c>
      <c r="EY121" t="s">
        <v>1319</v>
      </c>
      <c r="FA121" t="s">
        <v>2002</v>
      </c>
      <c r="FB121" t="s">
        <v>1309</v>
      </c>
      <c r="FC121" t="s">
        <v>1309</v>
      </c>
      <c r="FD121" t="s">
        <v>1310</v>
      </c>
      <c r="FE121" t="s">
        <v>1310</v>
      </c>
      <c r="FF121" t="s">
        <v>1309</v>
      </c>
      <c r="FG121" t="s">
        <v>1309</v>
      </c>
      <c r="FH121" t="s">
        <v>1309</v>
      </c>
      <c r="FI121" t="s">
        <v>1310</v>
      </c>
      <c r="FJ121" t="s">
        <v>1309</v>
      </c>
      <c r="FK121" t="s">
        <v>1309</v>
      </c>
      <c r="FL121" t="s">
        <v>1309</v>
      </c>
      <c r="FM121" t="s">
        <v>1309</v>
      </c>
      <c r="FN121" t="s">
        <v>1309</v>
      </c>
      <c r="FO121" t="s">
        <v>1309</v>
      </c>
      <c r="FP121" t="s">
        <v>1309</v>
      </c>
      <c r="FQ121" t="s">
        <v>1309</v>
      </c>
      <c r="FR121" t="s">
        <v>1309</v>
      </c>
      <c r="FT121" t="s">
        <v>1319</v>
      </c>
      <c r="FU121" t="s">
        <v>1389</v>
      </c>
      <c r="FV121" t="s">
        <v>1310</v>
      </c>
      <c r="FW121" t="s">
        <v>1310</v>
      </c>
      <c r="FX121" t="s">
        <v>1309</v>
      </c>
      <c r="FY121" t="s">
        <v>1309</v>
      </c>
      <c r="FZ121" t="s">
        <v>1309</v>
      </c>
      <c r="GA121" t="s">
        <v>1310</v>
      </c>
      <c r="GB121" t="s">
        <v>1309</v>
      </c>
      <c r="GC121" t="s">
        <v>1309</v>
      </c>
      <c r="GD121" t="s">
        <v>1309</v>
      </c>
      <c r="GE121" t="s">
        <v>1309</v>
      </c>
      <c r="GF121" t="s">
        <v>1309</v>
      </c>
      <c r="GG121" t="s">
        <v>1309</v>
      </c>
      <c r="GI121" t="s">
        <v>1436</v>
      </c>
      <c r="GJ121" t="s">
        <v>1436</v>
      </c>
      <c r="GK121" t="s">
        <v>1307</v>
      </c>
      <c r="GT121" t="s">
        <v>1325</v>
      </c>
      <c r="GU121" t="s">
        <v>1310</v>
      </c>
      <c r="GV121" t="s">
        <v>1309</v>
      </c>
      <c r="GW121" t="s">
        <v>1309</v>
      </c>
      <c r="GX121" t="s">
        <v>1309</v>
      </c>
      <c r="GY121" t="s">
        <v>1309</v>
      </c>
      <c r="GZ121" t="s">
        <v>1309</v>
      </c>
      <c r="HA121" t="s">
        <v>1309</v>
      </c>
      <c r="HB121" t="s">
        <v>1309</v>
      </c>
      <c r="HC121" t="s">
        <v>1309</v>
      </c>
      <c r="HD121" t="s">
        <v>1309</v>
      </c>
      <c r="HE121" t="s">
        <v>1309</v>
      </c>
      <c r="HF121" t="s">
        <v>1309</v>
      </c>
      <c r="HH121" t="s">
        <v>1363</v>
      </c>
      <c r="HI121" t="s">
        <v>1363</v>
      </c>
      <c r="HJ121" t="s">
        <v>1363</v>
      </c>
      <c r="HK121" t="s">
        <v>1327</v>
      </c>
      <c r="HL121" t="s">
        <v>1364</v>
      </c>
      <c r="HM121" t="s">
        <v>1363</v>
      </c>
      <c r="IA121" t="s">
        <v>1307</v>
      </c>
      <c r="IQ121" t="s">
        <v>1330</v>
      </c>
      <c r="IS121" t="s">
        <v>1354</v>
      </c>
      <c r="JF121" t="s">
        <v>1354</v>
      </c>
      <c r="JG121" t="s">
        <v>1414</v>
      </c>
      <c r="JH121" t="s">
        <v>1309</v>
      </c>
      <c r="JI121" t="s">
        <v>1309</v>
      </c>
      <c r="JJ121" t="s">
        <v>1309</v>
      </c>
      <c r="JK121" t="s">
        <v>1309</v>
      </c>
      <c r="JL121" t="s">
        <v>1309</v>
      </c>
      <c r="JM121" t="s">
        <v>1309</v>
      </c>
      <c r="JN121" t="s">
        <v>1310</v>
      </c>
      <c r="JO121" t="s">
        <v>1309</v>
      </c>
      <c r="JQ121" s="92" t="s">
        <v>1394</v>
      </c>
      <c r="JR121" s="92" t="s">
        <v>1496</v>
      </c>
      <c r="JS121" s="92">
        <v>61</v>
      </c>
      <c r="JT121" s="92" t="s">
        <v>1319</v>
      </c>
      <c r="JU121" s="92" t="s">
        <v>1396</v>
      </c>
      <c r="JV121" s="92" t="s">
        <v>1336</v>
      </c>
      <c r="JW121" s="92" t="s">
        <v>1296</v>
      </c>
      <c r="JX121" s="92" t="s">
        <v>71</v>
      </c>
      <c r="JY121" s="92" t="s">
        <v>1397</v>
      </c>
      <c r="JZ121" s="92" t="s">
        <v>1369</v>
      </c>
      <c r="KA121" s="92" t="s">
        <v>4845</v>
      </c>
      <c r="KB121" s="92" t="s">
        <v>5476</v>
      </c>
      <c r="KC121" s="92" t="s">
        <v>109</v>
      </c>
      <c r="KD121" s="92" t="s">
        <v>4844</v>
      </c>
      <c r="KE121" s="92" t="s">
        <v>5560</v>
      </c>
      <c r="KF121" s="92">
        <v>1900</v>
      </c>
      <c r="KG121" s="92" t="s">
        <v>4439</v>
      </c>
      <c r="KH121" s="92" t="s">
        <v>192</v>
      </c>
      <c r="KI121" s="92" t="s">
        <v>109</v>
      </c>
      <c r="KJ121" s="92" t="s">
        <v>192</v>
      </c>
      <c r="KK121" s="92" t="s">
        <v>109</v>
      </c>
      <c r="KL121" s="92" t="s">
        <v>1440</v>
      </c>
      <c r="KM121" s="92">
        <v>2500</v>
      </c>
      <c r="KN121" s="92" t="s">
        <v>4439</v>
      </c>
      <c r="KO121" s="92" t="s">
        <v>1425</v>
      </c>
      <c r="KP121" s="92" t="s">
        <v>1375</v>
      </c>
      <c r="KQ121" s="92" t="s">
        <v>192</v>
      </c>
      <c r="KR121" s="92">
        <v>42</v>
      </c>
      <c r="KS121" s="92" t="s">
        <v>1466</v>
      </c>
      <c r="KT121" s="92" t="s">
        <v>1344</v>
      </c>
      <c r="KU121" s="92">
        <v>40</v>
      </c>
      <c r="KV121" s="92" t="s">
        <v>1461</v>
      </c>
      <c r="KW121" s="92" t="s">
        <v>1344</v>
      </c>
      <c r="KX121" s="92" t="s">
        <v>1376</v>
      </c>
      <c r="KY121" s="92" t="s">
        <v>1377</v>
      </c>
      <c r="KZ121" s="92" t="s">
        <v>1403</v>
      </c>
      <c r="LA121" s="92" t="s">
        <v>109</v>
      </c>
      <c r="LB121" s="92" t="s">
        <v>109</v>
      </c>
      <c r="LC121" s="92" t="s">
        <v>4439</v>
      </c>
      <c r="LD121" s="92" t="s">
        <v>4439</v>
      </c>
      <c r="LE121" s="92" t="s">
        <v>109</v>
      </c>
      <c r="LF121" s="92" t="s">
        <v>109</v>
      </c>
    </row>
    <row r="122" spans="1:318" x14ac:dyDescent="0.25">
      <c r="A122" t="s">
        <v>2003</v>
      </c>
      <c r="B122" t="s">
        <v>2004</v>
      </c>
      <c r="C122" t="s">
        <v>1304</v>
      </c>
      <c r="D122" t="s">
        <v>1305</v>
      </c>
      <c r="E122" t="s">
        <v>1381</v>
      </c>
      <c r="G122" t="s">
        <v>1319</v>
      </c>
      <c r="H122">
        <v>4</v>
      </c>
      <c r="I122" t="s">
        <v>1358</v>
      </c>
      <c r="J122" t="s">
        <v>1663</v>
      </c>
      <c r="K122" t="s">
        <v>1309</v>
      </c>
      <c r="L122" t="s">
        <v>1310</v>
      </c>
      <c r="M122" t="s">
        <v>1310</v>
      </c>
      <c r="N122" t="s">
        <v>1309</v>
      </c>
      <c r="O122" t="s">
        <v>1309</v>
      </c>
      <c r="P122" t="s">
        <v>1309</v>
      </c>
      <c r="Q122" t="s">
        <v>1309</v>
      </c>
      <c r="R122" t="s">
        <v>1309</v>
      </c>
      <c r="S122">
        <v>2</v>
      </c>
      <c r="T122">
        <v>1</v>
      </c>
      <c r="U122" t="s">
        <v>1311</v>
      </c>
      <c r="V122" t="s">
        <v>1312</v>
      </c>
      <c r="W122" t="s">
        <v>1311</v>
      </c>
      <c r="X122" t="s">
        <v>1311</v>
      </c>
      <c r="Y122" t="s">
        <v>1312</v>
      </c>
      <c r="Z122" t="s">
        <v>1312</v>
      </c>
      <c r="AC122">
        <v>4</v>
      </c>
      <c r="AD122">
        <v>11000</v>
      </c>
      <c r="AE122">
        <v>14000</v>
      </c>
      <c r="AF122" t="s">
        <v>1313</v>
      </c>
      <c r="AH122" t="s">
        <v>1383</v>
      </c>
      <c r="AJ122" t="s">
        <v>1315</v>
      </c>
      <c r="AL122" t="s">
        <v>1316</v>
      </c>
      <c r="BS122" t="s">
        <v>1307</v>
      </c>
      <c r="CE122" t="s">
        <v>1983</v>
      </c>
      <c r="CF122" t="s">
        <v>1310</v>
      </c>
      <c r="CG122" t="s">
        <v>1309</v>
      </c>
      <c r="CH122" t="s">
        <v>1309</v>
      </c>
      <c r="CI122" t="s">
        <v>1309</v>
      </c>
      <c r="CJ122" t="s">
        <v>1310</v>
      </c>
      <c r="CK122" t="s">
        <v>1309</v>
      </c>
      <c r="CL122" t="s">
        <v>1309</v>
      </c>
      <c r="CM122" t="s">
        <v>1309</v>
      </c>
      <c r="CN122" t="s">
        <v>1310</v>
      </c>
      <c r="CO122" t="s">
        <v>1309</v>
      </c>
      <c r="CP122" t="s">
        <v>1309</v>
      </c>
      <c r="CQ122" t="s">
        <v>1309</v>
      </c>
      <c r="CR122" t="s">
        <v>1309</v>
      </c>
      <c r="CT122" t="s">
        <v>4435</v>
      </c>
      <c r="CV122" t="s">
        <v>1308</v>
      </c>
      <c r="CW122" t="s">
        <v>1310</v>
      </c>
      <c r="CX122" t="s">
        <v>1309</v>
      </c>
      <c r="CY122" t="s">
        <v>1309</v>
      </c>
      <c r="CZ122" t="s">
        <v>1309</v>
      </c>
      <c r="DA122" t="s">
        <v>1309</v>
      </c>
      <c r="DB122" t="s">
        <v>1309</v>
      </c>
      <c r="DC122" t="s">
        <v>1309</v>
      </c>
      <c r="DE122" t="s">
        <v>1358</v>
      </c>
      <c r="DF122" t="s">
        <v>1319</v>
      </c>
      <c r="DG122">
        <v>200</v>
      </c>
      <c r="DH122">
        <v>2500</v>
      </c>
      <c r="DI122">
        <v>200</v>
      </c>
      <c r="DJ122" t="s">
        <v>1358</v>
      </c>
      <c r="DK122">
        <v>200</v>
      </c>
      <c r="DL122">
        <v>3000</v>
      </c>
      <c r="DM122">
        <v>200</v>
      </c>
      <c r="DN122" t="s">
        <v>1584</v>
      </c>
      <c r="DO122" t="s">
        <v>1310</v>
      </c>
      <c r="DP122" t="s">
        <v>1309</v>
      </c>
      <c r="DQ122" t="s">
        <v>1309</v>
      </c>
      <c r="DR122" t="s">
        <v>1309</v>
      </c>
      <c r="DS122" t="s">
        <v>1310</v>
      </c>
      <c r="DT122" t="s">
        <v>1310</v>
      </c>
      <c r="DU122" t="s">
        <v>1309</v>
      </c>
      <c r="DV122" t="s">
        <v>1309</v>
      </c>
      <c r="DW122" t="s">
        <v>1309</v>
      </c>
      <c r="DY122" t="s">
        <v>1490</v>
      </c>
      <c r="DZ122">
        <v>610</v>
      </c>
      <c r="EA122" t="s">
        <v>1386</v>
      </c>
      <c r="EC122" t="s">
        <v>1738</v>
      </c>
      <c r="ED122">
        <v>800</v>
      </c>
      <c r="EE122" t="s">
        <v>1386</v>
      </c>
      <c r="EG122" t="s">
        <v>5356</v>
      </c>
      <c r="EI122" t="s">
        <v>1307</v>
      </c>
      <c r="ET122" t="s">
        <v>1434</v>
      </c>
      <c r="EV122" t="s">
        <v>1319</v>
      </c>
      <c r="EW122" t="s">
        <v>1421</v>
      </c>
      <c r="EX122" t="s">
        <v>1319</v>
      </c>
      <c r="EY122" t="s">
        <v>1319</v>
      </c>
      <c r="FA122" t="s">
        <v>2005</v>
      </c>
      <c r="FB122" t="s">
        <v>1309</v>
      </c>
      <c r="FC122" t="s">
        <v>1309</v>
      </c>
      <c r="FD122" t="s">
        <v>1309</v>
      </c>
      <c r="FE122" t="s">
        <v>1309</v>
      </c>
      <c r="FF122" t="s">
        <v>1309</v>
      </c>
      <c r="FG122" t="s">
        <v>1309</v>
      </c>
      <c r="FH122" t="s">
        <v>1309</v>
      </c>
      <c r="FI122" t="s">
        <v>1310</v>
      </c>
      <c r="FJ122" t="s">
        <v>1310</v>
      </c>
      <c r="FK122" t="s">
        <v>1310</v>
      </c>
      <c r="FL122" t="s">
        <v>1309</v>
      </c>
      <c r="FM122" t="s">
        <v>1309</v>
      </c>
      <c r="FN122" t="s">
        <v>1310</v>
      </c>
      <c r="FO122" t="s">
        <v>1309</v>
      </c>
      <c r="FP122" t="s">
        <v>1309</v>
      </c>
      <c r="FQ122" t="s">
        <v>1309</v>
      </c>
      <c r="FR122" t="s">
        <v>1309</v>
      </c>
      <c r="FT122" t="s">
        <v>1319</v>
      </c>
      <c r="FU122" t="s">
        <v>1435</v>
      </c>
      <c r="FV122" t="s">
        <v>1310</v>
      </c>
      <c r="FW122" t="s">
        <v>1309</v>
      </c>
      <c r="FX122" t="s">
        <v>1309</v>
      </c>
      <c r="FY122" t="s">
        <v>1309</v>
      </c>
      <c r="FZ122" t="s">
        <v>1309</v>
      </c>
      <c r="GA122" t="s">
        <v>1309</v>
      </c>
      <c r="GB122" t="s">
        <v>1309</v>
      </c>
      <c r="GC122" t="s">
        <v>1309</v>
      </c>
      <c r="GD122" t="s">
        <v>1309</v>
      </c>
      <c r="GE122" t="s">
        <v>1309</v>
      </c>
      <c r="GF122" t="s">
        <v>1309</v>
      </c>
      <c r="GG122" t="s">
        <v>1309</v>
      </c>
      <c r="GI122" t="s">
        <v>1436</v>
      </c>
      <c r="GJ122" t="s">
        <v>1436</v>
      </c>
      <c r="GK122" t="s">
        <v>1307</v>
      </c>
      <c r="GT122" t="s">
        <v>1325</v>
      </c>
      <c r="GU122" t="s">
        <v>1310</v>
      </c>
      <c r="GV122" t="s">
        <v>1309</v>
      </c>
      <c r="GW122" t="s">
        <v>1309</v>
      </c>
      <c r="GX122" t="s">
        <v>1309</v>
      </c>
      <c r="GY122" t="s">
        <v>1309</v>
      </c>
      <c r="GZ122" t="s">
        <v>1309</v>
      </c>
      <c r="HA122" t="s">
        <v>1309</v>
      </c>
      <c r="HB122" t="s">
        <v>1309</v>
      </c>
      <c r="HC122" t="s">
        <v>1309</v>
      </c>
      <c r="HD122" t="s">
        <v>1309</v>
      </c>
      <c r="HE122" t="s">
        <v>1309</v>
      </c>
      <c r="HF122" t="s">
        <v>1309</v>
      </c>
      <c r="HH122" t="s">
        <v>1390</v>
      </c>
      <c r="HI122" t="s">
        <v>1390</v>
      </c>
      <c r="HJ122" t="s">
        <v>1390</v>
      </c>
      <c r="HK122" t="s">
        <v>1327</v>
      </c>
      <c r="HL122" t="s">
        <v>1437</v>
      </c>
      <c r="HM122" t="s">
        <v>1390</v>
      </c>
      <c r="HN122" t="s">
        <v>1435</v>
      </c>
      <c r="HO122" t="s">
        <v>1309</v>
      </c>
      <c r="HP122" t="s">
        <v>1310</v>
      </c>
      <c r="HQ122" t="s">
        <v>1309</v>
      </c>
      <c r="HR122" t="s">
        <v>1309</v>
      </c>
      <c r="HS122" t="s">
        <v>1309</v>
      </c>
      <c r="HT122" t="s">
        <v>1309</v>
      </c>
      <c r="HU122" t="s">
        <v>1309</v>
      </c>
      <c r="HV122" t="s">
        <v>1309</v>
      </c>
      <c r="HW122" t="s">
        <v>1309</v>
      </c>
      <c r="HX122" t="s">
        <v>1309</v>
      </c>
      <c r="HY122" t="s">
        <v>1309</v>
      </c>
      <c r="IA122" t="s">
        <v>1319</v>
      </c>
      <c r="IB122" t="s">
        <v>1423</v>
      </c>
      <c r="IC122" t="s">
        <v>1309</v>
      </c>
      <c r="ID122" t="s">
        <v>1309</v>
      </c>
      <c r="IE122" t="s">
        <v>1309</v>
      </c>
      <c r="IF122" t="s">
        <v>1309</v>
      </c>
      <c r="IG122" t="s">
        <v>1310</v>
      </c>
      <c r="IH122" t="s">
        <v>1309</v>
      </c>
      <c r="II122" t="s">
        <v>1309</v>
      </c>
      <c r="IJ122" t="s">
        <v>1309</v>
      </c>
      <c r="IK122" t="s">
        <v>1309</v>
      </c>
      <c r="IL122" t="s">
        <v>1309</v>
      </c>
      <c r="IM122" t="s">
        <v>1309</v>
      </c>
      <c r="IN122" t="s">
        <v>1309</v>
      </c>
      <c r="IO122" t="s">
        <v>1309</v>
      </c>
      <c r="IQ122" t="s">
        <v>1365</v>
      </c>
      <c r="IS122" t="s">
        <v>1316</v>
      </c>
      <c r="JF122" t="s">
        <v>1316</v>
      </c>
      <c r="JG122" t="s">
        <v>1414</v>
      </c>
      <c r="JH122" t="s">
        <v>1309</v>
      </c>
      <c r="JI122" t="s">
        <v>1309</v>
      </c>
      <c r="JJ122" t="s">
        <v>1309</v>
      </c>
      <c r="JK122" t="s">
        <v>1309</v>
      </c>
      <c r="JL122" t="s">
        <v>1309</v>
      </c>
      <c r="JM122" t="s">
        <v>1309</v>
      </c>
      <c r="JN122" t="s">
        <v>1310</v>
      </c>
      <c r="JO122" t="s">
        <v>1309</v>
      </c>
      <c r="JQ122" s="92" t="s">
        <v>1524</v>
      </c>
      <c r="JR122" s="92" t="s">
        <v>1525</v>
      </c>
      <c r="JS122" s="92">
        <v>40</v>
      </c>
      <c r="JT122" s="92" t="s">
        <v>1319</v>
      </c>
      <c r="JU122" s="92" t="s">
        <v>1396</v>
      </c>
      <c r="JV122" s="92" t="s">
        <v>1526</v>
      </c>
      <c r="JW122" s="92" t="s">
        <v>1296</v>
      </c>
      <c r="JX122" s="92" t="s">
        <v>71</v>
      </c>
      <c r="JY122" s="92" t="s">
        <v>1397</v>
      </c>
      <c r="JZ122" s="92" t="s">
        <v>1337</v>
      </c>
      <c r="KA122" s="92" t="s">
        <v>4845</v>
      </c>
      <c r="KB122" s="92" t="s">
        <v>1370</v>
      </c>
      <c r="KC122" s="92" t="s">
        <v>109</v>
      </c>
      <c r="KD122" s="92" t="s">
        <v>4848</v>
      </c>
      <c r="KE122" s="92" t="s">
        <v>1371</v>
      </c>
      <c r="KF122" s="92">
        <v>2900</v>
      </c>
      <c r="KG122" s="92" t="s">
        <v>4439</v>
      </c>
      <c r="KH122" s="92" t="s">
        <v>192</v>
      </c>
      <c r="KI122" s="92" t="s">
        <v>192</v>
      </c>
      <c r="KJ122" s="92" t="s">
        <v>192</v>
      </c>
      <c r="KK122" s="92" t="s">
        <v>192</v>
      </c>
      <c r="KL122" s="92" t="s">
        <v>1425</v>
      </c>
      <c r="KM122" s="92">
        <v>3400</v>
      </c>
      <c r="KN122" s="92" t="s">
        <v>4439</v>
      </c>
      <c r="KO122" s="92" t="s">
        <v>1341</v>
      </c>
      <c r="KP122" s="92" t="s">
        <v>1342</v>
      </c>
      <c r="KQ122" s="92" t="s">
        <v>192</v>
      </c>
      <c r="KR122" s="92">
        <v>21</v>
      </c>
      <c r="KS122" s="92" t="s">
        <v>1345</v>
      </c>
      <c r="KT122" s="92" t="s">
        <v>1402</v>
      </c>
      <c r="KU122" s="92">
        <v>24</v>
      </c>
      <c r="KV122" s="92" t="s">
        <v>1441</v>
      </c>
      <c r="KW122" s="92" t="s">
        <v>1402</v>
      </c>
      <c r="KX122" s="92" t="s">
        <v>1346</v>
      </c>
      <c r="KY122" s="92" t="s">
        <v>1347</v>
      </c>
      <c r="KZ122" s="92" t="s">
        <v>1403</v>
      </c>
      <c r="LA122" s="92" t="s">
        <v>109</v>
      </c>
      <c r="LB122" s="92" t="s">
        <v>109</v>
      </c>
      <c r="LC122" s="92" t="s">
        <v>4438</v>
      </c>
      <c r="LD122" s="92" t="s">
        <v>4438</v>
      </c>
      <c r="LE122" s="92" t="s">
        <v>192</v>
      </c>
      <c r="LF122" s="92" t="s">
        <v>192</v>
      </c>
    </row>
    <row r="123" spans="1:318" x14ac:dyDescent="0.25">
      <c r="A123" t="s">
        <v>2006</v>
      </c>
      <c r="B123" t="s">
        <v>2007</v>
      </c>
      <c r="C123" t="s">
        <v>1304</v>
      </c>
      <c r="D123" t="s">
        <v>1305</v>
      </c>
      <c r="E123" t="s">
        <v>1381</v>
      </c>
      <c r="G123" t="s">
        <v>1319</v>
      </c>
      <c r="H123">
        <v>1</v>
      </c>
      <c r="J123" t="s">
        <v>1430</v>
      </c>
      <c r="K123" t="s">
        <v>1309</v>
      </c>
      <c r="L123" t="s">
        <v>1309</v>
      </c>
      <c r="M123" t="s">
        <v>1310</v>
      </c>
      <c r="N123" t="s">
        <v>1309</v>
      </c>
      <c r="O123" t="s">
        <v>1309</v>
      </c>
      <c r="P123" t="s">
        <v>1309</v>
      </c>
      <c r="Q123" t="s">
        <v>1309</v>
      </c>
      <c r="R123" t="s">
        <v>1309</v>
      </c>
      <c r="T123">
        <v>1</v>
      </c>
      <c r="U123" t="s">
        <v>1311</v>
      </c>
      <c r="V123" t="s">
        <v>1312</v>
      </c>
      <c r="W123" t="s">
        <v>1311</v>
      </c>
      <c r="X123" t="s">
        <v>1311</v>
      </c>
      <c r="Y123" t="s">
        <v>1312</v>
      </c>
      <c r="Z123" t="s">
        <v>1311</v>
      </c>
      <c r="AC123">
        <v>1</v>
      </c>
      <c r="AD123">
        <v>5000</v>
      </c>
      <c r="AE123">
        <v>3500</v>
      </c>
      <c r="AF123" t="s">
        <v>1313</v>
      </c>
      <c r="AH123" t="s">
        <v>1314</v>
      </c>
      <c r="AJ123" t="s">
        <v>1353</v>
      </c>
      <c r="AL123" t="s">
        <v>1316</v>
      </c>
      <c r="BA123" t="s">
        <v>1316</v>
      </c>
      <c r="BS123" t="s">
        <v>1307</v>
      </c>
      <c r="CE123" t="s">
        <v>1695</v>
      </c>
      <c r="CF123" t="s">
        <v>1309</v>
      </c>
      <c r="CG123" t="s">
        <v>1309</v>
      </c>
      <c r="CH123" t="s">
        <v>1309</v>
      </c>
      <c r="CI123" t="s">
        <v>1309</v>
      </c>
      <c r="CJ123" t="s">
        <v>1309</v>
      </c>
      <c r="CK123" t="s">
        <v>1309</v>
      </c>
      <c r="CL123" t="s">
        <v>1310</v>
      </c>
      <c r="CM123" t="s">
        <v>1309</v>
      </c>
      <c r="CN123" t="s">
        <v>1310</v>
      </c>
      <c r="CO123" t="s">
        <v>1309</v>
      </c>
      <c r="CP123" t="s">
        <v>1309</v>
      </c>
      <c r="CQ123" t="s">
        <v>1309</v>
      </c>
      <c r="CR123" t="s">
        <v>1309</v>
      </c>
      <c r="CT123" t="s">
        <v>4434</v>
      </c>
      <c r="CV123" t="s">
        <v>1308</v>
      </c>
      <c r="CW123" t="s">
        <v>1310</v>
      </c>
      <c r="CX123" t="s">
        <v>1309</v>
      </c>
      <c r="CY123" t="s">
        <v>1309</v>
      </c>
      <c r="CZ123" t="s">
        <v>1309</v>
      </c>
      <c r="DA123" t="s">
        <v>1309</v>
      </c>
      <c r="DB123" t="s">
        <v>1309</v>
      </c>
      <c r="DC123" t="s">
        <v>1309</v>
      </c>
      <c r="DE123" t="s">
        <v>1358</v>
      </c>
      <c r="DG123">
        <v>1300</v>
      </c>
      <c r="DI123">
        <v>300</v>
      </c>
      <c r="DJ123" t="s">
        <v>1358</v>
      </c>
      <c r="DK123">
        <v>1500</v>
      </c>
      <c r="DM123">
        <v>300</v>
      </c>
      <c r="DN123" t="s">
        <v>1584</v>
      </c>
      <c r="DO123" t="s">
        <v>1310</v>
      </c>
      <c r="DP123" t="s">
        <v>1309</v>
      </c>
      <c r="DQ123" t="s">
        <v>1309</v>
      </c>
      <c r="DR123" t="s">
        <v>1309</v>
      </c>
      <c r="DS123" t="s">
        <v>1310</v>
      </c>
      <c r="DT123" t="s">
        <v>1310</v>
      </c>
      <c r="DU123" t="s">
        <v>1309</v>
      </c>
      <c r="DV123" t="s">
        <v>1309</v>
      </c>
      <c r="DW123" t="s">
        <v>1309</v>
      </c>
      <c r="DY123" t="s">
        <v>1359</v>
      </c>
      <c r="DZ123">
        <v>300</v>
      </c>
      <c r="EA123" t="s">
        <v>1386</v>
      </c>
      <c r="EC123" t="s">
        <v>1738</v>
      </c>
      <c r="ED123">
        <v>690</v>
      </c>
      <c r="EE123" t="s">
        <v>1386</v>
      </c>
      <c r="EG123" t="s">
        <v>5356</v>
      </c>
      <c r="EI123" t="s">
        <v>1307</v>
      </c>
      <c r="ET123" t="s">
        <v>1544</v>
      </c>
      <c r="EV123" t="s">
        <v>1307</v>
      </c>
      <c r="EX123" t="s">
        <v>1307</v>
      </c>
      <c r="EY123" t="s">
        <v>1319</v>
      </c>
      <c r="FA123" t="s">
        <v>2008</v>
      </c>
      <c r="FB123" t="s">
        <v>1309</v>
      </c>
      <c r="FC123" t="s">
        <v>1309</v>
      </c>
      <c r="FD123" t="s">
        <v>1310</v>
      </c>
      <c r="FE123" t="s">
        <v>1310</v>
      </c>
      <c r="FF123" t="s">
        <v>1309</v>
      </c>
      <c r="FG123" t="s">
        <v>1309</v>
      </c>
      <c r="FH123" t="s">
        <v>1309</v>
      </c>
      <c r="FI123" t="s">
        <v>1309</v>
      </c>
      <c r="FJ123" t="s">
        <v>1309</v>
      </c>
      <c r="FK123" t="s">
        <v>1309</v>
      </c>
      <c r="FL123" t="s">
        <v>1309</v>
      </c>
      <c r="FM123" t="s">
        <v>1309</v>
      </c>
      <c r="FN123" t="s">
        <v>1309</v>
      </c>
      <c r="FO123" t="s">
        <v>1309</v>
      </c>
      <c r="FP123" t="s">
        <v>1309</v>
      </c>
      <c r="FQ123" t="s">
        <v>1309</v>
      </c>
      <c r="FR123" t="s">
        <v>1309</v>
      </c>
      <c r="FT123" t="s">
        <v>1307</v>
      </c>
      <c r="GI123" t="s">
        <v>1436</v>
      </c>
      <c r="GJ123" t="s">
        <v>1436</v>
      </c>
      <c r="GK123" t="s">
        <v>1307</v>
      </c>
      <c r="GT123" t="s">
        <v>1325</v>
      </c>
      <c r="GU123" t="s">
        <v>1310</v>
      </c>
      <c r="GV123" t="s">
        <v>1309</v>
      </c>
      <c r="GW123" t="s">
        <v>1309</v>
      </c>
      <c r="GX123" t="s">
        <v>1309</v>
      </c>
      <c r="GY123" t="s">
        <v>1309</v>
      </c>
      <c r="GZ123" t="s">
        <v>1309</v>
      </c>
      <c r="HA123" t="s">
        <v>1309</v>
      </c>
      <c r="HB123" t="s">
        <v>1309</v>
      </c>
      <c r="HC123" t="s">
        <v>1309</v>
      </c>
      <c r="HD123" t="s">
        <v>1309</v>
      </c>
      <c r="HE123" t="s">
        <v>1309</v>
      </c>
      <c r="HF123" t="s">
        <v>1309</v>
      </c>
      <c r="HH123" t="s">
        <v>1390</v>
      </c>
      <c r="HI123" t="s">
        <v>1390</v>
      </c>
      <c r="HJ123" t="s">
        <v>1390</v>
      </c>
      <c r="HK123" t="s">
        <v>1327</v>
      </c>
      <c r="HL123" t="s">
        <v>1692</v>
      </c>
      <c r="HM123" t="s">
        <v>1390</v>
      </c>
      <c r="HN123" t="s">
        <v>1803</v>
      </c>
      <c r="HO123" t="s">
        <v>1310</v>
      </c>
      <c r="HP123" t="s">
        <v>1310</v>
      </c>
      <c r="HQ123" t="s">
        <v>1309</v>
      </c>
      <c r="HR123" t="s">
        <v>1309</v>
      </c>
      <c r="HS123" t="s">
        <v>1310</v>
      </c>
      <c r="HT123" t="s">
        <v>1310</v>
      </c>
      <c r="HU123" t="s">
        <v>1309</v>
      </c>
      <c r="HV123" t="s">
        <v>1309</v>
      </c>
      <c r="HW123" t="s">
        <v>1309</v>
      </c>
      <c r="HX123" t="s">
        <v>1309</v>
      </c>
      <c r="HY123" t="s">
        <v>1309</v>
      </c>
      <c r="IA123" t="s">
        <v>1319</v>
      </c>
      <c r="IB123" t="s">
        <v>1412</v>
      </c>
      <c r="IC123" t="s">
        <v>1309</v>
      </c>
      <c r="ID123" t="s">
        <v>1310</v>
      </c>
      <c r="IE123" t="s">
        <v>1309</v>
      </c>
      <c r="IF123" t="s">
        <v>1309</v>
      </c>
      <c r="IG123" t="s">
        <v>1310</v>
      </c>
      <c r="IH123" t="s">
        <v>1309</v>
      </c>
      <c r="II123" t="s">
        <v>1309</v>
      </c>
      <c r="IJ123" t="s">
        <v>1309</v>
      </c>
      <c r="IK123" t="s">
        <v>1309</v>
      </c>
      <c r="IL123" t="s">
        <v>1309</v>
      </c>
      <c r="IM123" t="s">
        <v>1309</v>
      </c>
      <c r="IN123" t="s">
        <v>1309</v>
      </c>
      <c r="IO123" t="s">
        <v>1309</v>
      </c>
      <c r="IQ123" t="s">
        <v>1330</v>
      </c>
      <c r="IS123" t="s">
        <v>1316</v>
      </c>
      <c r="JF123" t="s">
        <v>1316</v>
      </c>
      <c r="JG123" t="s">
        <v>1523</v>
      </c>
      <c r="JH123" t="s">
        <v>1309</v>
      </c>
      <c r="JI123" t="s">
        <v>1309</v>
      </c>
      <c r="JJ123" t="s">
        <v>1309</v>
      </c>
      <c r="JK123" t="s">
        <v>1310</v>
      </c>
      <c r="JL123" t="s">
        <v>1309</v>
      </c>
      <c r="JM123" t="s">
        <v>1309</v>
      </c>
      <c r="JN123" t="s">
        <v>1309</v>
      </c>
      <c r="JO123" t="s">
        <v>1309</v>
      </c>
      <c r="JQ123" s="92" t="s">
        <v>1394</v>
      </c>
      <c r="JR123" s="92" t="s">
        <v>2009</v>
      </c>
      <c r="JS123" s="92">
        <v>66</v>
      </c>
      <c r="JT123" s="92" t="s">
        <v>1319</v>
      </c>
      <c r="JU123" s="92" t="s">
        <v>1396</v>
      </c>
      <c r="JV123" s="92" t="s">
        <v>1336</v>
      </c>
      <c r="JW123" s="92" t="s">
        <v>1296</v>
      </c>
      <c r="JX123" s="92" t="s">
        <v>70</v>
      </c>
      <c r="JY123" s="92" t="s">
        <v>1397</v>
      </c>
      <c r="JZ123" s="92" t="s">
        <v>1369</v>
      </c>
      <c r="KA123" s="92" t="s">
        <v>4844</v>
      </c>
      <c r="KB123" s="92" t="s">
        <v>1476</v>
      </c>
      <c r="KC123" s="92" t="s">
        <v>109</v>
      </c>
      <c r="KD123" s="92" t="s">
        <v>4844</v>
      </c>
      <c r="KE123" s="92" t="s">
        <v>5560</v>
      </c>
      <c r="KF123" s="92">
        <v>1600</v>
      </c>
      <c r="KG123" s="92" t="s">
        <v>4439</v>
      </c>
      <c r="KH123" s="92" t="s">
        <v>192</v>
      </c>
      <c r="KI123" s="92" t="s">
        <v>109</v>
      </c>
      <c r="KJ123" s="92" t="s">
        <v>192</v>
      </c>
      <c r="KK123" s="92" t="s">
        <v>109</v>
      </c>
      <c r="KL123" s="92" t="s">
        <v>1440</v>
      </c>
      <c r="KM123" s="92">
        <v>1800</v>
      </c>
      <c r="KN123" s="92" t="s">
        <v>4439</v>
      </c>
      <c r="KO123" s="92" t="s">
        <v>1440</v>
      </c>
      <c r="KP123" s="92" t="s">
        <v>1460</v>
      </c>
      <c r="KQ123" s="92" t="s">
        <v>192</v>
      </c>
      <c r="KR123" s="92">
        <v>19</v>
      </c>
      <c r="KS123" s="92" t="s">
        <v>1343</v>
      </c>
      <c r="KT123" s="92" t="s">
        <v>1402</v>
      </c>
      <c r="KU123" s="92">
        <v>38</v>
      </c>
      <c r="KV123" s="92" t="s">
        <v>1345</v>
      </c>
      <c r="KW123" s="92" t="s">
        <v>1402</v>
      </c>
      <c r="KX123" s="92" t="s">
        <v>1376</v>
      </c>
      <c r="KY123" s="92" t="s">
        <v>1347</v>
      </c>
      <c r="KZ123" s="92" t="s">
        <v>1403</v>
      </c>
      <c r="LA123" s="92" t="s">
        <v>109</v>
      </c>
      <c r="LB123" s="92" t="s">
        <v>109</v>
      </c>
      <c r="LC123" s="92" t="s">
        <v>4439</v>
      </c>
      <c r="LD123" s="92" t="s">
        <v>4439</v>
      </c>
      <c r="LE123" s="92" t="s">
        <v>192</v>
      </c>
      <c r="LF123" s="92" t="s">
        <v>192</v>
      </c>
    </row>
    <row r="124" spans="1:318" x14ac:dyDescent="0.25">
      <c r="A124" t="s">
        <v>2010</v>
      </c>
      <c r="B124" t="s">
        <v>2011</v>
      </c>
      <c r="C124" t="s">
        <v>1304</v>
      </c>
      <c r="D124" t="s">
        <v>1305</v>
      </c>
      <c r="E124" t="s">
        <v>1306</v>
      </c>
      <c r="G124" t="s">
        <v>1307</v>
      </c>
      <c r="H124">
        <v>3</v>
      </c>
      <c r="I124" t="s">
        <v>1307</v>
      </c>
      <c r="J124" t="s">
        <v>1430</v>
      </c>
      <c r="K124" t="s">
        <v>1309</v>
      </c>
      <c r="L124" t="s">
        <v>1309</v>
      </c>
      <c r="M124" t="s">
        <v>1310</v>
      </c>
      <c r="N124" t="s">
        <v>1309</v>
      </c>
      <c r="O124" t="s">
        <v>1309</v>
      </c>
      <c r="P124" t="s">
        <v>1309</v>
      </c>
      <c r="Q124" t="s">
        <v>1309</v>
      </c>
      <c r="R124" t="s">
        <v>1309</v>
      </c>
      <c r="T124">
        <v>1</v>
      </c>
      <c r="U124" t="s">
        <v>1311</v>
      </c>
      <c r="V124" t="s">
        <v>1312</v>
      </c>
      <c r="W124" t="s">
        <v>1311</v>
      </c>
      <c r="X124" t="s">
        <v>1312</v>
      </c>
      <c r="Y124" t="s">
        <v>1312</v>
      </c>
      <c r="Z124" t="s">
        <v>1312</v>
      </c>
      <c r="AC124">
        <v>2</v>
      </c>
      <c r="AD124">
        <v>6000</v>
      </c>
      <c r="AE124">
        <v>6000</v>
      </c>
      <c r="AF124" t="s">
        <v>1351</v>
      </c>
      <c r="AH124" t="s">
        <v>1314</v>
      </c>
      <c r="AJ124" t="s">
        <v>1315</v>
      </c>
      <c r="AL124" t="s">
        <v>1316</v>
      </c>
      <c r="BS124" t="s">
        <v>1307</v>
      </c>
      <c r="CE124" t="s">
        <v>1537</v>
      </c>
      <c r="CF124" t="s">
        <v>1309</v>
      </c>
      <c r="CG124" t="s">
        <v>1309</v>
      </c>
      <c r="CH124" t="s">
        <v>1309</v>
      </c>
      <c r="CI124" t="s">
        <v>1309</v>
      </c>
      <c r="CJ124" t="s">
        <v>1309</v>
      </c>
      <c r="CK124" t="s">
        <v>1310</v>
      </c>
      <c r="CL124" t="s">
        <v>1309</v>
      </c>
      <c r="CM124" t="s">
        <v>1309</v>
      </c>
      <c r="CN124" t="s">
        <v>1310</v>
      </c>
      <c r="CO124" t="s">
        <v>1309</v>
      </c>
      <c r="CP124" t="s">
        <v>1309</v>
      </c>
      <c r="CQ124" t="s">
        <v>1309</v>
      </c>
      <c r="CR124" t="s">
        <v>1309</v>
      </c>
      <c r="CT124" t="s">
        <v>4434</v>
      </c>
      <c r="CV124" t="s">
        <v>1308</v>
      </c>
      <c r="CW124" t="s">
        <v>1310</v>
      </c>
      <c r="CX124" t="s">
        <v>1309</v>
      </c>
      <c r="CY124" t="s">
        <v>1309</v>
      </c>
      <c r="CZ124" t="s">
        <v>1309</v>
      </c>
      <c r="DA124" t="s">
        <v>1309</v>
      </c>
      <c r="DB124" t="s">
        <v>1309</v>
      </c>
      <c r="DC124" t="s">
        <v>1309</v>
      </c>
      <c r="DE124" t="s">
        <v>1358</v>
      </c>
      <c r="DG124">
        <v>1500</v>
      </c>
      <c r="DI124">
        <v>600</v>
      </c>
      <c r="DJ124" t="s">
        <v>1358</v>
      </c>
      <c r="DK124">
        <v>2700</v>
      </c>
      <c r="DM124">
        <v>750</v>
      </c>
      <c r="DN124" t="s">
        <v>1320</v>
      </c>
      <c r="DO124" t="s">
        <v>1310</v>
      </c>
      <c r="DP124" t="s">
        <v>1309</v>
      </c>
      <c r="DQ124" t="s">
        <v>1309</v>
      </c>
      <c r="DR124" t="s">
        <v>1309</v>
      </c>
      <c r="DS124" t="s">
        <v>1309</v>
      </c>
      <c r="DT124" t="s">
        <v>1310</v>
      </c>
      <c r="DU124" t="s">
        <v>1309</v>
      </c>
      <c r="DV124" t="s">
        <v>1309</v>
      </c>
      <c r="DW124" t="s">
        <v>1309</v>
      </c>
      <c r="DY124" t="s">
        <v>1456</v>
      </c>
      <c r="DZ124">
        <v>500</v>
      </c>
      <c r="EA124" t="s">
        <v>1319</v>
      </c>
      <c r="EC124" t="s">
        <v>1457</v>
      </c>
      <c r="ED124">
        <v>800</v>
      </c>
      <c r="EE124" t="s">
        <v>1319</v>
      </c>
      <c r="EG124" t="s">
        <v>5357</v>
      </c>
      <c r="ET124" t="s">
        <v>1307</v>
      </c>
      <c r="EV124" t="s">
        <v>1307</v>
      </c>
      <c r="EX124" t="s">
        <v>1319</v>
      </c>
      <c r="EY124" t="s">
        <v>1307</v>
      </c>
      <c r="FA124" t="s">
        <v>2012</v>
      </c>
      <c r="FB124" t="s">
        <v>1309</v>
      </c>
      <c r="FC124" t="s">
        <v>1309</v>
      </c>
      <c r="FD124" t="s">
        <v>1309</v>
      </c>
      <c r="FE124" t="s">
        <v>1309</v>
      </c>
      <c r="FF124" t="s">
        <v>1309</v>
      </c>
      <c r="FG124" t="s">
        <v>1309</v>
      </c>
      <c r="FH124" t="s">
        <v>1309</v>
      </c>
      <c r="FI124" t="s">
        <v>1310</v>
      </c>
      <c r="FJ124" t="s">
        <v>1309</v>
      </c>
      <c r="FK124" t="s">
        <v>1309</v>
      </c>
      <c r="FL124" t="s">
        <v>1309</v>
      </c>
      <c r="FM124" t="s">
        <v>1310</v>
      </c>
      <c r="FN124" t="s">
        <v>1310</v>
      </c>
      <c r="FO124" t="s">
        <v>1309</v>
      </c>
      <c r="FP124" t="s">
        <v>1309</v>
      </c>
      <c r="FQ124" t="s">
        <v>1309</v>
      </c>
      <c r="FR124" t="s">
        <v>1309</v>
      </c>
      <c r="FT124" t="s">
        <v>1319</v>
      </c>
      <c r="FU124" t="s">
        <v>2013</v>
      </c>
      <c r="FV124" t="s">
        <v>1310</v>
      </c>
      <c r="FW124" t="s">
        <v>1310</v>
      </c>
      <c r="FX124" t="s">
        <v>1310</v>
      </c>
      <c r="FY124" t="s">
        <v>1309</v>
      </c>
      <c r="FZ124" t="s">
        <v>1309</v>
      </c>
      <c r="GA124" t="s">
        <v>1309</v>
      </c>
      <c r="GB124" t="s">
        <v>1309</v>
      </c>
      <c r="GC124" t="s">
        <v>1309</v>
      </c>
      <c r="GD124" t="s">
        <v>1309</v>
      </c>
      <c r="GE124" t="s">
        <v>1309</v>
      </c>
      <c r="GF124" t="s">
        <v>1309</v>
      </c>
      <c r="GG124" t="s">
        <v>1309</v>
      </c>
      <c r="GI124" t="s">
        <v>1436</v>
      </c>
      <c r="GJ124" t="s">
        <v>1436</v>
      </c>
      <c r="GK124" t="s">
        <v>1319</v>
      </c>
      <c r="GL124" t="s">
        <v>1619</v>
      </c>
      <c r="GM124" t="s">
        <v>1310</v>
      </c>
      <c r="GN124" t="s">
        <v>1309</v>
      </c>
      <c r="GO124" t="s">
        <v>1309</v>
      </c>
      <c r="GP124" t="s">
        <v>1309</v>
      </c>
      <c r="GQ124" t="s">
        <v>1309</v>
      </c>
      <c r="GR124" t="s">
        <v>1309</v>
      </c>
      <c r="GT124" t="s">
        <v>1325</v>
      </c>
      <c r="GU124" t="s">
        <v>1310</v>
      </c>
      <c r="GV124" t="s">
        <v>1309</v>
      </c>
      <c r="GW124" t="s">
        <v>1309</v>
      </c>
      <c r="GX124" t="s">
        <v>1309</v>
      </c>
      <c r="GY124" t="s">
        <v>1309</v>
      </c>
      <c r="GZ124" t="s">
        <v>1309</v>
      </c>
      <c r="HA124" t="s">
        <v>1309</v>
      </c>
      <c r="HB124" t="s">
        <v>1309</v>
      </c>
      <c r="HC124" t="s">
        <v>1309</v>
      </c>
      <c r="HD124" t="s">
        <v>1309</v>
      </c>
      <c r="HE124" t="s">
        <v>1309</v>
      </c>
      <c r="HF124" t="s">
        <v>1309</v>
      </c>
      <c r="HH124" t="s">
        <v>1390</v>
      </c>
      <c r="HI124" t="s">
        <v>1390</v>
      </c>
      <c r="HJ124" t="s">
        <v>1390</v>
      </c>
      <c r="HK124" t="s">
        <v>1390</v>
      </c>
      <c r="HL124" t="s">
        <v>1328</v>
      </c>
      <c r="HM124" t="s">
        <v>1326</v>
      </c>
      <c r="HN124" t="s">
        <v>2014</v>
      </c>
      <c r="HO124" t="s">
        <v>1310</v>
      </c>
      <c r="HP124" t="s">
        <v>1310</v>
      </c>
      <c r="HQ124" t="s">
        <v>1310</v>
      </c>
      <c r="HR124" t="s">
        <v>1309</v>
      </c>
      <c r="HS124" t="s">
        <v>1309</v>
      </c>
      <c r="HT124" t="s">
        <v>1310</v>
      </c>
      <c r="HU124" t="s">
        <v>1309</v>
      </c>
      <c r="HV124" t="s">
        <v>1309</v>
      </c>
      <c r="HW124" t="s">
        <v>1309</v>
      </c>
      <c r="HX124" t="s">
        <v>1309</v>
      </c>
      <c r="HY124" t="s">
        <v>1309</v>
      </c>
      <c r="IA124" t="s">
        <v>1319</v>
      </c>
      <c r="IB124" t="s">
        <v>2015</v>
      </c>
      <c r="IC124" t="s">
        <v>1309</v>
      </c>
      <c r="ID124" t="s">
        <v>1309</v>
      </c>
      <c r="IE124" t="s">
        <v>1309</v>
      </c>
      <c r="IF124" t="s">
        <v>1310</v>
      </c>
      <c r="IG124" t="s">
        <v>1310</v>
      </c>
      <c r="IH124" t="s">
        <v>1309</v>
      </c>
      <c r="II124" t="s">
        <v>1309</v>
      </c>
      <c r="IJ124" t="s">
        <v>1309</v>
      </c>
      <c r="IK124" t="s">
        <v>1309</v>
      </c>
      <c r="IL124" t="s">
        <v>1310</v>
      </c>
      <c r="IM124" t="s">
        <v>1309</v>
      </c>
      <c r="IN124" t="s">
        <v>1309</v>
      </c>
      <c r="IO124" t="s">
        <v>1309</v>
      </c>
      <c r="IQ124" t="s">
        <v>1365</v>
      </c>
      <c r="IS124" t="s">
        <v>1316</v>
      </c>
      <c r="JF124" t="s">
        <v>1331</v>
      </c>
      <c r="JG124" t="s">
        <v>1393</v>
      </c>
      <c r="JH124" t="s">
        <v>1310</v>
      </c>
      <c r="JI124" t="s">
        <v>1309</v>
      </c>
      <c r="JJ124" t="s">
        <v>1309</v>
      </c>
      <c r="JK124" t="s">
        <v>1309</v>
      </c>
      <c r="JL124" t="s">
        <v>1309</v>
      </c>
      <c r="JM124" t="s">
        <v>1309</v>
      </c>
      <c r="JN124" t="s">
        <v>1309</v>
      </c>
      <c r="JO124" t="s">
        <v>1309</v>
      </c>
      <c r="JQ124" s="92" t="s">
        <v>1333</v>
      </c>
      <c r="JR124" s="92" t="s">
        <v>2016</v>
      </c>
      <c r="JS124" s="92">
        <v>49</v>
      </c>
      <c r="JT124" s="92" t="s">
        <v>1319</v>
      </c>
      <c r="JU124" s="92" t="s">
        <v>1335</v>
      </c>
      <c r="JV124" s="92" t="s">
        <v>1336</v>
      </c>
      <c r="JW124" s="92" t="s">
        <v>1296</v>
      </c>
      <c r="JX124" s="92" t="s">
        <v>70</v>
      </c>
      <c r="JY124" s="92" t="s">
        <v>5549</v>
      </c>
      <c r="JZ124" s="92" t="s">
        <v>1337</v>
      </c>
      <c r="KA124" s="92" t="s">
        <v>4845</v>
      </c>
      <c r="KB124" s="92" t="s">
        <v>1439</v>
      </c>
      <c r="KC124" s="92" t="s">
        <v>109</v>
      </c>
      <c r="KD124" s="92" t="s">
        <v>4847</v>
      </c>
      <c r="KE124" s="92" t="s">
        <v>1424</v>
      </c>
      <c r="KF124" s="92">
        <v>2100</v>
      </c>
      <c r="KG124" s="92" t="s">
        <v>4439</v>
      </c>
      <c r="KH124" s="92" t="s">
        <v>192</v>
      </c>
      <c r="KI124" s="92" t="s">
        <v>109</v>
      </c>
      <c r="KJ124" s="92" t="s">
        <v>192</v>
      </c>
      <c r="KK124" s="92" t="s">
        <v>109</v>
      </c>
      <c r="KL124" s="92" t="s">
        <v>1425</v>
      </c>
      <c r="KM124" s="92">
        <v>3450</v>
      </c>
      <c r="KN124" s="92" t="s">
        <v>1400</v>
      </c>
      <c r="KO124" s="92" t="s">
        <v>1341</v>
      </c>
      <c r="KP124" s="92" t="s">
        <v>1460</v>
      </c>
      <c r="KQ124" s="92" t="s">
        <v>192</v>
      </c>
      <c r="KR124" s="92">
        <v>24</v>
      </c>
      <c r="KS124" s="92" t="s">
        <v>1345</v>
      </c>
      <c r="KT124" s="92" t="s">
        <v>1344</v>
      </c>
      <c r="KU124" s="92">
        <v>23</v>
      </c>
      <c r="KV124" s="92" t="s">
        <v>1441</v>
      </c>
      <c r="KW124" s="92" t="s">
        <v>1344</v>
      </c>
      <c r="KX124" s="92" t="s">
        <v>1376</v>
      </c>
      <c r="KY124" s="92" t="s">
        <v>1377</v>
      </c>
      <c r="KZ124" s="92" t="s">
        <v>5795</v>
      </c>
      <c r="LA124" s="92" t="s">
        <v>109</v>
      </c>
      <c r="LB124" s="92" t="s">
        <v>109</v>
      </c>
      <c r="LC124" s="92" t="s">
        <v>4439</v>
      </c>
      <c r="LD124" s="92" t="s">
        <v>4439</v>
      </c>
      <c r="LE124" s="92" t="s">
        <v>192</v>
      </c>
      <c r="LF124" s="92" t="s">
        <v>192</v>
      </c>
    </row>
    <row r="125" spans="1:318" x14ac:dyDescent="0.25">
      <c r="A125" t="s">
        <v>2017</v>
      </c>
      <c r="B125" t="s">
        <v>2018</v>
      </c>
      <c r="C125" t="s">
        <v>1304</v>
      </c>
      <c r="D125" t="s">
        <v>1305</v>
      </c>
      <c r="E125" t="s">
        <v>1306</v>
      </c>
      <c r="G125" t="s">
        <v>1307</v>
      </c>
      <c r="H125">
        <v>1</v>
      </c>
      <c r="J125" t="s">
        <v>1430</v>
      </c>
      <c r="K125" t="s">
        <v>1309</v>
      </c>
      <c r="L125" t="s">
        <v>1309</v>
      </c>
      <c r="M125" t="s">
        <v>1310</v>
      </c>
      <c r="N125" t="s">
        <v>1309</v>
      </c>
      <c r="O125" t="s">
        <v>1309</v>
      </c>
      <c r="P125" t="s">
        <v>1309</v>
      </c>
      <c r="Q125" t="s">
        <v>1309</v>
      </c>
      <c r="R125" t="s">
        <v>1309</v>
      </c>
      <c r="T125">
        <v>1</v>
      </c>
      <c r="U125" t="s">
        <v>1311</v>
      </c>
      <c r="V125" t="s">
        <v>1312</v>
      </c>
      <c r="W125" t="s">
        <v>1486</v>
      </c>
      <c r="X125" t="s">
        <v>1312</v>
      </c>
      <c r="Y125" t="s">
        <v>1311</v>
      </c>
      <c r="Z125" t="s">
        <v>1312</v>
      </c>
      <c r="AC125">
        <v>1</v>
      </c>
      <c r="AD125">
        <v>3000</v>
      </c>
      <c r="AE125">
        <v>3000</v>
      </c>
      <c r="AF125" t="s">
        <v>1351</v>
      </c>
      <c r="AH125" t="s">
        <v>1314</v>
      </c>
      <c r="AJ125" t="s">
        <v>1353</v>
      </c>
      <c r="AL125" t="s">
        <v>1316</v>
      </c>
      <c r="BA125" t="s">
        <v>1354</v>
      </c>
      <c r="BS125" t="s">
        <v>1307</v>
      </c>
      <c r="CE125" t="s">
        <v>1355</v>
      </c>
      <c r="CF125" t="s">
        <v>1309</v>
      </c>
      <c r="CG125" t="s">
        <v>1309</v>
      </c>
      <c r="CH125" t="s">
        <v>1309</v>
      </c>
      <c r="CI125" t="s">
        <v>1309</v>
      </c>
      <c r="CJ125" t="s">
        <v>1309</v>
      </c>
      <c r="CK125" t="s">
        <v>1309</v>
      </c>
      <c r="CL125" t="s">
        <v>1309</v>
      </c>
      <c r="CM125" t="s">
        <v>1309</v>
      </c>
      <c r="CN125" t="s">
        <v>1310</v>
      </c>
      <c r="CO125" t="s">
        <v>1309</v>
      </c>
      <c r="CP125" t="s">
        <v>1309</v>
      </c>
      <c r="CQ125" t="s">
        <v>1309</v>
      </c>
      <c r="CR125" t="s">
        <v>1309</v>
      </c>
      <c r="CT125" t="s">
        <v>4434</v>
      </c>
      <c r="CV125" t="s">
        <v>1308</v>
      </c>
      <c r="CW125" t="s">
        <v>1310</v>
      </c>
      <c r="CX125" t="s">
        <v>1309</v>
      </c>
      <c r="CY125" t="s">
        <v>1309</v>
      </c>
      <c r="CZ125" t="s">
        <v>1309</v>
      </c>
      <c r="DA125" t="s">
        <v>1309</v>
      </c>
      <c r="DB125" t="s">
        <v>1309</v>
      </c>
      <c r="DC125" t="s">
        <v>1309</v>
      </c>
      <c r="DE125" t="s">
        <v>1358</v>
      </c>
      <c r="DG125">
        <v>1200</v>
      </c>
      <c r="DI125">
        <v>200</v>
      </c>
      <c r="DJ125" t="s">
        <v>1358</v>
      </c>
      <c r="DK125">
        <v>1500</v>
      </c>
      <c r="DM125">
        <v>250</v>
      </c>
      <c r="DN125" t="s">
        <v>1432</v>
      </c>
      <c r="DO125" t="s">
        <v>1310</v>
      </c>
      <c r="DP125" t="s">
        <v>1309</v>
      </c>
      <c r="DQ125" t="s">
        <v>1309</v>
      </c>
      <c r="DR125" t="s">
        <v>1310</v>
      </c>
      <c r="DS125" t="s">
        <v>1309</v>
      </c>
      <c r="DT125" t="s">
        <v>1310</v>
      </c>
      <c r="DU125" t="s">
        <v>1309</v>
      </c>
      <c r="DV125" t="s">
        <v>1309</v>
      </c>
      <c r="DW125" t="s">
        <v>1309</v>
      </c>
      <c r="DY125" t="s">
        <v>1456</v>
      </c>
      <c r="DZ125">
        <v>500</v>
      </c>
      <c r="EA125" t="s">
        <v>1386</v>
      </c>
      <c r="EC125" t="s">
        <v>1457</v>
      </c>
      <c r="ED125">
        <v>1000</v>
      </c>
      <c r="EE125" t="s">
        <v>1386</v>
      </c>
      <c r="EG125" t="s">
        <v>5356</v>
      </c>
      <c r="EI125" t="s">
        <v>1307</v>
      </c>
      <c r="ET125" t="s">
        <v>1307</v>
      </c>
      <c r="EV125" t="s">
        <v>1319</v>
      </c>
      <c r="EW125" t="s">
        <v>1361</v>
      </c>
      <c r="EX125" t="s">
        <v>1319</v>
      </c>
      <c r="EY125" t="s">
        <v>1319</v>
      </c>
      <c r="FA125" t="s">
        <v>2019</v>
      </c>
      <c r="FB125" t="s">
        <v>1310</v>
      </c>
      <c r="FC125" t="s">
        <v>1310</v>
      </c>
      <c r="FD125" t="s">
        <v>1310</v>
      </c>
      <c r="FE125" t="s">
        <v>1309</v>
      </c>
      <c r="FF125" t="s">
        <v>1309</v>
      </c>
      <c r="FG125" t="s">
        <v>1309</v>
      </c>
      <c r="FH125" t="s">
        <v>1310</v>
      </c>
      <c r="FI125" t="s">
        <v>1310</v>
      </c>
      <c r="FJ125" t="s">
        <v>1309</v>
      </c>
      <c r="FK125" t="s">
        <v>1309</v>
      </c>
      <c r="FL125" t="s">
        <v>1309</v>
      </c>
      <c r="FM125" t="s">
        <v>1309</v>
      </c>
      <c r="FN125" t="s">
        <v>1310</v>
      </c>
      <c r="FO125" t="s">
        <v>1309</v>
      </c>
      <c r="FP125" t="s">
        <v>1309</v>
      </c>
      <c r="FQ125" t="s">
        <v>1309</v>
      </c>
      <c r="FR125" t="s">
        <v>1309</v>
      </c>
      <c r="FT125" t="s">
        <v>1319</v>
      </c>
      <c r="FU125" t="s">
        <v>1649</v>
      </c>
      <c r="FV125" t="s">
        <v>1310</v>
      </c>
      <c r="FW125" t="s">
        <v>1310</v>
      </c>
      <c r="FX125" t="s">
        <v>1309</v>
      </c>
      <c r="FY125" t="s">
        <v>1309</v>
      </c>
      <c r="FZ125" t="s">
        <v>1309</v>
      </c>
      <c r="GA125" t="s">
        <v>1309</v>
      </c>
      <c r="GB125" t="s">
        <v>1309</v>
      </c>
      <c r="GC125" t="s">
        <v>1309</v>
      </c>
      <c r="GD125" t="s">
        <v>1309</v>
      </c>
      <c r="GE125" t="s">
        <v>1309</v>
      </c>
      <c r="GF125" t="s">
        <v>1309</v>
      </c>
      <c r="GG125" t="s">
        <v>1309</v>
      </c>
      <c r="GI125" t="s">
        <v>1324</v>
      </c>
      <c r="GJ125" t="s">
        <v>1324</v>
      </c>
      <c r="GT125" t="s">
        <v>1325</v>
      </c>
      <c r="GU125" t="s">
        <v>1310</v>
      </c>
      <c r="GV125" t="s">
        <v>1309</v>
      </c>
      <c r="GW125" t="s">
        <v>1309</v>
      </c>
      <c r="GX125" t="s">
        <v>1309</v>
      </c>
      <c r="GY125" t="s">
        <v>1309</v>
      </c>
      <c r="GZ125" t="s">
        <v>1309</v>
      </c>
      <c r="HA125" t="s">
        <v>1309</v>
      </c>
      <c r="HB125" t="s">
        <v>1309</v>
      </c>
      <c r="HC125" t="s">
        <v>1309</v>
      </c>
      <c r="HD125" t="s">
        <v>1309</v>
      </c>
      <c r="HE125" t="s">
        <v>1309</v>
      </c>
      <c r="HF125" t="s">
        <v>1309</v>
      </c>
      <c r="HH125" t="s">
        <v>1390</v>
      </c>
      <c r="HI125" t="s">
        <v>1363</v>
      </c>
      <c r="HJ125" t="s">
        <v>1363</v>
      </c>
      <c r="HK125" t="s">
        <v>1390</v>
      </c>
      <c r="HL125" t="s">
        <v>1328</v>
      </c>
      <c r="HM125" t="s">
        <v>1390</v>
      </c>
      <c r="HN125" t="s">
        <v>1650</v>
      </c>
      <c r="HO125" t="s">
        <v>1310</v>
      </c>
      <c r="HP125" t="s">
        <v>1310</v>
      </c>
      <c r="HQ125" t="s">
        <v>1310</v>
      </c>
      <c r="HR125" t="s">
        <v>1309</v>
      </c>
      <c r="HS125" t="s">
        <v>1309</v>
      </c>
      <c r="HT125" t="s">
        <v>1309</v>
      </c>
      <c r="HU125" t="s">
        <v>1309</v>
      </c>
      <c r="HV125" t="s">
        <v>1309</v>
      </c>
      <c r="HW125" t="s">
        <v>1309</v>
      </c>
      <c r="HX125" t="s">
        <v>1309</v>
      </c>
      <c r="HY125" t="s">
        <v>1309</v>
      </c>
      <c r="IA125" t="s">
        <v>1307</v>
      </c>
      <c r="IQ125" t="s">
        <v>1330</v>
      </c>
      <c r="IS125" t="s">
        <v>1316</v>
      </c>
      <c r="JF125" t="s">
        <v>1331</v>
      </c>
      <c r="JG125" t="s">
        <v>1566</v>
      </c>
      <c r="JH125" t="s">
        <v>1310</v>
      </c>
      <c r="JI125" t="s">
        <v>1309</v>
      </c>
      <c r="JJ125" t="s">
        <v>1309</v>
      </c>
      <c r="JK125" t="s">
        <v>1309</v>
      </c>
      <c r="JL125" t="s">
        <v>1310</v>
      </c>
      <c r="JM125" t="s">
        <v>1309</v>
      </c>
      <c r="JN125" t="s">
        <v>1309</v>
      </c>
      <c r="JO125" t="s">
        <v>1309</v>
      </c>
      <c r="JQ125" s="92" t="s">
        <v>1333</v>
      </c>
      <c r="JR125" s="92" t="s">
        <v>2016</v>
      </c>
      <c r="JS125" s="92">
        <v>69</v>
      </c>
      <c r="JT125" s="92" t="s">
        <v>1319</v>
      </c>
      <c r="JU125" s="92" t="s">
        <v>1335</v>
      </c>
      <c r="JV125" s="92" t="s">
        <v>1336</v>
      </c>
      <c r="JW125" s="92" t="s">
        <v>1296</v>
      </c>
      <c r="JX125" s="92" t="s">
        <v>70</v>
      </c>
      <c r="JY125" s="92" t="s">
        <v>5549</v>
      </c>
      <c r="JZ125" s="92" t="s">
        <v>1369</v>
      </c>
      <c r="KA125" s="92" t="s">
        <v>4844</v>
      </c>
      <c r="KB125" s="92" t="s">
        <v>1476</v>
      </c>
      <c r="KC125" s="92" t="s">
        <v>192</v>
      </c>
      <c r="KD125" s="92" t="s">
        <v>4844</v>
      </c>
      <c r="KE125" s="92" t="s">
        <v>5560</v>
      </c>
      <c r="KF125" s="92">
        <v>1400</v>
      </c>
      <c r="KG125" s="92" t="s">
        <v>4439</v>
      </c>
      <c r="KH125" s="92" t="s">
        <v>192</v>
      </c>
      <c r="KI125" s="92" t="s">
        <v>109</v>
      </c>
      <c r="KJ125" s="92" t="s">
        <v>192</v>
      </c>
      <c r="KK125" s="92" t="s">
        <v>109</v>
      </c>
      <c r="KL125" s="92" t="s">
        <v>1440</v>
      </c>
      <c r="KM125" s="92">
        <v>1750</v>
      </c>
      <c r="KN125" s="92" t="s">
        <v>1400</v>
      </c>
      <c r="KO125" s="92" t="s">
        <v>1440</v>
      </c>
      <c r="KP125" s="92" t="s">
        <v>1460</v>
      </c>
      <c r="KQ125" s="92" t="s">
        <v>192</v>
      </c>
      <c r="KR125" s="92">
        <v>36</v>
      </c>
      <c r="KS125" s="92" t="s">
        <v>1345</v>
      </c>
      <c r="KT125" s="92" t="s">
        <v>1402</v>
      </c>
      <c r="KU125" s="92">
        <v>57</v>
      </c>
      <c r="KV125" s="92" t="s">
        <v>1461</v>
      </c>
      <c r="KW125" s="92" t="s">
        <v>1402</v>
      </c>
      <c r="KX125" s="92" t="s">
        <v>1376</v>
      </c>
      <c r="KY125" s="92" t="s">
        <v>1377</v>
      </c>
      <c r="KZ125" s="92" t="s">
        <v>5795</v>
      </c>
      <c r="LA125" s="92" t="s">
        <v>109</v>
      </c>
      <c r="LB125" s="92" t="s">
        <v>109</v>
      </c>
      <c r="LC125" s="92" t="s">
        <v>4439</v>
      </c>
      <c r="LD125" s="92" t="s">
        <v>4439</v>
      </c>
      <c r="LE125" s="92" t="s">
        <v>192</v>
      </c>
      <c r="LF125" s="92" t="s">
        <v>192</v>
      </c>
    </row>
    <row r="126" spans="1:318" x14ac:dyDescent="0.25">
      <c r="A126" t="s">
        <v>2020</v>
      </c>
      <c r="B126" t="s">
        <v>2021</v>
      </c>
      <c r="C126" t="s">
        <v>1304</v>
      </c>
      <c r="D126" t="s">
        <v>1305</v>
      </c>
      <c r="E126" t="s">
        <v>1306</v>
      </c>
      <c r="G126" t="s">
        <v>1307</v>
      </c>
      <c r="H126">
        <v>5</v>
      </c>
      <c r="I126" t="s">
        <v>1307</v>
      </c>
      <c r="J126" t="s">
        <v>1511</v>
      </c>
      <c r="K126" t="s">
        <v>1309</v>
      </c>
      <c r="L126" t="s">
        <v>1310</v>
      </c>
      <c r="M126" t="s">
        <v>1309</v>
      </c>
      <c r="N126" t="s">
        <v>1310</v>
      </c>
      <c r="O126" t="s">
        <v>1309</v>
      </c>
      <c r="P126" t="s">
        <v>1309</v>
      </c>
      <c r="Q126" t="s">
        <v>1309</v>
      </c>
      <c r="R126" t="s">
        <v>1309</v>
      </c>
      <c r="S126">
        <v>3</v>
      </c>
      <c r="U126" t="s">
        <v>1312</v>
      </c>
      <c r="V126" t="s">
        <v>1312</v>
      </c>
      <c r="W126" t="s">
        <v>1312</v>
      </c>
      <c r="X126" t="s">
        <v>1486</v>
      </c>
      <c r="Y126" t="s">
        <v>1312</v>
      </c>
      <c r="Z126" t="s">
        <v>1486</v>
      </c>
      <c r="AA126">
        <v>1</v>
      </c>
      <c r="AB126">
        <v>1</v>
      </c>
      <c r="AC126">
        <v>2</v>
      </c>
      <c r="AD126">
        <v>12000</v>
      </c>
      <c r="AE126">
        <v>9000</v>
      </c>
      <c r="AF126" t="s">
        <v>1351</v>
      </c>
      <c r="AH126" t="s">
        <v>1383</v>
      </c>
      <c r="AJ126" t="s">
        <v>1315</v>
      </c>
      <c r="AL126" t="s">
        <v>1316</v>
      </c>
      <c r="BS126" t="s">
        <v>1307</v>
      </c>
      <c r="CE126" t="s">
        <v>1695</v>
      </c>
      <c r="CF126" t="s">
        <v>1309</v>
      </c>
      <c r="CG126" t="s">
        <v>1309</v>
      </c>
      <c r="CH126" t="s">
        <v>1309</v>
      </c>
      <c r="CI126" t="s">
        <v>1309</v>
      </c>
      <c r="CJ126" t="s">
        <v>1309</v>
      </c>
      <c r="CK126" t="s">
        <v>1309</v>
      </c>
      <c r="CL126" t="s">
        <v>1310</v>
      </c>
      <c r="CM126" t="s">
        <v>1309</v>
      </c>
      <c r="CN126" t="s">
        <v>1310</v>
      </c>
      <c r="CO126" t="s">
        <v>1309</v>
      </c>
      <c r="CP126" t="s">
        <v>1309</v>
      </c>
      <c r="CQ126" t="s">
        <v>1309</v>
      </c>
      <c r="CR126" t="s">
        <v>1309</v>
      </c>
      <c r="CT126" t="s">
        <v>4436</v>
      </c>
      <c r="CV126" t="s">
        <v>1308</v>
      </c>
      <c r="CW126" t="s">
        <v>1310</v>
      </c>
      <c r="CX126" t="s">
        <v>1309</v>
      </c>
      <c r="CY126" t="s">
        <v>1309</v>
      </c>
      <c r="CZ126" t="s">
        <v>1309</v>
      </c>
      <c r="DA126" t="s">
        <v>1309</v>
      </c>
      <c r="DB126" t="s">
        <v>1309</v>
      </c>
      <c r="DC126" t="s">
        <v>1309</v>
      </c>
      <c r="DE126" t="s">
        <v>1358</v>
      </c>
      <c r="DF126" t="s">
        <v>1319</v>
      </c>
      <c r="DH126">
        <v>1100</v>
      </c>
      <c r="DI126">
        <v>700</v>
      </c>
      <c r="DJ126" t="s">
        <v>1358</v>
      </c>
      <c r="DM126">
        <v>800</v>
      </c>
      <c r="DN126" t="s">
        <v>1320</v>
      </c>
      <c r="DO126" t="s">
        <v>1310</v>
      </c>
      <c r="DP126" t="s">
        <v>1309</v>
      </c>
      <c r="DQ126" t="s">
        <v>1309</v>
      </c>
      <c r="DR126" t="s">
        <v>1309</v>
      </c>
      <c r="DS126" t="s">
        <v>1309</v>
      </c>
      <c r="DT126" t="s">
        <v>1310</v>
      </c>
      <c r="DU126" t="s">
        <v>1309</v>
      </c>
      <c r="DV126" t="s">
        <v>1309</v>
      </c>
      <c r="DW126" t="s">
        <v>1309</v>
      </c>
      <c r="DY126" t="s">
        <v>1481</v>
      </c>
      <c r="DZ126">
        <v>800</v>
      </c>
      <c r="EA126" t="s">
        <v>1319</v>
      </c>
      <c r="EC126" t="s">
        <v>1457</v>
      </c>
      <c r="ED126">
        <v>800</v>
      </c>
      <c r="EE126" t="s">
        <v>1386</v>
      </c>
      <c r="EG126" t="s">
        <v>5357</v>
      </c>
      <c r="ET126" t="s">
        <v>1307</v>
      </c>
      <c r="EV126" t="s">
        <v>1319</v>
      </c>
      <c r="EW126" t="s">
        <v>1361</v>
      </c>
      <c r="EX126" t="s">
        <v>1319</v>
      </c>
      <c r="EY126" t="s">
        <v>1319</v>
      </c>
      <c r="EZ126" t="s">
        <v>1319</v>
      </c>
      <c r="FA126" t="s">
        <v>2022</v>
      </c>
      <c r="FB126" t="s">
        <v>1310</v>
      </c>
      <c r="FC126" t="s">
        <v>1309</v>
      </c>
      <c r="FD126" t="s">
        <v>1309</v>
      </c>
      <c r="FE126" t="s">
        <v>1309</v>
      </c>
      <c r="FF126" t="s">
        <v>1309</v>
      </c>
      <c r="FG126" t="s">
        <v>1310</v>
      </c>
      <c r="FH126" t="s">
        <v>1309</v>
      </c>
      <c r="FI126" t="s">
        <v>1309</v>
      </c>
      <c r="FJ126" t="s">
        <v>1309</v>
      </c>
      <c r="FK126" t="s">
        <v>1309</v>
      </c>
      <c r="FL126" t="s">
        <v>1309</v>
      </c>
      <c r="FM126" t="s">
        <v>1310</v>
      </c>
      <c r="FN126" t="s">
        <v>1310</v>
      </c>
      <c r="FO126" t="s">
        <v>1310</v>
      </c>
      <c r="FP126" t="s">
        <v>1309</v>
      </c>
      <c r="FQ126" t="s">
        <v>1309</v>
      </c>
      <c r="FR126" t="s">
        <v>1309</v>
      </c>
      <c r="FT126" t="s">
        <v>1319</v>
      </c>
      <c r="FU126" t="s">
        <v>2023</v>
      </c>
      <c r="FV126" t="s">
        <v>1310</v>
      </c>
      <c r="FW126" t="s">
        <v>1310</v>
      </c>
      <c r="FX126" t="s">
        <v>1309</v>
      </c>
      <c r="FY126" t="s">
        <v>1310</v>
      </c>
      <c r="FZ126" t="s">
        <v>1309</v>
      </c>
      <c r="GA126" t="s">
        <v>1310</v>
      </c>
      <c r="GB126" t="s">
        <v>1309</v>
      </c>
      <c r="GC126" t="s">
        <v>1309</v>
      </c>
      <c r="GD126" t="s">
        <v>1310</v>
      </c>
      <c r="GE126" t="s">
        <v>1309</v>
      </c>
      <c r="GF126" t="s">
        <v>1309</v>
      </c>
      <c r="GG126" t="s">
        <v>1309</v>
      </c>
      <c r="GI126" t="s">
        <v>1448</v>
      </c>
      <c r="GJ126" t="s">
        <v>1324</v>
      </c>
      <c r="GT126" t="s">
        <v>1325</v>
      </c>
      <c r="GU126" t="s">
        <v>1310</v>
      </c>
      <c r="GV126" t="s">
        <v>1309</v>
      </c>
      <c r="GW126" t="s">
        <v>1309</v>
      </c>
      <c r="GX126" t="s">
        <v>1309</v>
      </c>
      <c r="GY126" t="s">
        <v>1309</v>
      </c>
      <c r="GZ126" t="s">
        <v>1309</v>
      </c>
      <c r="HA126" t="s">
        <v>1309</v>
      </c>
      <c r="HB126" t="s">
        <v>1309</v>
      </c>
      <c r="HC126" t="s">
        <v>1309</v>
      </c>
      <c r="HD126" t="s">
        <v>1309</v>
      </c>
      <c r="HE126" t="s">
        <v>1309</v>
      </c>
      <c r="HF126" t="s">
        <v>1309</v>
      </c>
      <c r="HH126" t="s">
        <v>1363</v>
      </c>
      <c r="HI126" t="s">
        <v>1390</v>
      </c>
      <c r="HJ126" t="s">
        <v>1390</v>
      </c>
      <c r="HK126" t="s">
        <v>1327</v>
      </c>
      <c r="HL126" t="s">
        <v>1364</v>
      </c>
      <c r="HM126" t="s">
        <v>1390</v>
      </c>
      <c r="IA126" t="s">
        <v>1319</v>
      </c>
      <c r="IB126" t="s">
        <v>1540</v>
      </c>
      <c r="IC126" t="s">
        <v>1309</v>
      </c>
      <c r="ID126" t="s">
        <v>1309</v>
      </c>
      <c r="IE126" t="s">
        <v>1309</v>
      </c>
      <c r="IF126" t="s">
        <v>1309</v>
      </c>
      <c r="IG126" t="s">
        <v>1310</v>
      </c>
      <c r="IH126" t="s">
        <v>1309</v>
      </c>
      <c r="II126" t="s">
        <v>1310</v>
      </c>
      <c r="IJ126" t="s">
        <v>1309</v>
      </c>
      <c r="IK126" t="s">
        <v>1310</v>
      </c>
      <c r="IL126" t="s">
        <v>1309</v>
      </c>
      <c r="IM126" t="s">
        <v>1309</v>
      </c>
      <c r="IN126" t="s">
        <v>1309</v>
      </c>
      <c r="IO126" t="s">
        <v>1309</v>
      </c>
      <c r="IQ126" t="s">
        <v>1330</v>
      </c>
      <c r="IS126" t="s">
        <v>1354</v>
      </c>
      <c r="JF126" t="s">
        <v>1316</v>
      </c>
      <c r="JG126" t="s">
        <v>1414</v>
      </c>
      <c r="JH126" t="s">
        <v>1309</v>
      </c>
      <c r="JI126" t="s">
        <v>1309</v>
      </c>
      <c r="JJ126" t="s">
        <v>1309</v>
      </c>
      <c r="JK126" t="s">
        <v>1309</v>
      </c>
      <c r="JL126" t="s">
        <v>1309</v>
      </c>
      <c r="JM126" t="s">
        <v>1309</v>
      </c>
      <c r="JN126" t="s">
        <v>1310</v>
      </c>
      <c r="JO126" t="s">
        <v>1309</v>
      </c>
      <c r="JQ126" s="92" t="s">
        <v>1524</v>
      </c>
      <c r="JR126" s="92" t="s">
        <v>1525</v>
      </c>
      <c r="JS126" s="92">
        <v>35</v>
      </c>
      <c r="JT126" s="92" t="s">
        <v>1319</v>
      </c>
      <c r="JU126" s="92" t="s">
        <v>1335</v>
      </c>
      <c r="JV126" s="92" t="s">
        <v>1526</v>
      </c>
      <c r="JW126" s="92" t="s">
        <v>1296</v>
      </c>
      <c r="JX126" s="92" t="s">
        <v>71</v>
      </c>
      <c r="JY126" s="92" t="s">
        <v>5549</v>
      </c>
      <c r="JZ126" s="92" t="s">
        <v>1337</v>
      </c>
      <c r="KA126" s="92" t="s">
        <v>4846</v>
      </c>
      <c r="KB126" s="92" t="s">
        <v>1415</v>
      </c>
      <c r="KC126" s="92" t="s">
        <v>192</v>
      </c>
      <c r="KD126" s="92" t="s">
        <v>4847</v>
      </c>
      <c r="KE126" s="92" t="s">
        <v>1371</v>
      </c>
      <c r="KF126" s="92">
        <v>1800</v>
      </c>
      <c r="KG126" s="92" t="s">
        <v>4438</v>
      </c>
      <c r="KH126" s="92" t="s">
        <v>109</v>
      </c>
      <c r="KI126" s="92" t="s">
        <v>192</v>
      </c>
      <c r="KJ126" s="92" t="s">
        <v>109</v>
      </c>
      <c r="KK126" s="92" t="s">
        <v>109</v>
      </c>
      <c r="KL126" s="92" t="s">
        <v>1440</v>
      </c>
      <c r="KM126" s="92">
        <v>800</v>
      </c>
      <c r="KN126" s="92" t="s">
        <v>1372</v>
      </c>
      <c r="KO126" s="92" t="s">
        <v>1374</v>
      </c>
      <c r="KP126" s="92" t="s">
        <v>1401</v>
      </c>
      <c r="KQ126" s="92" t="s">
        <v>192</v>
      </c>
      <c r="KR126" s="92"/>
      <c r="KS126" s="92" t="s">
        <v>1466</v>
      </c>
      <c r="KT126" s="92" t="s">
        <v>1344</v>
      </c>
      <c r="KU126" s="92"/>
      <c r="KV126" s="92" t="s">
        <v>1441</v>
      </c>
      <c r="KW126" s="92" t="s">
        <v>1402</v>
      </c>
      <c r="KX126" s="92" t="s">
        <v>1376</v>
      </c>
      <c r="KY126" s="92" t="s">
        <v>1377</v>
      </c>
      <c r="KZ126" s="92" t="s">
        <v>5795</v>
      </c>
      <c r="LA126" s="92" t="s">
        <v>192</v>
      </c>
      <c r="LB126" s="92" t="s">
        <v>192</v>
      </c>
      <c r="LC126" s="92" t="s">
        <v>4438</v>
      </c>
      <c r="LD126" s="92" t="s">
        <v>1372</v>
      </c>
      <c r="LE126" s="92" t="s">
        <v>109</v>
      </c>
      <c r="LF126" s="92" t="s">
        <v>109</v>
      </c>
    </row>
    <row r="127" spans="1:318" x14ac:dyDescent="0.25">
      <c r="A127" t="s">
        <v>2024</v>
      </c>
      <c r="B127" t="s">
        <v>2025</v>
      </c>
      <c r="C127" t="s">
        <v>1304</v>
      </c>
      <c r="D127" t="s">
        <v>1305</v>
      </c>
      <c r="E127" t="s">
        <v>1381</v>
      </c>
      <c r="G127" t="s">
        <v>1319</v>
      </c>
      <c r="H127">
        <v>5</v>
      </c>
      <c r="I127" t="s">
        <v>1358</v>
      </c>
      <c r="J127" t="s">
        <v>2026</v>
      </c>
      <c r="K127" t="s">
        <v>1310</v>
      </c>
      <c r="L127" t="s">
        <v>1310</v>
      </c>
      <c r="M127" t="s">
        <v>1309</v>
      </c>
      <c r="N127" t="s">
        <v>1309</v>
      </c>
      <c r="O127" t="s">
        <v>1310</v>
      </c>
      <c r="P127" t="s">
        <v>1309</v>
      </c>
      <c r="Q127" t="s">
        <v>1309</v>
      </c>
      <c r="R127" t="s">
        <v>1309</v>
      </c>
      <c r="S127">
        <v>2</v>
      </c>
      <c r="U127" t="s">
        <v>1312</v>
      </c>
      <c r="V127" t="s">
        <v>1312</v>
      </c>
      <c r="W127" t="s">
        <v>1312</v>
      </c>
      <c r="X127" t="s">
        <v>1312</v>
      </c>
      <c r="Y127" t="s">
        <v>1312</v>
      </c>
      <c r="Z127" t="s">
        <v>1312</v>
      </c>
      <c r="AC127">
        <v>5</v>
      </c>
      <c r="AD127">
        <v>10000</v>
      </c>
      <c r="AE127">
        <v>5000</v>
      </c>
      <c r="AF127" t="s">
        <v>1313</v>
      </c>
      <c r="AH127" t="s">
        <v>1383</v>
      </c>
      <c r="AJ127" t="s">
        <v>1315</v>
      </c>
      <c r="AL127" t="s">
        <v>1354</v>
      </c>
      <c r="BS127" t="s">
        <v>1307</v>
      </c>
      <c r="CE127" t="s">
        <v>1355</v>
      </c>
      <c r="CF127" t="s">
        <v>1309</v>
      </c>
      <c r="CG127" t="s">
        <v>1309</v>
      </c>
      <c r="CH127" t="s">
        <v>1309</v>
      </c>
      <c r="CI127" t="s">
        <v>1309</v>
      </c>
      <c r="CJ127" t="s">
        <v>1309</v>
      </c>
      <c r="CK127" t="s">
        <v>1309</v>
      </c>
      <c r="CL127" t="s">
        <v>1309</v>
      </c>
      <c r="CM127" t="s">
        <v>1309</v>
      </c>
      <c r="CN127" t="s">
        <v>1310</v>
      </c>
      <c r="CO127" t="s">
        <v>1309</v>
      </c>
      <c r="CP127" t="s">
        <v>1309</v>
      </c>
      <c r="CQ127" t="s">
        <v>1309</v>
      </c>
      <c r="CR127" t="s">
        <v>1309</v>
      </c>
      <c r="CT127" t="s">
        <v>4434</v>
      </c>
      <c r="CV127" t="s">
        <v>1308</v>
      </c>
      <c r="CW127" t="s">
        <v>1310</v>
      </c>
      <c r="CX127" t="s">
        <v>1309</v>
      </c>
      <c r="CY127" t="s">
        <v>1309</v>
      </c>
      <c r="CZ127" t="s">
        <v>1309</v>
      </c>
      <c r="DA127" t="s">
        <v>1309</v>
      </c>
      <c r="DB127" t="s">
        <v>1309</v>
      </c>
      <c r="DC127" t="s">
        <v>1309</v>
      </c>
      <c r="DE127" t="s">
        <v>1358</v>
      </c>
      <c r="DG127">
        <v>3000</v>
      </c>
      <c r="DI127">
        <v>500</v>
      </c>
      <c r="DJ127" t="s">
        <v>1318</v>
      </c>
      <c r="DK127">
        <v>4000</v>
      </c>
      <c r="DM127">
        <v>700</v>
      </c>
      <c r="DN127" t="s">
        <v>1676</v>
      </c>
      <c r="DO127" t="s">
        <v>1309</v>
      </c>
      <c r="DP127" t="s">
        <v>1309</v>
      </c>
      <c r="DQ127" t="s">
        <v>1309</v>
      </c>
      <c r="DR127" t="s">
        <v>1309</v>
      </c>
      <c r="DS127" t="s">
        <v>1310</v>
      </c>
      <c r="DT127" t="s">
        <v>1310</v>
      </c>
      <c r="DU127" t="s">
        <v>1309</v>
      </c>
      <c r="DV127" t="s">
        <v>1309</v>
      </c>
      <c r="DW127" t="s">
        <v>1309</v>
      </c>
      <c r="DY127" t="s">
        <v>1359</v>
      </c>
      <c r="DZ127">
        <v>340</v>
      </c>
      <c r="EA127" t="s">
        <v>1319</v>
      </c>
      <c r="EC127" t="s">
        <v>1360</v>
      </c>
      <c r="ED127">
        <v>1000</v>
      </c>
      <c r="EE127" t="s">
        <v>1319</v>
      </c>
      <c r="EG127" t="s">
        <v>5357</v>
      </c>
      <c r="ET127" t="s">
        <v>1307</v>
      </c>
      <c r="EV127" t="s">
        <v>1319</v>
      </c>
      <c r="EW127" t="s">
        <v>1409</v>
      </c>
      <c r="EX127" t="s">
        <v>1319</v>
      </c>
      <c r="EY127" t="s">
        <v>1319</v>
      </c>
      <c r="FA127" t="s">
        <v>2027</v>
      </c>
      <c r="FB127" t="s">
        <v>1309</v>
      </c>
      <c r="FC127" t="s">
        <v>1309</v>
      </c>
      <c r="FD127" t="s">
        <v>1310</v>
      </c>
      <c r="FE127" t="s">
        <v>1310</v>
      </c>
      <c r="FF127" t="s">
        <v>1309</v>
      </c>
      <c r="FG127" t="s">
        <v>1309</v>
      </c>
      <c r="FH127" t="s">
        <v>1309</v>
      </c>
      <c r="FI127" t="s">
        <v>1310</v>
      </c>
      <c r="FJ127" t="s">
        <v>1310</v>
      </c>
      <c r="FK127" t="s">
        <v>1309</v>
      </c>
      <c r="FL127" t="s">
        <v>1309</v>
      </c>
      <c r="FM127" t="s">
        <v>1309</v>
      </c>
      <c r="FN127" t="s">
        <v>1310</v>
      </c>
      <c r="FO127" t="s">
        <v>1309</v>
      </c>
      <c r="FP127" t="s">
        <v>1309</v>
      </c>
      <c r="FQ127" t="s">
        <v>1309</v>
      </c>
      <c r="FR127" t="s">
        <v>1309</v>
      </c>
      <c r="FT127" t="s">
        <v>1319</v>
      </c>
      <c r="FU127" t="s">
        <v>1649</v>
      </c>
      <c r="FV127" t="s">
        <v>1310</v>
      </c>
      <c r="FW127" t="s">
        <v>1310</v>
      </c>
      <c r="FX127" t="s">
        <v>1309</v>
      </c>
      <c r="FY127" t="s">
        <v>1309</v>
      </c>
      <c r="FZ127" t="s">
        <v>1309</v>
      </c>
      <c r="GA127" t="s">
        <v>1309</v>
      </c>
      <c r="GB127" t="s">
        <v>1309</v>
      </c>
      <c r="GC127" t="s">
        <v>1309</v>
      </c>
      <c r="GD127" t="s">
        <v>1309</v>
      </c>
      <c r="GE127" t="s">
        <v>1309</v>
      </c>
      <c r="GF127" t="s">
        <v>1309</v>
      </c>
      <c r="GG127" t="s">
        <v>1309</v>
      </c>
      <c r="GI127" t="s">
        <v>1436</v>
      </c>
      <c r="GJ127" t="s">
        <v>1436</v>
      </c>
      <c r="GK127" t="s">
        <v>1307</v>
      </c>
      <c r="GT127" t="s">
        <v>1325</v>
      </c>
      <c r="GU127" t="s">
        <v>1310</v>
      </c>
      <c r="GV127" t="s">
        <v>1309</v>
      </c>
      <c r="GW127" t="s">
        <v>1309</v>
      </c>
      <c r="GX127" t="s">
        <v>1309</v>
      </c>
      <c r="GY127" t="s">
        <v>1309</v>
      </c>
      <c r="GZ127" t="s">
        <v>1309</v>
      </c>
      <c r="HA127" t="s">
        <v>1309</v>
      </c>
      <c r="HB127" t="s">
        <v>1309</v>
      </c>
      <c r="HC127" t="s">
        <v>1309</v>
      </c>
      <c r="HD127" t="s">
        <v>1309</v>
      </c>
      <c r="HE127" t="s">
        <v>1309</v>
      </c>
      <c r="HF127" t="s">
        <v>1309</v>
      </c>
      <c r="HH127" t="s">
        <v>1363</v>
      </c>
      <c r="HI127" t="s">
        <v>1363</v>
      </c>
      <c r="HJ127" t="s">
        <v>1363</v>
      </c>
      <c r="HK127" t="s">
        <v>1327</v>
      </c>
      <c r="HL127" t="s">
        <v>1364</v>
      </c>
      <c r="HM127" t="s">
        <v>1363</v>
      </c>
      <c r="IA127" t="s">
        <v>1307</v>
      </c>
      <c r="IQ127" t="s">
        <v>1365</v>
      </c>
      <c r="IS127" t="s">
        <v>1354</v>
      </c>
      <c r="JF127" t="s">
        <v>1316</v>
      </c>
      <c r="JG127" t="s">
        <v>1393</v>
      </c>
      <c r="JH127" t="s">
        <v>1310</v>
      </c>
      <c r="JI127" t="s">
        <v>1309</v>
      </c>
      <c r="JJ127" t="s">
        <v>1309</v>
      </c>
      <c r="JK127" t="s">
        <v>1309</v>
      </c>
      <c r="JL127" t="s">
        <v>1309</v>
      </c>
      <c r="JM127" t="s">
        <v>1309</v>
      </c>
      <c r="JN127" t="s">
        <v>1309</v>
      </c>
      <c r="JO127" t="s">
        <v>1309</v>
      </c>
      <c r="JQ127" s="92" t="s">
        <v>1524</v>
      </c>
      <c r="JR127" s="92" t="s">
        <v>1525</v>
      </c>
      <c r="JS127" s="92">
        <v>33</v>
      </c>
      <c r="JT127" s="92" t="s">
        <v>1319</v>
      </c>
      <c r="JU127" s="92" t="s">
        <v>1396</v>
      </c>
      <c r="JV127" s="92" t="s">
        <v>1526</v>
      </c>
      <c r="JW127" s="92" t="s">
        <v>1296</v>
      </c>
      <c r="JX127" s="92" t="s">
        <v>71</v>
      </c>
      <c r="JY127" s="92" t="s">
        <v>1397</v>
      </c>
      <c r="JZ127" s="92" t="s">
        <v>1398</v>
      </c>
      <c r="KA127" s="92" t="s">
        <v>4846</v>
      </c>
      <c r="KB127" s="92" t="s">
        <v>1415</v>
      </c>
      <c r="KC127" s="92" t="s">
        <v>109</v>
      </c>
      <c r="KD127" s="92" t="s">
        <v>4848</v>
      </c>
      <c r="KE127" s="92" t="s">
        <v>1424</v>
      </c>
      <c r="KF127" s="92">
        <v>3500</v>
      </c>
      <c r="KG127" s="92" t="s">
        <v>4439</v>
      </c>
      <c r="KH127" s="92" t="s">
        <v>192</v>
      </c>
      <c r="KI127" s="92" t="s">
        <v>109</v>
      </c>
      <c r="KJ127" s="92" t="s">
        <v>192</v>
      </c>
      <c r="KK127" s="92" t="s">
        <v>109</v>
      </c>
      <c r="KL127" s="92" t="s">
        <v>1341</v>
      </c>
      <c r="KM127" s="92">
        <v>4700</v>
      </c>
      <c r="KN127" s="92" t="s">
        <v>4439</v>
      </c>
      <c r="KO127" s="92" t="s">
        <v>1341</v>
      </c>
      <c r="KP127" s="92" t="s">
        <v>1460</v>
      </c>
      <c r="KQ127" s="92" t="s">
        <v>192</v>
      </c>
      <c r="KR127" s="92">
        <v>10</v>
      </c>
      <c r="KS127" s="92" t="s">
        <v>1343</v>
      </c>
      <c r="KT127" s="92" t="s">
        <v>1344</v>
      </c>
      <c r="KU127" s="92">
        <v>21</v>
      </c>
      <c r="KV127" s="92" t="s">
        <v>1461</v>
      </c>
      <c r="KW127" s="92" t="s">
        <v>1344</v>
      </c>
      <c r="KX127" s="92" t="s">
        <v>1376</v>
      </c>
      <c r="KY127" s="92" t="s">
        <v>1377</v>
      </c>
      <c r="KZ127" s="92" t="s">
        <v>1403</v>
      </c>
      <c r="LA127" s="92" t="s">
        <v>109</v>
      </c>
      <c r="LB127" s="92" t="s">
        <v>109</v>
      </c>
      <c r="LC127" s="92" t="s">
        <v>4439</v>
      </c>
      <c r="LD127" s="92" t="s">
        <v>4439</v>
      </c>
      <c r="LE127" s="92" t="s">
        <v>109</v>
      </c>
      <c r="LF127" s="92" t="s">
        <v>109</v>
      </c>
    </row>
    <row r="128" spans="1:318" x14ac:dyDescent="0.25">
      <c r="A128" t="s">
        <v>2028</v>
      </c>
      <c r="B128" t="s">
        <v>2029</v>
      </c>
      <c r="C128" t="s">
        <v>1304</v>
      </c>
      <c r="D128" t="s">
        <v>1429</v>
      </c>
      <c r="E128" t="s">
        <v>1306</v>
      </c>
      <c r="G128" t="s">
        <v>1307</v>
      </c>
      <c r="H128">
        <v>1</v>
      </c>
      <c r="J128" t="s">
        <v>1430</v>
      </c>
      <c r="K128" t="s">
        <v>1309</v>
      </c>
      <c r="L128" t="s">
        <v>1309</v>
      </c>
      <c r="M128" t="s">
        <v>1310</v>
      </c>
      <c r="N128" t="s">
        <v>1309</v>
      </c>
      <c r="O128" t="s">
        <v>1309</v>
      </c>
      <c r="P128" t="s">
        <v>1309</v>
      </c>
      <c r="Q128" t="s">
        <v>1309</v>
      </c>
      <c r="R128" t="s">
        <v>1309</v>
      </c>
      <c r="T128">
        <v>1</v>
      </c>
      <c r="U128" t="s">
        <v>1311</v>
      </c>
      <c r="V128" t="s">
        <v>1311</v>
      </c>
      <c r="W128" t="s">
        <v>1311</v>
      </c>
      <c r="X128" t="s">
        <v>1311</v>
      </c>
      <c r="Y128" t="s">
        <v>1312</v>
      </c>
      <c r="Z128" t="s">
        <v>1312</v>
      </c>
      <c r="AC128">
        <v>1</v>
      </c>
      <c r="AD128">
        <v>2500</v>
      </c>
      <c r="AE128">
        <v>3500</v>
      </c>
      <c r="AF128" t="s">
        <v>1351</v>
      </c>
      <c r="AH128" t="s">
        <v>1314</v>
      </c>
      <c r="AJ128" t="s">
        <v>1353</v>
      </c>
      <c r="AL128" t="s">
        <v>1316</v>
      </c>
      <c r="BA128" t="s">
        <v>1354</v>
      </c>
      <c r="BS128" t="s">
        <v>1307</v>
      </c>
      <c r="CE128" t="s">
        <v>1355</v>
      </c>
      <c r="CF128" t="s">
        <v>1309</v>
      </c>
      <c r="CG128" t="s">
        <v>1309</v>
      </c>
      <c r="CH128" t="s">
        <v>1309</v>
      </c>
      <c r="CI128" t="s">
        <v>1309</v>
      </c>
      <c r="CJ128" t="s">
        <v>1309</v>
      </c>
      <c r="CK128" t="s">
        <v>1309</v>
      </c>
      <c r="CL128" t="s">
        <v>1309</v>
      </c>
      <c r="CM128" t="s">
        <v>1309</v>
      </c>
      <c r="CN128" t="s">
        <v>1310</v>
      </c>
      <c r="CO128" t="s">
        <v>1309</v>
      </c>
      <c r="CP128" t="s">
        <v>1309</v>
      </c>
      <c r="CQ128" t="s">
        <v>1309</v>
      </c>
      <c r="CR128" t="s">
        <v>1309</v>
      </c>
      <c r="CT128" t="s">
        <v>4436</v>
      </c>
      <c r="CV128" t="s">
        <v>1308</v>
      </c>
      <c r="CW128" t="s">
        <v>1310</v>
      </c>
      <c r="CX128" t="s">
        <v>1309</v>
      </c>
      <c r="CY128" t="s">
        <v>1309</v>
      </c>
      <c r="CZ128" t="s">
        <v>1309</v>
      </c>
      <c r="DA128" t="s">
        <v>1309</v>
      </c>
      <c r="DB128" t="s">
        <v>1309</v>
      </c>
      <c r="DC128" t="s">
        <v>1309</v>
      </c>
      <c r="DE128" t="s">
        <v>1318</v>
      </c>
      <c r="DF128" t="s">
        <v>1319</v>
      </c>
      <c r="DG128">
        <v>350</v>
      </c>
      <c r="DI128">
        <v>200</v>
      </c>
      <c r="DJ128" t="s">
        <v>1318</v>
      </c>
      <c r="DM128">
        <v>400</v>
      </c>
      <c r="DN128" t="s">
        <v>1672</v>
      </c>
      <c r="DO128" t="s">
        <v>1310</v>
      </c>
      <c r="DP128" t="s">
        <v>1309</v>
      </c>
      <c r="DQ128" t="s">
        <v>1309</v>
      </c>
      <c r="DR128" t="s">
        <v>1309</v>
      </c>
      <c r="DS128" t="s">
        <v>1309</v>
      </c>
      <c r="DT128" t="s">
        <v>1310</v>
      </c>
      <c r="DU128" t="s">
        <v>1309</v>
      </c>
      <c r="DV128" t="s">
        <v>1309</v>
      </c>
      <c r="DW128" t="s">
        <v>1309</v>
      </c>
      <c r="DY128" t="s">
        <v>1696</v>
      </c>
      <c r="DZ128">
        <v>500</v>
      </c>
      <c r="EA128" t="s">
        <v>1386</v>
      </c>
      <c r="EC128" t="s">
        <v>1420</v>
      </c>
      <c r="ED128">
        <v>1000</v>
      </c>
      <c r="EE128" t="s">
        <v>1319</v>
      </c>
      <c r="EG128" t="s">
        <v>5356</v>
      </c>
      <c r="EI128" t="s">
        <v>1307</v>
      </c>
      <c r="ET128" t="s">
        <v>1307</v>
      </c>
      <c r="EV128" t="s">
        <v>1319</v>
      </c>
      <c r="EW128" t="s">
        <v>1409</v>
      </c>
      <c r="EX128" t="s">
        <v>1319</v>
      </c>
      <c r="EY128" t="s">
        <v>1307</v>
      </c>
      <c r="EZ128" t="s">
        <v>1307</v>
      </c>
      <c r="FA128" t="s">
        <v>1697</v>
      </c>
      <c r="FB128" t="s">
        <v>1309</v>
      </c>
      <c r="FC128" t="s">
        <v>1309</v>
      </c>
      <c r="FD128" t="s">
        <v>1309</v>
      </c>
      <c r="FE128" t="s">
        <v>1309</v>
      </c>
      <c r="FF128" t="s">
        <v>1309</v>
      </c>
      <c r="FG128" t="s">
        <v>1309</v>
      </c>
      <c r="FH128" t="s">
        <v>1309</v>
      </c>
      <c r="FI128" t="s">
        <v>1310</v>
      </c>
      <c r="FJ128" t="s">
        <v>1309</v>
      </c>
      <c r="FK128" t="s">
        <v>1309</v>
      </c>
      <c r="FL128" t="s">
        <v>1309</v>
      </c>
      <c r="FM128" t="s">
        <v>1309</v>
      </c>
      <c r="FN128" t="s">
        <v>1309</v>
      </c>
      <c r="FO128" t="s">
        <v>1309</v>
      </c>
      <c r="FP128" t="s">
        <v>1309</v>
      </c>
      <c r="FQ128" t="s">
        <v>1309</v>
      </c>
      <c r="FR128" t="s">
        <v>1309</v>
      </c>
      <c r="FT128" t="s">
        <v>1319</v>
      </c>
      <c r="FU128" t="s">
        <v>1626</v>
      </c>
      <c r="FV128" t="s">
        <v>1309</v>
      </c>
      <c r="FW128" t="s">
        <v>1310</v>
      </c>
      <c r="FX128" t="s">
        <v>1309</v>
      </c>
      <c r="FY128" t="s">
        <v>1309</v>
      </c>
      <c r="FZ128" t="s">
        <v>1309</v>
      </c>
      <c r="GA128" t="s">
        <v>1309</v>
      </c>
      <c r="GB128" t="s">
        <v>1309</v>
      </c>
      <c r="GC128" t="s">
        <v>1309</v>
      </c>
      <c r="GD128" t="s">
        <v>1309</v>
      </c>
      <c r="GE128" t="s">
        <v>1309</v>
      </c>
      <c r="GF128" t="s">
        <v>1309</v>
      </c>
      <c r="GG128" t="s">
        <v>1309</v>
      </c>
      <c r="GI128" t="s">
        <v>1324</v>
      </c>
      <c r="GJ128" t="s">
        <v>1324</v>
      </c>
      <c r="GT128" t="s">
        <v>1325</v>
      </c>
      <c r="GU128" t="s">
        <v>1310</v>
      </c>
      <c r="GV128" t="s">
        <v>1309</v>
      </c>
      <c r="GW128" t="s">
        <v>1309</v>
      </c>
      <c r="GX128" t="s">
        <v>1309</v>
      </c>
      <c r="GY128" t="s">
        <v>1309</v>
      </c>
      <c r="GZ128" t="s">
        <v>1309</v>
      </c>
      <c r="HA128" t="s">
        <v>1309</v>
      </c>
      <c r="HB128" t="s">
        <v>1309</v>
      </c>
      <c r="HC128" t="s">
        <v>1309</v>
      </c>
      <c r="HD128" t="s">
        <v>1309</v>
      </c>
      <c r="HE128" t="s">
        <v>1309</v>
      </c>
      <c r="HF128" t="s">
        <v>1309</v>
      </c>
      <c r="HH128" t="s">
        <v>1390</v>
      </c>
      <c r="HI128" t="s">
        <v>1390</v>
      </c>
      <c r="HJ128" t="s">
        <v>1390</v>
      </c>
      <c r="HK128" t="s">
        <v>1327</v>
      </c>
      <c r="HL128" t="s">
        <v>1437</v>
      </c>
      <c r="HM128" t="s">
        <v>1390</v>
      </c>
      <c r="HN128" t="s">
        <v>1550</v>
      </c>
      <c r="HO128" t="s">
        <v>1310</v>
      </c>
      <c r="HP128" t="s">
        <v>1309</v>
      </c>
      <c r="HQ128" t="s">
        <v>1309</v>
      </c>
      <c r="HR128" t="s">
        <v>1310</v>
      </c>
      <c r="HS128" t="s">
        <v>1309</v>
      </c>
      <c r="HT128" t="s">
        <v>1309</v>
      </c>
      <c r="HU128" t="s">
        <v>1309</v>
      </c>
      <c r="HV128" t="s">
        <v>1309</v>
      </c>
      <c r="HW128" t="s">
        <v>1309</v>
      </c>
      <c r="HX128" t="s">
        <v>1309</v>
      </c>
      <c r="HY128" t="s">
        <v>1309</v>
      </c>
      <c r="IA128" t="s">
        <v>1307</v>
      </c>
      <c r="IQ128" t="s">
        <v>1330</v>
      </c>
      <c r="IS128" t="s">
        <v>1316</v>
      </c>
      <c r="JF128" t="s">
        <v>1316</v>
      </c>
      <c r="JG128" t="s">
        <v>1414</v>
      </c>
      <c r="JH128" t="s">
        <v>1309</v>
      </c>
      <c r="JI128" t="s">
        <v>1309</v>
      </c>
      <c r="JJ128" t="s">
        <v>1309</v>
      </c>
      <c r="JK128" t="s">
        <v>1309</v>
      </c>
      <c r="JL128" t="s">
        <v>1309</v>
      </c>
      <c r="JM128" t="s">
        <v>1309</v>
      </c>
      <c r="JN128" t="s">
        <v>1310</v>
      </c>
      <c r="JO128" t="s">
        <v>1309</v>
      </c>
      <c r="JQ128" s="92" t="s">
        <v>1711</v>
      </c>
      <c r="JR128" s="92" t="s">
        <v>2030</v>
      </c>
      <c r="JS128" s="92">
        <v>78</v>
      </c>
      <c r="JT128" s="92" t="s">
        <v>1319</v>
      </c>
      <c r="JU128" s="92" t="s">
        <v>1335</v>
      </c>
      <c r="JV128" s="92" t="s">
        <v>1368</v>
      </c>
      <c r="JW128" s="92" t="s">
        <v>1296</v>
      </c>
      <c r="JX128" s="92" t="s">
        <v>70</v>
      </c>
      <c r="JY128" s="92" t="s">
        <v>5549</v>
      </c>
      <c r="JZ128" s="92" t="s">
        <v>1369</v>
      </c>
      <c r="KA128" s="92" t="s">
        <v>4844</v>
      </c>
      <c r="KB128" s="92" t="s">
        <v>1476</v>
      </c>
      <c r="KC128" s="92" t="s">
        <v>109</v>
      </c>
      <c r="KD128" s="92" t="s">
        <v>4844</v>
      </c>
      <c r="KE128" s="92" t="s">
        <v>5561</v>
      </c>
      <c r="KF128" s="92">
        <v>550</v>
      </c>
      <c r="KG128" s="92" t="s">
        <v>4438</v>
      </c>
      <c r="KH128" s="92" t="s">
        <v>192</v>
      </c>
      <c r="KI128" s="92" t="s">
        <v>109</v>
      </c>
      <c r="KJ128" s="92" t="s">
        <v>109</v>
      </c>
      <c r="KK128" s="92" t="s">
        <v>109</v>
      </c>
      <c r="KL128" s="92" t="s">
        <v>1374</v>
      </c>
      <c r="KM128" s="92">
        <v>400</v>
      </c>
      <c r="KN128" s="92" t="s">
        <v>4438</v>
      </c>
      <c r="KO128" s="92" t="s">
        <v>1373</v>
      </c>
      <c r="KP128" s="92" t="s">
        <v>1401</v>
      </c>
      <c r="KQ128" s="92" t="s">
        <v>192</v>
      </c>
      <c r="KR128" s="92"/>
      <c r="KS128" s="92" t="s">
        <v>1345</v>
      </c>
      <c r="KT128" s="92" t="s">
        <v>1402</v>
      </c>
      <c r="KU128" s="92"/>
      <c r="KV128" s="92" t="s">
        <v>1461</v>
      </c>
      <c r="KW128" s="92" t="s">
        <v>1344</v>
      </c>
      <c r="KX128" s="92" t="s">
        <v>1346</v>
      </c>
      <c r="KY128" s="92" t="s">
        <v>1377</v>
      </c>
      <c r="KZ128" s="92" t="s">
        <v>5795</v>
      </c>
      <c r="LA128" s="92" t="s">
        <v>109</v>
      </c>
      <c r="LB128" s="92" t="s">
        <v>109</v>
      </c>
      <c r="LC128" s="92" t="s">
        <v>4438</v>
      </c>
      <c r="LD128" s="92" t="s">
        <v>1372</v>
      </c>
      <c r="LE128" s="92" t="s">
        <v>192</v>
      </c>
      <c r="LF128" s="92" t="s">
        <v>192</v>
      </c>
    </row>
    <row r="129" spans="1:318" x14ac:dyDescent="0.25">
      <c r="A129" t="s">
        <v>2031</v>
      </c>
      <c r="B129" t="s">
        <v>2032</v>
      </c>
      <c r="C129" t="s">
        <v>1304</v>
      </c>
      <c r="D129" t="s">
        <v>1429</v>
      </c>
      <c r="E129" t="s">
        <v>1306</v>
      </c>
      <c r="G129" t="s">
        <v>1307</v>
      </c>
      <c r="H129">
        <v>3</v>
      </c>
      <c r="I129" t="s">
        <v>1307</v>
      </c>
      <c r="J129" t="s">
        <v>1406</v>
      </c>
      <c r="K129" t="s">
        <v>1309</v>
      </c>
      <c r="L129" t="s">
        <v>1310</v>
      </c>
      <c r="M129" t="s">
        <v>1309</v>
      </c>
      <c r="N129" t="s">
        <v>1309</v>
      </c>
      <c r="O129" t="s">
        <v>1309</v>
      </c>
      <c r="P129" t="s">
        <v>1309</v>
      </c>
      <c r="Q129" t="s">
        <v>1309</v>
      </c>
      <c r="R129" t="s">
        <v>1309</v>
      </c>
      <c r="S129">
        <v>1</v>
      </c>
      <c r="U129" t="s">
        <v>1312</v>
      </c>
      <c r="V129" t="s">
        <v>1312</v>
      </c>
      <c r="W129" t="s">
        <v>1312</v>
      </c>
      <c r="X129" t="s">
        <v>1312</v>
      </c>
      <c r="Y129" t="s">
        <v>1312</v>
      </c>
      <c r="Z129" t="s">
        <v>1312</v>
      </c>
      <c r="AC129">
        <v>2</v>
      </c>
      <c r="AE129">
        <v>10000</v>
      </c>
      <c r="AF129" t="s">
        <v>1351</v>
      </c>
      <c r="AH129" t="s">
        <v>1383</v>
      </c>
      <c r="AJ129" t="s">
        <v>1315</v>
      </c>
      <c r="AL129" t="s">
        <v>1316</v>
      </c>
      <c r="BS129" t="s">
        <v>1307</v>
      </c>
      <c r="CE129" t="s">
        <v>1414</v>
      </c>
      <c r="CF129" t="s">
        <v>1309</v>
      </c>
      <c r="CG129" t="s">
        <v>1309</v>
      </c>
      <c r="CH129" t="s">
        <v>1309</v>
      </c>
      <c r="CI129" t="s">
        <v>1309</v>
      </c>
      <c r="CJ129" t="s">
        <v>1309</v>
      </c>
      <c r="CK129" t="s">
        <v>1309</v>
      </c>
      <c r="CL129" t="s">
        <v>1309</v>
      </c>
      <c r="CM129" t="s">
        <v>1309</v>
      </c>
      <c r="CN129" t="s">
        <v>1309</v>
      </c>
      <c r="CO129" t="s">
        <v>1309</v>
      </c>
      <c r="CP129" t="s">
        <v>1309</v>
      </c>
      <c r="CQ129" t="s">
        <v>1310</v>
      </c>
      <c r="CR129" t="s">
        <v>1309</v>
      </c>
      <c r="CT129" t="s">
        <v>4434</v>
      </c>
      <c r="CV129" t="s">
        <v>1357</v>
      </c>
      <c r="CW129" t="s">
        <v>1309</v>
      </c>
      <c r="CX129" t="s">
        <v>1309</v>
      </c>
      <c r="CY129" t="s">
        <v>1309</v>
      </c>
      <c r="CZ129" t="s">
        <v>1309</v>
      </c>
      <c r="DA129" t="s">
        <v>1310</v>
      </c>
      <c r="DB129" t="s">
        <v>1309</v>
      </c>
      <c r="DC129" t="s">
        <v>1309</v>
      </c>
      <c r="DE129" t="s">
        <v>1318</v>
      </c>
      <c r="DG129">
        <v>2800</v>
      </c>
      <c r="DI129">
        <v>500</v>
      </c>
      <c r="DJ129" t="s">
        <v>1318</v>
      </c>
      <c r="DK129">
        <v>3500</v>
      </c>
      <c r="DM129">
        <v>900</v>
      </c>
      <c r="DN129" t="s">
        <v>1432</v>
      </c>
      <c r="DO129" t="s">
        <v>1310</v>
      </c>
      <c r="DP129" t="s">
        <v>1309</v>
      </c>
      <c r="DQ129" t="s">
        <v>1309</v>
      </c>
      <c r="DR129" t="s">
        <v>1310</v>
      </c>
      <c r="DS129" t="s">
        <v>1309</v>
      </c>
      <c r="DT129" t="s">
        <v>1310</v>
      </c>
      <c r="DU129" t="s">
        <v>1309</v>
      </c>
      <c r="DV129" t="s">
        <v>1309</v>
      </c>
      <c r="DW129" t="s">
        <v>1309</v>
      </c>
      <c r="DY129" t="s">
        <v>1433</v>
      </c>
      <c r="DZ129">
        <v>500</v>
      </c>
      <c r="EA129" t="s">
        <v>1319</v>
      </c>
      <c r="EC129" t="s">
        <v>1658</v>
      </c>
      <c r="ED129">
        <v>550</v>
      </c>
      <c r="EE129" t="s">
        <v>1319</v>
      </c>
      <c r="EG129" t="s">
        <v>5357</v>
      </c>
      <c r="ET129" t="s">
        <v>1307</v>
      </c>
      <c r="EV129" t="s">
        <v>1307</v>
      </c>
      <c r="EX129" t="s">
        <v>1307</v>
      </c>
      <c r="EY129" t="s">
        <v>1319</v>
      </c>
      <c r="FA129" t="s">
        <v>1323</v>
      </c>
      <c r="FB129" t="s">
        <v>1310</v>
      </c>
      <c r="FC129" t="s">
        <v>1309</v>
      </c>
      <c r="FD129" t="s">
        <v>1309</v>
      </c>
      <c r="FE129" t="s">
        <v>1309</v>
      </c>
      <c r="FF129" t="s">
        <v>1309</v>
      </c>
      <c r="FG129" t="s">
        <v>1309</v>
      </c>
      <c r="FH129" t="s">
        <v>1309</v>
      </c>
      <c r="FI129" t="s">
        <v>1309</v>
      </c>
      <c r="FJ129" t="s">
        <v>1309</v>
      </c>
      <c r="FK129" t="s">
        <v>1309</v>
      </c>
      <c r="FL129" t="s">
        <v>1309</v>
      </c>
      <c r="FM129" t="s">
        <v>1309</v>
      </c>
      <c r="FN129" t="s">
        <v>1309</v>
      </c>
      <c r="FO129" t="s">
        <v>1309</v>
      </c>
      <c r="FP129" t="s">
        <v>1309</v>
      </c>
      <c r="FQ129" t="s">
        <v>1309</v>
      </c>
      <c r="FR129" t="s">
        <v>1309</v>
      </c>
      <c r="FT129" t="s">
        <v>1307</v>
      </c>
      <c r="GI129" t="s">
        <v>1324</v>
      </c>
      <c r="GJ129" t="s">
        <v>1324</v>
      </c>
      <c r="GT129" t="s">
        <v>1325</v>
      </c>
      <c r="GU129" t="s">
        <v>1310</v>
      </c>
      <c r="GV129" t="s">
        <v>1309</v>
      </c>
      <c r="GW129" t="s">
        <v>1309</v>
      </c>
      <c r="GX129" t="s">
        <v>1309</v>
      </c>
      <c r="GY129" t="s">
        <v>1309</v>
      </c>
      <c r="GZ129" t="s">
        <v>1309</v>
      </c>
      <c r="HA129" t="s">
        <v>1309</v>
      </c>
      <c r="HB129" t="s">
        <v>1309</v>
      </c>
      <c r="HC129" t="s">
        <v>1309</v>
      </c>
      <c r="HD129" t="s">
        <v>1309</v>
      </c>
      <c r="HE129" t="s">
        <v>1309</v>
      </c>
      <c r="HF129" t="s">
        <v>1309</v>
      </c>
      <c r="HH129" t="s">
        <v>1326</v>
      </c>
      <c r="HI129" t="s">
        <v>1326</v>
      </c>
      <c r="HJ129" t="s">
        <v>1326</v>
      </c>
      <c r="HK129" t="s">
        <v>1327</v>
      </c>
      <c r="HL129" t="s">
        <v>1328</v>
      </c>
      <c r="HM129" t="s">
        <v>1326</v>
      </c>
      <c r="HN129" t="s">
        <v>1329</v>
      </c>
      <c r="HO129" t="s">
        <v>1309</v>
      </c>
      <c r="HP129" t="s">
        <v>1309</v>
      </c>
      <c r="HQ129" t="s">
        <v>1309</v>
      </c>
      <c r="HR129" t="s">
        <v>1310</v>
      </c>
      <c r="HS129" t="s">
        <v>1309</v>
      </c>
      <c r="HT129" t="s">
        <v>1309</v>
      </c>
      <c r="HU129" t="s">
        <v>1309</v>
      </c>
      <c r="HV129" t="s">
        <v>1309</v>
      </c>
      <c r="HW129" t="s">
        <v>1309</v>
      </c>
      <c r="HX129" t="s">
        <v>1309</v>
      </c>
      <c r="HY129" t="s">
        <v>1309</v>
      </c>
      <c r="IA129" t="s">
        <v>1307</v>
      </c>
      <c r="IQ129" t="s">
        <v>1330</v>
      </c>
      <c r="IS129" t="s">
        <v>1316</v>
      </c>
      <c r="JF129" t="s">
        <v>1331</v>
      </c>
      <c r="JG129" t="s">
        <v>1414</v>
      </c>
      <c r="JH129" t="s">
        <v>1309</v>
      </c>
      <c r="JI129" t="s">
        <v>1309</v>
      </c>
      <c r="JJ129" t="s">
        <v>1309</v>
      </c>
      <c r="JK129" t="s">
        <v>1309</v>
      </c>
      <c r="JL129" t="s">
        <v>1309</v>
      </c>
      <c r="JM129" t="s">
        <v>1309</v>
      </c>
      <c r="JN129" t="s">
        <v>1310</v>
      </c>
      <c r="JO129" t="s">
        <v>1309</v>
      </c>
      <c r="JQ129" s="92" t="s">
        <v>1711</v>
      </c>
      <c r="JR129" s="92" t="s">
        <v>2030</v>
      </c>
      <c r="JS129" s="92">
        <v>40</v>
      </c>
      <c r="JT129" s="92" t="s">
        <v>1319</v>
      </c>
      <c r="JU129" s="92" t="s">
        <v>1335</v>
      </c>
      <c r="JV129" s="92" t="s">
        <v>1368</v>
      </c>
      <c r="JW129" s="92" t="s">
        <v>1296</v>
      </c>
      <c r="JX129" s="92" t="s">
        <v>70</v>
      </c>
      <c r="JY129" s="92" t="s">
        <v>5549</v>
      </c>
      <c r="JZ129" s="92" t="s">
        <v>1337</v>
      </c>
      <c r="KA129" s="92" t="s">
        <v>4845</v>
      </c>
      <c r="KB129" s="92" t="s">
        <v>1415</v>
      </c>
      <c r="KC129" s="92" t="s">
        <v>109</v>
      </c>
      <c r="KD129" s="92" t="s">
        <v>4847</v>
      </c>
      <c r="KE129" s="92" t="s">
        <v>1340</v>
      </c>
      <c r="KF129" s="92">
        <v>3300</v>
      </c>
      <c r="KG129" s="92" t="s">
        <v>1340</v>
      </c>
      <c r="KH129" s="92" t="s">
        <v>192</v>
      </c>
      <c r="KI129" s="92" t="s">
        <v>109</v>
      </c>
      <c r="KJ129" s="92" t="s">
        <v>192</v>
      </c>
      <c r="KK129" s="92" t="s">
        <v>109</v>
      </c>
      <c r="KL129" s="92" t="s">
        <v>1341</v>
      </c>
      <c r="KM129" s="92">
        <v>4400</v>
      </c>
      <c r="KN129" s="92" t="s">
        <v>1340</v>
      </c>
      <c r="KO129" s="92" t="s">
        <v>1341</v>
      </c>
      <c r="KP129" s="92" t="s">
        <v>1375</v>
      </c>
      <c r="KQ129" s="92" t="s">
        <v>192</v>
      </c>
      <c r="KR129" s="92">
        <v>15</v>
      </c>
      <c r="KS129" s="92" t="s">
        <v>1345</v>
      </c>
      <c r="KT129" s="92" t="s">
        <v>1344</v>
      </c>
      <c r="KU129" s="92">
        <v>12</v>
      </c>
      <c r="KV129" s="92" t="s">
        <v>1345</v>
      </c>
      <c r="KW129" s="92" t="s">
        <v>1344</v>
      </c>
      <c r="KX129" s="92" t="s">
        <v>1346</v>
      </c>
      <c r="KY129" s="92" t="s">
        <v>1347</v>
      </c>
      <c r="KZ129" s="92" t="s">
        <v>5795</v>
      </c>
      <c r="LA129" s="92" t="s">
        <v>109</v>
      </c>
      <c r="LB129" s="92" t="s">
        <v>109</v>
      </c>
      <c r="LC129" s="92" t="s">
        <v>5566</v>
      </c>
      <c r="LD129" s="92" t="s">
        <v>5566</v>
      </c>
      <c r="LE129" s="92"/>
      <c r="LF129" s="92"/>
    </row>
    <row r="130" spans="1:318" x14ac:dyDescent="0.25">
      <c r="A130" t="s">
        <v>2033</v>
      </c>
      <c r="B130" t="s">
        <v>2034</v>
      </c>
      <c r="C130" t="s">
        <v>1304</v>
      </c>
      <c r="D130" t="s">
        <v>1305</v>
      </c>
      <c r="E130" t="s">
        <v>1306</v>
      </c>
      <c r="G130" t="s">
        <v>1319</v>
      </c>
      <c r="H130">
        <v>5</v>
      </c>
      <c r="I130" t="s">
        <v>1318</v>
      </c>
      <c r="J130" t="s">
        <v>2035</v>
      </c>
      <c r="K130" t="s">
        <v>1309</v>
      </c>
      <c r="L130" t="s">
        <v>1310</v>
      </c>
      <c r="M130" t="s">
        <v>1309</v>
      </c>
      <c r="N130" t="s">
        <v>1310</v>
      </c>
      <c r="O130" t="s">
        <v>1310</v>
      </c>
      <c r="P130" t="s">
        <v>1309</v>
      </c>
      <c r="Q130" t="s">
        <v>1309</v>
      </c>
      <c r="R130" t="s">
        <v>1309</v>
      </c>
      <c r="S130">
        <v>2</v>
      </c>
      <c r="U130" t="s">
        <v>1311</v>
      </c>
      <c r="V130" t="s">
        <v>1312</v>
      </c>
      <c r="W130" t="s">
        <v>1311</v>
      </c>
      <c r="X130" t="s">
        <v>1312</v>
      </c>
      <c r="Y130" t="s">
        <v>1311</v>
      </c>
      <c r="Z130" t="s">
        <v>1312</v>
      </c>
      <c r="AA130">
        <v>0</v>
      </c>
      <c r="AC130">
        <v>3</v>
      </c>
      <c r="AD130">
        <v>20000</v>
      </c>
      <c r="AE130">
        <v>15000</v>
      </c>
      <c r="AF130" t="s">
        <v>1313</v>
      </c>
      <c r="AH130" t="s">
        <v>1314</v>
      </c>
      <c r="AJ130" t="s">
        <v>1315</v>
      </c>
      <c r="AL130" t="s">
        <v>1354</v>
      </c>
      <c r="BS130" t="s">
        <v>1307</v>
      </c>
      <c r="CE130" t="s">
        <v>1695</v>
      </c>
      <c r="CF130" t="s">
        <v>1309</v>
      </c>
      <c r="CG130" t="s">
        <v>1309</v>
      </c>
      <c r="CH130" t="s">
        <v>1309</v>
      </c>
      <c r="CI130" t="s">
        <v>1309</v>
      </c>
      <c r="CJ130" t="s">
        <v>1309</v>
      </c>
      <c r="CK130" t="s">
        <v>1309</v>
      </c>
      <c r="CL130" t="s">
        <v>1310</v>
      </c>
      <c r="CM130" t="s">
        <v>1309</v>
      </c>
      <c r="CN130" t="s">
        <v>1310</v>
      </c>
      <c r="CO130" t="s">
        <v>1309</v>
      </c>
      <c r="CP130" t="s">
        <v>1309</v>
      </c>
      <c r="CQ130" t="s">
        <v>1309</v>
      </c>
      <c r="CR130" t="s">
        <v>1309</v>
      </c>
      <c r="CT130" t="s">
        <v>4435</v>
      </c>
      <c r="CV130" t="s">
        <v>1308</v>
      </c>
      <c r="CW130" t="s">
        <v>1310</v>
      </c>
      <c r="CX130" t="s">
        <v>1309</v>
      </c>
      <c r="CY130" t="s">
        <v>1309</v>
      </c>
      <c r="CZ130" t="s">
        <v>1309</v>
      </c>
      <c r="DA130" t="s">
        <v>1309</v>
      </c>
      <c r="DB130" t="s">
        <v>1309</v>
      </c>
      <c r="DC130" t="s">
        <v>1309</v>
      </c>
      <c r="DE130" t="s">
        <v>1358</v>
      </c>
      <c r="DF130" t="s">
        <v>1319</v>
      </c>
      <c r="DG130">
        <v>300</v>
      </c>
      <c r="DH130">
        <v>700</v>
      </c>
      <c r="DI130">
        <v>400</v>
      </c>
      <c r="DJ130" t="s">
        <v>1358</v>
      </c>
      <c r="DK130">
        <v>300</v>
      </c>
      <c r="DL130">
        <v>1700</v>
      </c>
      <c r="DM130">
        <v>300</v>
      </c>
      <c r="DN130" t="s">
        <v>1584</v>
      </c>
      <c r="DO130" t="s">
        <v>1310</v>
      </c>
      <c r="DP130" t="s">
        <v>1309</v>
      </c>
      <c r="DQ130" t="s">
        <v>1309</v>
      </c>
      <c r="DR130" t="s">
        <v>1309</v>
      </c>
      <c r="DS130" t="s">
        <v>1310</v>
      </c>
      <c r="DT130" t="s">
        <v>1310</v>
      </c>
      <c r="DU130" t="s">
        <v>1309</v>
      </c>
      <c r="DV130" t="s">
        <v>1309</v>
      </c>
      <c r="DW130" t="s">
        <v>1309</v>
      </c>
      <c r="DY130" t="s">
        <v>1456</v>
      </c>
      <c r="DZ130">
        <v>590</v>
      </c>
      <c r="EA130" t="s">
        <v>1319</v>
      </c>
      <c r="EC130" t="s">
        <v>1457</v>
      </c>
      <c r="ED130">
        <v>600</v>
      </c>
      <c r="EE130" t="s">
        <v>1319</v>
      </c>
      <c r="EG130" t="s">
        <v>5357</v>
      </c>
      <c r="ET130" t="s">
        <v>1319</v>
      </c>
      <c r="EU130" t="s">
        <v>2036</v>
      </c>
      <c r="EV130" t="s">
        <v>1319</v>
      </c>
      <c r="EW130" t="s">
        <v>1361</v>
      </c>
      <c r="EX130" t="s">
        <v>1319</v>
      </c>
      <c r="EY130" t="s">
        <v>1307</v>
      </c>
      <c r="FA130" t="s">
        <v>1638</v>
      </c>
      <c r="FB130" t="s">
        <v>1309</v>
      </c>
      <c r="FC130" t="s">
        <v>1309</v>
      </c>
      <c r="FD130" t="s">
        <v>1309</v>
      </c>
      <c r="FE130" t="s">
        <v>1309</v>
      </c>
      <c r="FF130" t="s">
        <v>1309</v>
      </c>
      <c r="FG130" t="s">
        <v>1309</v>
      </c>
      <c r="FH130" t="s">
        <v>1309</v>
      </c>
      <c r="FI130" t="s">
        <v>1309</v>
      </c>
      <c r="FJ130" t="s">
        <v>1309</v>
      </c>
      <c r="FK130" t="s">
        <v>1309</v>
      </c>
      <c r="FL130" t="s">
        <v>1310</v>
      </c>
      <c r="FM130" t="s">
        <v>1310</v>
      </c>
      <c r="FN130" t="s">
        <v>1309</v>
      </c>
      <c r="FO130" t="s">
        <v>1309</v>
      </c>
      <c r="FP130" t="s">
        <v>1309</v>
      </c>
      <c r="FQ130" t="s">
        <v>1309</v>
      </c>
      <c r="FR130" t="s">
        <v>1309</v>
      </c>
      <c r="FT130" t="s">
        <v>1319</v>
      </c>
      <c r="FU130" t="s">
        <v>1599</v>
      </c>
      <c r="FV130" t="s">
        <v>1309</v>
      </c>
      <c r="FW130" t="s">
        <v>1309</v>
      </c>
      <c r="FX130" t="s">
        <v>1309</v>
      </c>
      <c r="FY130" t="s">
        <v>1309</v>
      </c>
      <c r="FZ130" t="s">
        <v>1309</v>
      </c>
      <c r="GA130" t="s">
        <v>1310</v>
      </c>
      <c r="GB130" t="s">
        <v>1309</v>
      </c>
      <c r="GC130" t="s">
        <v>1309</v>
      </c>
      <c r="GD130" t="s">
        <v>1309</v>
      </c>
      <c r="GE130" t="s">
        <v>1309</v>
      </c>
      <c r="GF130" t="s">
        <v>1309</v>
      </c>
      <c r="GG130" t="s">
        <v>1309</v>
      </c>
      <c r="GI130" t="s">
        <v>1324</v>
      </c>
      <c r="GJ130" t="s">
        <v>1324</v>
      </c>
      <c r="GT130" t="s">
        <v>1325</v>
      </c>
      <c r="GU130" t="s">
        <v>1310</v>
      </c>
      <c r="GV130" t="s">
        <v>1309</v>
      </c>
      <c r="GW130" t="s">
        <v>1309</v>
      </c>
      <c r="GX130" t="s">
        <v>1309</v>
      </c>
      <c r="GY130" t="s">
        <v>1309</v>
      </c>
      <c r="GZ130" t="s">
        <v>1309</v>
      </c>
      <c r="HA130" t="s">
        <v>1309</v>
      </c>
      <c r="HB130" t="s">
        <v>1309</v>
      </c>
      <c r="HC130" t="s">
        <v>1309</v>
      </c>
      <c r="HD130" t="s">
        <v>1309</v>
      </c>
      <c r="HE130" t="s">
        <v>1309</v>
      </c>
      <c r="HF130" t="s">
        <v>1309</v>
      </c>
      <c r="HH130" t="s">
        <v>1390</v>
      </c>
      <c r="HI130" t="s">
        <v>1390</v>
      </c>
      <c r="HJ130" t="s">
        <v>1390</v>
      </c>
      <c r="HK130" t="s">
        <v>1327</v>
      </c>
      <c r="HL130" t="s">
        <v>1364</v>
      </c>
      <c r="HM130" t="s">
        <v>1363</v>
      </c>
      <c r="IA130" t="s">
        <v>1307</v>
      </c>
      <c r="IQ130" t="s">
        <v>1365</v>
      </c>
      <c r="IS130" t="s">
        <v>1354</v>
      </c>
      <c r="JF130" t="s">
        <v>1354</v>
      </c>
      <c r="JG130" t="s">
        <v>1393</v>
      </c>
      <c r="JH130" t="s">
        <v>1310</v>
      </c>
      <c r="JI130" t="s">
        <v>1309</v>
      </c>
      <c r="JJ130" t="s">
        <v>1309</v>
      </c>
      <c r="JK130" t="s">
        <v>1309</v>
      </c>
      <c r="JL130" t="s">
        <v>1309</v>
      </c>
      <c r="JM130" t="s">
        <v>1309</v>
      </c>
      <c r="JN130" t="s">
        <v>1309</v>
      </c>
      <c r="JO130" t="s">
        <v>1309</v>
      </c>
      <c r="JQ130" s="92" t="s">
        <v>1333</v>
      </c>
      <c r="JR130" s="92" t="s">
        <v>1334</v>
      </c>
      <c r="JS130" s="92">
        <v>59</v>
      </c>
      <c r="JT130" s="92" t="s">
        <v>1319</v>
      </c>
      <c r="JU130" s="92" t="s">
        <v>1575</v>
      </c>
      <c r="JV130" s="92" t="s">
        <v>1336</v>
      </c>
      <c r="JW130" s="92" t="s">
        <v>1296</v>
      </c>
      <c r="JX130" s="92" t="s">
        <v>71</v>
      </c>
      <c r="JY130" s="92" t="s">
        <v>5549</v>
      </c>
      <c r="JZ130" s="92" t="s">
        <v>1337</v>
      </c>
      <c r="KA130" s="92" t="s">
        <v>4846</v>
      </c>
      <c r="KB130" s="92" t="s">
        <v>1415</v>
      </c>
      <c r="KC130" s="92" t="s">
        <v>109</v>
      </c>
      <c r="KD130" s="92" t="s">
        <v>4848</v>
      </c>
      <c r="KE130" s="92" t="s">
        <v>1452</v>
      </c>
      <c r="KF130" s="92">
        <v>1400</v>
      </c>
      <c r="KG130" s="92" t="s">
        <v>1372</v>
      </c>
      <c r="KH130" s="92" t="s">
        <v>192</v>
      </c>
      <c r="KI130" s="92" t="s">
        <v>192</v>
      </c>
      <c r="KJ130" s="92" t="s">
        <v>192</v>
      </c>
      <c r="KK130" s="92" t="s">
        <v>192</v>
      </c>
      <c r="KL130" s="92" t="s">
        <v>1440</v>
      </c>
      <c r="KM130" s="92">
        <v>2300</v>
      </c>
      <c r="KN130" s="92" t="s">
        <v>4438</v>
      </c>
      <c r="KO130" s="92" t="s">
        <v>1425</v>
      </c>
      <c r="KP130" s="92" t="s">
        <v>1342</v>
      </c>
      <c r="KQ130" s="92" t="s">
        <v>192</v>
      </c>
      <c r="KR130" s="92">
        <v>42</v>
      </c>
      <c r="KS130" s="92" t="s">
        <v>1345</v>
      </c>
      <c r="KT130" s="92" t="s">
        <v>1344</v>
      </c>
      <c r="KU130" s="92">
        <v>26</v>
      </c>
      <c r="KV130" s="92" t="s">
        <v>1345</v>
      </c>
      <c r="KW130" s="92" t="s">
        <v>1344</v>
      </c>
      <c r="KX130" s="92" t="s">
        <v>1376</v>
      </c>
      <c r="KY130" s="92" t="s">
        <v>1377</v>
      </c>
      <c r="KZ130" s="92" t="s">
        <v>1378</v>
      </c>
      <c r="LA130" s="92" t="s">
        <v>109</v>
      </c>
      <c r="LB130" s="92" t="s">
        <v>109</v>
      </c>
      <c r="LC130" s="92" t="s">
        <v>1372</v>
      </c>
      <c r="LD130" s="92" t="s">
        <v>4438</v>
      </c>
      <c r="LE130" s="92" t="s">
        <v>109</v>
      </c>
      <c r="LF130" s="92" t="s">
        <v>109</v>
      </c>
    </row>
    <row r="131" spans="1:318" x14ac:dyDescent="0.25">
      <c r="A131" t="s">
        <v>2037</v>
      </c>
      <c r="B131" t="s">
        <v>2038</v>
      </c>
      <c r="C131" t="s">
        <v>1304</v>
      </c>
      <c r="D131" t="s">
        <v>1305</v>
      </c>
      <c r="E131" t="s">
        <v>1381</v>
      </c>
      <c r="G131" t="s">
        <v>1319</v>
      </c>
      <c r="H131">
        <v>4</v>
      </c>
      <c r="I131" t="s">
        <v>1358</v>
      </c>
      <c r="J131" t="s">
        <v>1406</v>
      </c>
      <c r="K131" t="s">
        <v>1309</v>
      </c>
      <c r="L131" t="s">
        <v>1310</v>
      </c>
      <c r="M131" t="s">
        <v>1309</v>
      </c>
      <c r="N131" t="s">
        <v>1309</v>
      </c>
      <c r="O131" t="s">
        <v>1309</v>
      </c>
      <c r="P131" t="s">
        <v>1309</v>
      </c>
      <c r="Q131" t="s">
        <v>1309</v>
      </c>
      <c r="R131" t="s">
        <v>1309</v>
      </c>
      <c r="S131">
        <v>2</v>
      </c>
      <c r="U131" t="s">
        <v>1311</v>
      </c>
      <c r="V131" t="s">
        <v>1312</v>
      </c>
      <c r="W131" t="s">
        <v>1312</v>
      </c>
      <c r="X131" t="s">
        <v>1312</v>
      </c>
      <c r="Y131" t="s">
        <v>1312</v>
      </c>
      <c r="Z131" t="s">
        <v>1312</v>
      </c>
      <c r="AC131">
        <v>4</v>
      </c>
      <c r="AD131">
        <v>10000</v>
      </c>
      <c r="AE131">
        <v>8000</v>
      </c>
      <c r="AF131" t="s">
        <v>1313</v>
      </c>
      <c r="AH131" t="s">
        <v>1383</v>
      </c>
      <c r="AJ131" t="s">
        <v>1315</v>
      </c>
      <c r="AL131" t="s">
        <v>1316</v>
      </c>
      <c r="BS131" t="s">
        <v>1307</v>
      </c>
      <c r="CE131" t="s">
        <v>1317</v>
      </c>
      <c r="CF131" t="s">
        <v>1309</v>
      </c>
      <c r="CG131" t="s">
        <v>1309</v>
      </c>
      <c r="CH131" t="s">
        <v>1309</v>
      </c>
      <c r="CI131" t="s">
        <v>1309</v>
      </c>
      <c r="CJ131" t="s">
        <v>1309</v>
      </c>
      <c r="CK131" t="s">
        <v>1309</v>
      </c>
      <c r="CL131" t="s">
        <v>1309</v>
      </c>
      <c r="CM131" t="s">
        <v>1309</v>
      </c>
      <c r="CN131" t="s">
        <v>1310</v>
      </c>
      <c r="CO131" t="s">
        <v>1310</v>
      </c>
      <c r="CP131" t="s">
        <v>1309</v>
      </c>
      <c r="CQ131" t="s">
        <v>1309</v>
      </c>
      <c r="CR131" t="s">
        <v>1309</v>
      </c>
      <c r="CT131" t="s">
        <v>4434</v>
      </c>
      <c r="CV131" t="s">
        <v>1308</v>
      </c>
      <c r="CW131" t="s">
        <v>1310</v>
      </c>
      <c r="CX131" t="s">
        <v>1309</v>
      </c>
      <c r="CY131" t="s">
        <v>1309</v>
      </c>
      <c r="CZ131" t="s">
        <v>1309</v>
      </c>
      <c r="DA131" t="s">
        <v>1309</v>
      </c>
      <c r="DB131" t="s">
        <v>1309</v>
      </c>
      <c r="DC131" t="s">
        <v>1309</v>
      </c>
      <c r="DE131" t="s">
        <v>1358</v>
      </c>
      <c r="DG131">
        <v>2400</v>
      </c>
      <c r="DI131">
        <v>500</v>
      </c>
      <c r="DJ131" t="s">
        <v>1358</v>
      </c>
      <c r="DK131">
        <v>4450</v>
      </c>
      <c r="DM131">
        <v>600</v>
      </c>
      <c r="DN131" t="s">
        <v>1676</v>
      </c>
      <c r="DO131" t="s">
        <v>1309</v>
      </c>
      <c r="DP131" t="s">
        <v>1309</v>
      </c>
      <c r="DQ131" t="s">
        <v>1309</v>
      </c>
      <c r="DR131" t="s">
        <v>1309</v>
      </c>
      <c r="DS131" t="s">
        <v>1310</v>
      </c>
      <c r="DT131" t="s">
        <v>1310</v>
      </c>
      <c r="DU131" t="s">
        <v>1309</v>
      </c>
      <c r="DV131" t="s">
        <v>1309</v>
      </c>
      <c r="DW131" t="s">
        <v>1309</v>
      </c>
      <c r="DY131" t="s">
        <v>1490</v>
      </c>
      <c r="DZ131">
        <v>410</v>
      </c>
      <c r="EA131" t="s">
        <v>1319</v>
      </c>
      <c r="EC131" t="s">
        <v>1624</v>
      </c>
      <c r="ED131">
        <v>1000</v>
      </c>
      <c r="EE131" t="s">
        <v>1319</v>
      </c>
      <c r="EG131" t="s">
        <v>5356</v>
      </c>
      <c r="EI131" t="s">
        <v>1307</v>
      </c>
      <c r="ET131" t="s">
        <v>1307</v>
      </c>
      <c r="EV131" t="s">
        <v>1319</v>
      </c>
      <c r="EW131" t="s">
        <v>1421</v>
      </c>
      <c r="EX131" t="s">
        <v>1319</v>
      </c>
      <c r="EY131" t="s">
        <v>1307</v>
      </c>
      <c r="FA131" t="s">
        <v>2039</v>
      </c>
      <c r="FB131" t="s">
        <v>1309</v>
      </c>
      <c r="FC131" t="s">
        <v>1309</v>
      </c>
      <c r="FD131" t="s">
        <v>1309</v>
      </c>
      <c r="FE131" t="s">
        <v>1309</v>
      </c>
      <c r="FF131" t="s">
        <v>1309</v>
      </c>
      <c r="FG131" t="s">
        <v>1309</v>
      </c>
      <c r="FH131" t="s">
        <v>1309</v>
      </c>
      <c r="FI131" t="s">
        <v>1309</v>
      </c>
      <c r="FJ131" t="s">
        <v>1309</v>
      </c>
      <c r="FK131" t="s">
        <v>1309</v>
      </c>
      <c r="FL131" t="s">
        <v>1309</v>
      </c>
      <c r="FM131" t="s">
        <v>1310</v>
      </c>
      <c r="FN131" t="s">
        <v>1309</v>
      </c>
      <c r="FO131" t="s">
        <v>1309</v>
      </c>
      <c r="FP131" t="s">
        <v>1309</v>
      </c>
      <c r="FQ131" t="s">
        <v>1309</v>
      </c>
      <c r="FR131" t="s">
        <v>1309</v>
      </c>
      <c r="FT131" t="s">
        <v>1319</v>
      </c>
      <c r="FU131" t="s">
        <v>2040</v>
      </c>
      <c r="FV131" t="s">
        <v>1310</v>
      </c>
      <c r="FW131" t="s">
        <v>1310</v>
      </c>
      <c r="FX131" t="s">
        <v>1309</v>
      </c>
      <c r="FY131" t="s">
        <v>1309</v>
      </c>
      <c r="FZ131" t="s">
        <v>1309</v>
      </c>
      <c r="GA131" t="s">
        <v>1310</v>
      </c>
      <c r="GB131" t="s">
        <v>1309</v>
      </c>
      <c r="GC131" t="s">
        <v>1309</v>
      </c>
      <c r="GD131" t="s">
        <v>1310</v>
      </c>
      <c r="GE131" t="s">
        <v>1309</v>
      </c>
      <c r="GF131" t="s">
        <v>1309</v>
      </c>
      <c r="GG131" t="s">
        <v>1309</v>
      </c>
      <c r="GI131" t="s">
        <v>1324</v>
      </c>
      <c r="GJ131" t="s">
        <v>1324</v>
      </c>
      <c r="GT131" t="s">
        <v>1325</v>
      </c>
      <c r="GU131" t="s">
        <v>1310</v>
      </c>
      <c r="GV131" t="s">
        <v>1309</v>
      </c>
      <c r="GW131" t="s">
        <v>1309</v>
      </c>
      <c r="GX131" t="s">
        <v>1309</v>
      </c>
      <c r="GY131" t="s">
        <v>1309</v>
      </c>
      <c r="GZ131" t="s">
        <v>1309</v>
      </c>
      <c r="HA131" t="s">
        <v>1309</v>
      </c>
      <c r="HB131" t="s">
        <v>1309</v>
      </c>
      <c r="HC131" t="s">
        <v>1309</v>
      </c>
      <c r="HD131" t="s">
        <v>1309</v>
      </c>
      <c r="HE131" t="s">
        <v>1309</v>
      </c>
      <c r="HF131" t="s">
        <v>1309</v>
      </c>
      <c r="HH131" t="s">
        <v>1326</v>
      </c>
      <c r="HI131" t="s">
        <v>1327</v>
      </c>
      <c r="HJ131" t="s">
        <v>1326</v>
      </c>
      <c r="HK131" t="s">
        <v>1327</v>
      </c>
      <c r="HL131" t="s">
        <v>1437</v>
      </c>
      <c r="HM131" t="s">
        <v>1326</v>
      </c>
      <c r="HN131" t="s">
        <v>1698</v>
      </c>
      <c r="HO131" t="s">
        <v>1309</v>
      </c>
      <c r="HP131" t="s">
        <v>1309</v>
      </c>
      <c r="HQ131" t="s">
        <v>1309</v>
      </c>
      <c r="HR131" t="s">
        <v>1309</v>
      </c>
      <c r="HS131" t="s">
        <v>1309</v>
      </c>
      <c r="HT131" t="s">
        <v>1309</v>
      </c>
      <c r="HU131" t="s">
        <v>1309</v>
      </c>
      <c r="HV131" t="s">
        <v>1309</v>
      </c>
      <c r="HW131" t="s">
        <v>1310</v>
      </c>
      <c r="HX131" t="s">
        <v>1309</v>
      </c>
      <c r="HY131" t="s">
        <v>1309</v>
      </c>
      <c r="HZ131" t="s">
        <v>2041</v>
      </c>
      <c r="IA131" t="s">
        <v>1319</v>
      </c>
      <c r="IB131" t="s">
        <v>1579</v>
      </c>
      <c r="IC131" t="s">
        <v>1309</v>
      </c>
      <c r="ID131" t="s">
        <v>1309</v>
      </c>
      <c r="IE131" t="s">
        <v>1309</v>
      </c>
      <c r="IF131" t="s">
        <v>1309</v>
      </c>
      <c r="IG131" t="s">
        <v>1310</v>
      </c>
      <c r="IH131" t="s">
        <v>1309</v>
      </c>
      <c r="II131" t="s">
        <v>1309</v>
      </c>
      <c r="IJ131" t="s">
        <v>1309</v>
      </c>
      <c r="IK131" t="s">
        <v>1310</v>
      </c>
      <c r="IL131" t="s">
        <v>1309</v>
      </c>
      <c r="IM131" t="s">
        <v>1309</v>
      </c>
      <c r="IN131" t="s">
        <v>1309</v>
      </c>
      <c r="IO131" t="s">
        <v>1309</v>
      </c>
      <c r="IQ131" t="s">
        <v>1365</v>
      </c>
      <c r="IS131" t="s">
        <v>1316</v>
      </c>
      <c r="JF131" t="s">
        <v>1331</v>
      </c>
      <c r="JG131" t="s">
        <v>1523</v>
      </c>
      <c r="JH131" t="s">
        <v>1309</v>
      </c>
      <c r="JI131" t="s">
        <v>1309</v>
      </c>
      <c r="JJ131" t="s">
        <v>1309</v>
      </c>
      <c r="JK131" t="s">
        <v>1310</v>
      </c>
      <c r="JL131" t="s">
        <v>1309</v>
      </c>
      <c r="JM131" t="s">
        <v>1309</v>
      </c>
      <c r="JN131" t="s">
        <v>1309</v>
      </c>
      <c r="JO131" t="s">
        <v>1309</v>
      </c>
      <c r="JQ131" s="92" t="s">
        <v>2042</v>
      </c>
      <c r="JR131" s="92" t="s">
        <v>2043</v>
      </c>
      <c r="JS131" s="92">
        <v>46</v>
      </c>
      <c r="JT131" s="92" t="s">
        <v>1319</v>
      </c>
      <c r="JU131" s="92" t="s">
        <v>1396</v>
      </c>
      <c r="JV131" s="92" t="s">
        <v>1336</v>
      </c>
      <c r="JW131" s="92" t="s">
        <v>1296</v>
      </c>
      <c r="JX131" s="92" t="s">
        <v>71</v>
      </c>
      <c r="JY131" s="92" t="s">
        <v>1397</v>
      </c>
      <c r="JZ131" s="92" t="s">
        <v>1337</v>
      </c>
      <c r="KA131" s="92" t="s">
        <v>4845</v>
      </c>
      <c r="KB131" s="92" t="s">
        <v>1415</v>
      </c>
      <c r="KC131" s="92" t="s">
        <v>109</v>
      </c>
      <c r="KD131" s="92" t="s">
        <v>4848</v>
      </c>
      <c r="KE131" s="92" t="s">
        <v>1424</v>
      </c>
      <c r="KF131" s="92">
        <v>2900</v>
      </c>
      <c r="KG131" s="92" t="s">
        <v>4439</v>
      </c>
      <c r="KH131" s="92" t="s">
        <v>192</v>
      </c>
      <c r="KI131" s="92" t="s">
        <v>109</v>
      </c>
      <c r="KJ131" s="92" t="s">
        <v>192</v>
      </c>
      <c r="KK131" s="92" t="s">
        <v>109</v>
      </c>
      <c r="KL131" s="92" t="s">
        <v>1425</v>
      </c>
      <c r="KM131" s="92">
        <v>5050</v>
      </c>
      <c r="KN131" s="92" t="s">
        <v>4439</v>
      </c>
      <c r="KO131" s="92" t="s">
        <v>1341</v>
      </c>
      <c r="KP131" s="92" t="s">
        <v>1460</v>
      </c>
      <c r="KQ131" s="92" t="s">
        <v>192</v>
      </c>
      <c r="KR131" s="92">
        <v>14</v>
      </c>
      <c r="KS131" s="92" t="s">
        <v>1343</v>
      </c>
      <c r="KT131" s="92" t="s">
        <v>1344</v>
      </c>
      <c r="KU131" s="92">
        <v>20</v>
      </c>
      <c r="KV131" s="92" t="s">
        <v>1461</v>
      </c>
      <c r="KW131" s="92" t="s">
        <v>1344</v>
      </c>
      <c r="KX131" s="92" t="s">
        <v>1346</v>
      </c>
      <c r="KY131" s="92" t="s">
        <v>1377</v>
      </c>
      <c r="KZ131" s="92" t="s">
        <v>1403</v>
      </c>
      <c r="LA131" s="92" t="s">
        <v>109</v>
      </c>
      <c r="LB131" s="92" t="s">
        <v>109</v>
      </c>
      <c r="LC131" s="92" t="s">
        <v>4439</v>
      </c>
      <c r="LD131" s="92" t="s">
        <v>4439</v>
      </c>
      <c r="LE131" s="92" t="s">
        <v>192</v>
      </c>
      <c r="LF131" s="92" t="s">
        <v>192</v>
      </c>
    </row>
    <row r="132" spans="1:318" x14ac:dyDescent="0.25">
      <c r="A132" t="s">
        <v>2044</v>
      </c>
      <c r="B132" t="s">
        <v>2045</v>
      </c>
      <c r="C132" t="s">
        <v>1304</v>
      </c>
      <c r="D132" t="s">
        <v>1305</v>
      </c>
      <c r="E132" t="s">
        <v>1306</v>
      </c>
      <c r="G132" t="s">
        <v>1307</v>
      </c>
      <c r="H132">
        <v>4</v>
      </c>
      <c r="I132" t="s">
        <v>1307</v>
      </c>
      <c r="J132" t="s">
        <v>1430</v>
      </c>
      <c r="K132" t="s">
        <v>1309</v>
      </c>
      <c r="L132" t="s">
        <v>1309</v>
      </c>
      <c r="M132" t="s">
        <v>1310</v>
      </c>
      <c r="N132" t="s">
        <v>1309</v>
      </c>
      <c r="O132" t="s">
        <v>1309</v>
      </c>
      <c r="P132" t="s">
        <v>1309</v>
      </c>
      <c r="Q132" t="s">
        <v>1309</v>
      </c>
      <c r="R132" t="s">
        <v>1309</v>
      </c>
      <c r="T132">
        <v>2</v>
      </c>
      <c r="U132" t="s">
        <v>1311</v>
      </c>
      <c r="V132" t="s">
        <v>1312</v>
      </c>
      <c r="W132" t="s">
        <v>1311</v>
      </c>
      <c r="X132" t="s">
        <v>1312</v>
      </c>
      <c r="Y132" t="s">
        <v>1312</v>
      </c>
      <c r="Z132" t="s">
        <v>1312</v>
      </c>
      <c r="AC132">
        <v>3</v>
      </c>
      <c r="AD132">
        <v>10000</v>
      </c>
      <c r="AE132">
        <v>8000</v>
      </c>
      <c r="AF132" t="s">
        <v>1351</v>
      </c>
      <c r="AH132" t="s">
        <v>1314</v>
      </c>
      <c r="AJ132" t="s">
        <v>1315</v>
      </c>
      <c r="AL132" t="s">
        <v>1316</v>
      </c>
      <c r="BS132" t="s">
        <v>1307</v>
      </c>
      <c r="CE132" t="s">
        <v>1355</v>
      </c>
      <c r="CF132" t="s">
        <v>1309</v>
      </c>
      <c r="CG132" t="s">
        <v>1309</v>
      </c>
      <c r="CH132" t="s">
        <v>1309</v>
      </c>
      <c r="CI132" t="s">
        <v>1309</v>
      </c>
      <c r="CJ132" t="s">
        <v>1309</v>
      </c>
      <c r="CK132" t="s">
        <v>1309</v>
      </c>
      <c r="CL132" t="s">
        <v>1309</v>
      </c>
      <c r="CM132" t="s">
        <v>1309</v>
      </c>
      <c r="CN132" t="s">
        <v>1310</v>
      </c>
      <c r="CO132" t="s">
        <v>1309</v>
      </c>
      <c r="CP132" t="s">
        <v>1309</v>
      </c>
      <c r="CQ132" t="s">
        <v>1309</v>
      </c>
      <c r="CR132" t="s">
        <v>1309</v>
      </c>
      <c r="CT132" t="s">
        <v>4434</v>
      </c>
      <c r="CV132" t="s">
        <v>1308</v>
      </c>
      <c r="CW132" t="s">
        <v>1310</v>
      </c>
      <c r="CX132" t="s">
        <v>1309</v>
      </c>
      <c r="CY132" t="s">
        <v>1309</v>
      </c>
      <c r="CZ132" t="s">
        <v>1309</v>
      </c>
      <c r="DA132" t="s">
        <v>1309</v>
      </c>
      <c r="DB132" t="s">
        <v>1309</v>
      </c>
      <c r="DC132" t="s">
        <v>1309</v>
      </c>
      <c r="DE132" t="s">
        <v>1358</v>
      </c>
      <c r="DG132">
        <v>1300</v>
      </c>
      <c r="DI132">
        <v>900</v>
      </c>
      <c r="DJ132" t="s">
        <v>1358</v>
      </c>
      <c r="DK132">
        <v>2700</v>
      </c>
      <c r="DM132">
        <v>800</v>
      </c>
      <c r="DN132" t="s">
        <v>1320</v>
      </c>
      <c r="DO132" t="s">
        <v>1310</v>
      </c>
      <c r="DP132" t="s">
        <v>1309</v>
      </c>
      <c r="DQ132" t="s">
        <v>1309</v>
      </c>
      <c r="DR132" t="s">
        <v>1309</v>
      </c>
      <c r="DS132" t="s">
        <v>1309</v>
      </c>
      <c r="DT132" t="s">
        <v>1310</v>
      </c>
      <c r="DU132" t="s">
        <v>1309</v>
      </c>
      <c r="DV132" t="s">
        <v>1309</v>
      </c>
      <c r="DW132" t="s">
        <v>1309</v>
      </c>
      <c r="DY132" t="s">
        <v>1456</v>
      </c>
      <c r="DZ132">
        <v>500</v>
      </c>
      <c r="EA132" t="s">
        <v>1414</v>
      </c>
      <c r="EC132" t="s">
        <v>1457</v>
      </c>
      <c r="ED132">
        <v>1000</v>
      </c>
      <c r="EE132" t="s">
        <v>1414</v>
      </c>
      <c r="EG132" t="s">
        <v>5357</v>
      </c>
      <c r="ET132" t="s">
        <v>1307</v>
      </c>
      <c r="EV132" t="s">
        <v>1319</v>
      </c>
      <c r="EW132" t="s">
        <v>1361</v>
      </c>
      <c r="EX132" t="s">
        <v>1319</v>
      </c>
      <c r="EY132" t="s">
        <v>1319</v>
      </c>
      <c r="FA132" t="s">
        <v>2046</v>
      </c>
      <c r="FB132" t="s">
        <v>1310</v>
      </c>
      <c r="FC132" t="s">
        <v>1309</v>
      </c>
      <c r="FD132" t="s">
        <v>1310</v>
      </c>
      <c r="FE132" t="s">
        <v>1309</v>
      </c>
      <c r="FF132" t="s">
        <v>1309</v>
      </c>
      <c r="FG132" t="s">
        <v>1309</v>
      </c>
      <c r="FH132" t="s">
        <v>1309</v>
      </c>
      <c r="FI132" t="s">
        <v>1310</v>
      </c>
      <c r="FJ132" t="s">
        <v>1310</v>
      </c>
      <c r="FK132" t="s">
        <v>1309</v>
      </c>
      <c r="FL132" t="s">
        <v>1309</v>
      </c>
      <c r="FM132" t="s">
        <v>1309</v>
      </c>
      <c r="FN132" t="s">
        <v>1310</v>
      </c>
      <c r="FO132" t="s">
        <v>1309</v>
      </c>
      <c r="FP132" t="s">
        <v>1309</v>
      </c>
      <c r="FQ132" t="s">
        <v>1309</v>
      </c>
      <c r="FR132" t="s">
        <v>1309</v>
      </c>
      <c r="FT132" t="s">
        <v>1319</v>
      </c>
      <c r="FU132" t="s">
        <v>2047</v>
      </c>
      <c r="FV132" t="s">
        <v>1309</v>
      </c>
      <c r="FW132" t="s">
        <v>1310</v>
      </c>
      <c r="FX132" t="s">
        <v>1310</v>
      </c>
      <c r="FY132" t="s">
        <v>1309</v>
      </c>
      <c r="FZ132" t="s">
        <v>1309</v>
      </c>
      <c r="GA132" t="s">
        <v>1309</v>
      </c>
      <c r="GB132" t="s">
        <v>1309</v>
      </c>
      <c r="GC132" t="s">
        <v>1309</v>
      </c>
      <c r="GD132" t="s">
        <v>1309</v>
      </c>
      <c r="GE132" t="s">
        <v>1309</v>
      </c>
      <c r="GF132" t="s">
        <v>1309</v>
      </c>
      <c r="GG132" t="s">
        <v>1309</v>
      </c>
      <c r="GI132" t="s">
        <v>1324</v>
      </c>
      <c r="GJ132" t="s">
        <v>1324</v>
      </c>
      <c r="GT132" t="s">
        <v>1325</v>
      </c>
      <c r="GU132" t="s">
        <v>1310</v>
      </c>
      <c r="GV132" t="s">
        <v>1309</v>
      </c>
      <c r="GW132" t="s">
        <v>1309</v>
      </c>
      <c r="GX132" t="s">
        <v>1309</v>
      </c>
      <c r="GY132" t="s">
        <v>1309</v>
      </c>
      <c r="GZ132" t="s">
        <v>1309</v>
      </c>
      <c r="HA132" t="s">
        <v>1309</v>
      </c>
      <c r="HB132" t="s">
        <v>1309</v>
      </c>
      <c r="HC132" t="s">
        <v>1309</v>
      </c>
      <c r="HD132" t="s">
        <v>1309</v>
      </c>
      <c r="HE132" t="s">
        <v>1309</v>
      </c>
      <c r="HF132" t="s">
        <v>1309</v>
      </c>
      <c r="HH132" t="s">
        <v>1390</v>
      </c>
      <c r="HI132" t="s">
        <v>1390</v>
      </c>
      <c r="HJ132" t="s">
        <v>1390</v>
      </c>
      <c r="HK132" t="s">
        <v>1390</v>
      </c>
      <c r="HL132" t="s">
        <v>1328</v>
      </c>
      <c r="HM132" t="s">
        <v>1390</v>
      </c>
      <c r="HN132" t="s">
        <v>1626</v>
      </c>
      <c r="HO132" t="s">
        <v>1310</v>
      </c>
      <c r="HP132" t="s">
        <v>1309</v>
      </c>
      <c r="HQ132" t="s">
        <v>1309</v>
      </c>
      <c r="HR132" t="s">
        <v>1309</v>
      </c>
      <c r="HS132" t="s">
        <v>1309</v>
      </c>
      <c r="HT132" t="s">
        <v>1309</v>
      </c>
      <c r="HU132" t="s">
        <v>1309</v>
      </c>
      <c r="HV132" t="s">
        <v>1309</v>
      </c>
      <c r="HW132" t="s">
        <v>1309</v>
      </c>
      <c r="HX132" t="s">
        <v>1309</v>
      </c>
      <c r="HY132" t="s">
        <v>1309</v>
      </c>
      <c r="IA132" t="s">
        <v>1319</v>
      </c>
      <c r="IB132" t="s">
        <v>1963</v>
      </c>
      <c r="IC132" t="s">
        <v>1310</v>
      </c>
      <c r="ID132" t="s">
        <v>1309</v>
      </c>
      <c r="IE132" t="s">
        <v>1309</v>
      </c>
      <c r="IF132" t="s">
        <v>1309</v>
      </c>
      <c r="IG132" t="s">
        <v>1310</v>
      </c>
      <c r="IH132" t="s">
        <v>1309</v>
      </c>
      <c r="II132" t="s">
        <v>1309</v>
      </c>
      <c r="IJ132" t="s">
        <v>1309</v>
      </c>
      <c r="IK132" t="s">
        <v>1309</v>
      </c>
      <c r="IL132" t="s">
        <v>1309</v>
      </c>
      <c r="IM132" t="s">
        <v>1309</v>
      </c>
      <c r="IN132" t="s">
        <v>1309</v>
      </c>
      <c r="IO132" t="s">
        <v>1309</v>
      </c>
      <c r="IQ132" t="s">
        <v>1365</v>
      </c>
      <c r="IS132" t="s">
        <v>1316</v>
      </c>
      <c r="JF132" t="s">
        <v>1316</v>
      </c>
      <c r="JG132" t="s">
        <v>1393</v>
      </c>
      <c r="JH132" t="s">
        <v>1310</v>
      </c>
      <c r="JI132" t="s">
        <v>1309</v>
      </c>
      <c r="JJ132" t="s">
        <v>1309</v>
      </c>
      <c r="JK132" t="s">
        <v>1309</v>
      </c>
      <c r="JL132" t="s">
        <v>1309</v>
      </c>
      <c r="JM132" t="s">
        <v>1309</v>
      </c>
      <c r="JN132" t="s">
        <v>1309</v>
      </c>
      <c r="JO132" t="s">
        <v>1309</v>
      </c>
      <c r="JQ132" s="92" t="s">
        <v>1333</v>
      </c>
      <c r="JR132" s="92" t="s">
        <v>2048</v>
      </c>
      <c r="JS132" s="92">
        <v>72</v>
      </c>
      <c r="JT132" s="92" t="s">
        <v>1319</v>
      </c>
      <c r="JU132" s="92" t="s">
        <v>1335</v>
      </c>
      <c r="JV132" s="92" t="s">
        <v>1336</v>
      </c>
      <c r="JW132" s="92" t="s">
        <v>1296</v>
      </c>
      <c r="JX132" s="92" t="s">
        <v>70</v>
      </c>
      <c r="JY132" s="92" t="s">
        <v>5549</v>
      </c>
      <c r="JZ132" s="92" t="s">
        <v>1369</v>
      </c>
      <c r="KA132" s="92" t="s">
        <v>4845</v>
      </c>
      <c r="KB132" s="92" t="s">
        <v>1476</v>
      </c>
      <c r="KC132" s="92" t="s">
        <v>109</v>
      </c>
      <c r="KD132" s="92" t="s">
        <v>4848</v>
      </c>
      <c r="KE132" s="92" t="s">
        <v>1424</v>
      </c>
      <c r="KF132" s="92">
        <v>2200</v>
      </c>
      <c r="KG132" s="92" t="s">
        <v>4438</v>
      </c>
      <c r="KH132" s="92" t="s">
        <v>192</v>
      </c>
      <c r="KI132" s="92" t="s">
        <v>109</v>
      </c>
      <c r="KJ132" s="92" t="s">
        <v>192</v>
      </c>
      <c r="KK132" s="92" t="s">
        <v>109</v>
      </c>
      <c r="KL132" s="92" t="s">
        <v>1425</v>
      </c>
      <c r="KM132" s="92">
        <v>3500</v>
      </c>
      <c r="KN132" s="92" t="s">
        <v>4439</v>
      </c>
      <c r="KO132" s="92" t="s">
        <v>1341</v>
      </c>
      <c r="KP132" s="92" t="s">
        <v>1460</v>
      </c>
      <c r="KQ132" s="92" t="s">
        <v>192</v>
      </c>
      <c r="KR132" s="92">
        <v>23</v>
      </c>
      <c r="KS132" s="92" t="s">
        <v>1345</v>
      </c>
      <c r="KT132" s="92" t="s">
        <v>1402</v>
      </c>
      <c r="KU132" s="92">
        <v>29</v>
      </c>
      <c r="KV132" s="92" t="s">
        <v>1461</v>
      </c>
      <c r="KW132" s="92" t="s">
        <v>1402</v>
      </c>
      <c r="KX132" s="92" t="s">
        <v>1376</v>
      </c>
      <c r="KY132" s="92" t="s">
        <v>1377</v>
      </c>
      <c r="KZ132" s="92" t="s">
        <v>5795</v>
      </c>
      <c r="LA132" s="92" t="s">
        <v>109</v>
      </c>
      <c r="LB132" s="92" t="s">
        <v>109</v>
      </c>
      <c r="LC132" s="92" t="s">
        <v>4438</v>
      </c>
      <c r="LD132" s="92" t="s">
        <v>4439</v>
      </c>
      <c r="LE132" s="92" t="s">
        <v>192</v>
      </c>
      <c r="LF132" s="92" t="s">
        <v>192</v>
      </c>
    </row>
    <row r="133" spans="1:318" x14ac:dyDescent="0.25">
      <c r="A133" t="s">
        <v>2049</v>
      </c>
      <c r="B133" t="s">
        <v>2050</v>
      </c>
      <c r="C133" t="s">
        <v>1304</v>
      </c>
      <c r="D133" t="s">
        <v>1305</v>
      </c>
      <c r="E133" t="s">
        <v>1306</v>
      </c>
      <c r="G133" t="s">
        <v>1307</v>
      </c>
      <c r="H133">
        <v>5</v>
      </c>
      <c r="I133" t="s">
        <v>1307</v>
      </c>
      <c r="J133" t="s">
        <v>1430</v>
      </c>
      <c r="K133" t="s">
        <v>1309</v>
      </c>
      <c r="L133" t="s">
        <v>1309</v>
      </c>
      <c r="M133" t="s">
        <v>1310</v>
      </c>
      <c r="N133" t="s">
        <v>1309</v>
      </c>
      <c r="O133" t="s">
        <v>1309</v>
      </c>
      <c r="P133" t="s">
        <v>1309</v>
      </c>
      <c r="Q133" t="s">
        <v>1309</v>
      </c>
      <c r="R133" t="s">
        <v>1309</v>
      </c>
      <c r="T133">
        <v>2</v>
      </c>
      <c r="U133" t="s">
        <v>1486</v>
      </c>
      <c r="V133" t="s">
        <v>1312</v>
      </c>
      <c r="W133" t="s">
        <v>1312</v>
      </c>
      <c r="X133" t="s">
        <v>1312</v>
      </c>
      <c r="Y133" t="s">
        <v>1312</v>
      </c>
      <c r="Z133" t="s">
        <v>1312</v>
      </c>
      <c r="AC133">
        <v>4</v>
      </c>
      <c r="AE133">
        <v>2000</v>
      </c>
      <c r="AF133" t="s">
        <v>1351</v>
      </c>
      <c r="AH133" t="s">
        <v>1352</v>
      </c>
      <c r="AJ133" t="s">
        <v>1353</v>
      </c>
      <c r="AL133" t="s">
        <v>1316</v>
      </c>
      <c r="BA133" t="s">
        <v>1316</v>
      </c>
      <c r="BS133" t="s">
        <v>1307</v>
      </c>
      <c r="CE133" t="s">
        <v>1355</v>
      </c>
      <c r="CF133" t="s">
        <v>1309</v>
      </c>
      <c r="CG133" t="s">
        <v>1309</v>
      </c>
      <c r="CH133" t="s">
        <v>1309</v>
      </c>
      <c r="CI133" t="s">
        <v>1309</v>
      </c>
      <c r="CJ133" t="s">
        <v>1309</v>
      </c>
      <c r="CK133" t="s">
        <v>1309</v>
      </c>
      <c r="CL133" t="s">
        <v>1309</v>
      </c>
      <c r="CM133" t="s">
        <v>1309</v>
      </c>
      <c r="CN133" t="s">
        <v>1310</v>
      </c>
      <c r="CO133" t="s">
        <v>1309</v>
      </c>
      <c r="CP133" t="s">
        <v>1309</v>
      </c>
      <c r="CQ133" t="s">
        <v>1309</v>
      </c>
      <c r="CR133" t="s">
        <v>1309</v>
      </c>
      <c r="CT133" t="s">
        <v>4436</v>
      </c>
      <c r="CV133" t="s">
        <v>1357</v>
      </c>
      <c r="CW133" t="s">
        <v>1309</v>
      </c>
      <c r="CX133" t="s">
        <v>1309</v>
      </c>
      <c r="CY133" t="s">
        <v>1309</v>
      </c>
      <c r="CZ133" t="s">
        <v>1309</v>
      </c>
      <c r="DA133" t="s">
        <v>1310</v>
      </c>
      <c r="DB133" t="s">
        <v>1309</v>
      </c>
      <c r="DC133" t="s">
        <v>1309</v>
      </c>
      <c r="DE133" t="s">
        <v>1358</v>
      </c>
      <c r="DF133" t="s">
        <v>1319</v>
      </c>
      <c r="DG133">
        <v>350</v>
      </c>
      <c r="DI133">
        <v>350</v>
      </c>
      <c r="DJ133" t="s">
        <v>1358</v>
      </c>
      <c r="DK133">
        <v>300</v>
      </c>
      <c r="DM133">
        <v>350</v>
      </c>
      <c r="DN133" t="s">
        <v>1672</v>
      </c>
      <c r="DO133" t="s">
        <v>1310</v>
      </c>
      <c r="DP133" t="s">
        <v>1309</v>
      </c>
      <c r="DQ133" t="s">
        <v>1309</v>
      </c>
      <c r="DR133" t="s">
        <v>1309</v>
      </c>
      <c r="DS133" t="s">
        <v>1309</v>
      </c>
      <c r="DT133" t="s">
        <v>1310</v>
      </c>
      <c r="DU133" t="s">
        <v>1309</v>
      </c>
      <c r="DV133" t="s">
        <v>1309</v>
      </c>
      <c r="DW133" t="s">
        <v>1309</v>
      </c>
      <c r="DY133" t="s">
        <v>1456</v>
      </c>
      <c r="DZ133">
        <v>800</v>
      </c>
      <c r="EA133" t="s">
        <v>1319</v>
      </c>
      <c r="EC133" t="s">
        <v>1457</v>
      </c>
      <c r="ED133">
        <v>800</v>
      </c>
      <c r="EE133" t="s">
        <v>1319</v>
      </c>
      <c r="EG133" t="s">
        <v>5355</v>
      </c>
      <c r="EI133" t="s">
        <v>1307</v>
      </c>
      <c r="ET133" t="s">
        <v>1307</v>
      </c>
      <c r="EV133" t="s">
        <v>1307</v>
      </c>
      <c r="EX133" t="s">
        <v>1319</v>
      </c>
      <c r="EY133" t="s">
        <v>1319</v>
      </c>
      <c r="EZ133" t="s">
        <v>1307</v>
      </c>
      <c r="FA133" t="s">
        <v>1902</v>
      </c>
      <c r="FB133" t="s">
        <v>1309</v>
      </c>
      <c r="FC133" t="s">
        <v>1309</v>
      </c>
      <c r="FD133" t="s">
        <v>1309</v>
      </c>
      <c r="FE133" t="s">
        <v>1309</v>
      </c>
      <c r="FF133" t="s">
        <v>1309</v>
      </c>
      <c r="FG133" t="s">
        <v>1309</v>
      </c>
      <c r="FH133" t="s">
        <v>1309</v>
      </c>
      <c r="FI133" t="s">
        <v>1310</v>
      </c>
      <c r="FJ133" t="s">
        <v>1309</v>
      </c>
      <c r="FK133" t="s">
        <v>1309</v>
      </c>
      <c r="FL133" t="s">
        <v>1309</v>
      </c>
      <c r="FM133" t="s">
        <v>1309</v>
      </c>
      <c r="FN133" t="s">
        <v>1310</v>
      </c>
      <c r="FO133" t="s">
        <v>1309</v>
      </c>
      <c r="FP133" t="s">
        <v>1309</v>
      </c>
      <c r="FQ133" t="s">
        <v>1309</v>
      </c>
      <c r="FR133" t="s">
        <v>1309</v>
      </c>
      <c r="FT133" t="s">
        <v>1307</v>
      </c>
      <c r="GI133" t="s">
        <v>1324</v>
      </c>
      <c r="GJ133" t="s">
        <v>1324</v>
      </c>
      <c r="GT133" t="s">
        <v>1325</v>
      </c>
      <c r="GU133" t="s">
        <v>1310</v>
      </c>
      <c r="GV133" t="s">
        <v>1309</v>
      </c>
      <c r="GW133" t="s">
        <v>1309</v>
      </c>
      <c r="GX133" t="s">
        <v>1309</v>
      </c>
      <c r="GY133" t="s">
        <v>1309</v>
      </c>
      <c r="GZ133" t="s">
        <v>1309</v>
      </c>
      <c r="HA133" t="s">
        <v>1309</v>
      </c>
      <c r="HB133" t="s">
        <v>1309</v>
      </c>
      <c r="HC133" t="s">
        <v>1309</v>
      </c>
      <c r="HD133" t="s">
        <v>1309</v>
      </c>
      <c r="HE133" t="s">
        <v>1309</v>
      </c>
      <c r="HF133" t="s">
        <v>1309</v>
      </c>
      <c r="HH133" t="s">
        <v>1390</v>
      </c>
      <c r="HI133" t="s">
        <v>1390</v>
      </c>
      <c r="HJ133" t="s">
        <v>1390</v>
      </c>
      <c r="HK133" t="s">
        <v>1390</v>
      </c>
      <c r="HL133" t="s">
        <v>1328</v>
      </c>
      <c r="HM133" t="s">
        <v>1390</v>
      </c>
      <c r="HN133" t="s">
        <v>1626</v>
      </c>
      <c r="HO133" t="s">
        <v>1310</v>
      </c>
      <c r="HP133" t="s">
        <v>1309</v>
      </c>
      <c r="HQ133" t="s">
        <v>1309</v>
      </c>
      <c r="HR133" t="s">
        <v>1309</v>
      </c>
      <c r="HS133" t="s">
        <v>1309</v>
      </c>
      <c r="HT133" t="s">
        <v>1309</v>
      </c>
      <c r="HU133" t="s">
        <v>1309</v>
      </c>
      <c r="HV133" t="s">
        <v>1309</v>
      </c>
      <c r="HW133" t="s">
        <v>1309</v>
      </c>
      <c r="HX133" t="s">
        <v>1309</v>
      </c>
      <c r="HY133" t="s">
        <v>1309</v>
      </c>
      <c r="IA133" t="s">
        <v>1319</v>
      </c>
      <c r="IB133" t="s">
        <v>1639</v>
      </c>
      <c r="IC133" t="s">
        <v>1309</v>
      </c>
      <c r="ID133" t="s">
        <v>1309</v>
      </c>
      <c r="IE133" t="s">
        <v>1309</v>
      </c>
      <c r="IF133" t="s">
        <v>1309</v>
      </c>
      <c r="IG133" t="s">
        <v>1309</v>
      </c>
      <c r="IH133" t="s">
        <v>1309</v>
      </c>
      <c r="II133" t="s">
        <v>1309</v>
      </c>
      <c r="IJ133" t="s">
        <v>1310</v>
      </c>
      <c r="IK133" t="s">
        <v>1309</v>
      </c>
      <c r="IL133" t="s">
        <v>1309</v>
      </c>
      <c r="IM133" t="s">
        <v>1309</v>
      </c>
      <c r="IN133" t="s">
        <v>1309</v>
      </c>
      <c r="IO133" t="s">
        <v>1309</v>
      </c>
      <c r="IQ133" t="s">
        <v>1330</v>
      </c>
      <c r="IS133" t="s">
        <v>1316</v>
      </c>
      <c r="JF133" t="s">
        <v>1354</v>
      </c>
      <c r="JG133" t="s">
        <v>1414</v>
      </c>
      <c r="JH133" t="s">
        <v>1309</v>
      </c>
      <c r="JI133" t="s">
        <v>1309</v>
      </c>
      <c r="JJ133" t="s">
        <v>1309</v>
      </c>
      <c r="JK133" t="s">
        <v>1309</v>
      </c>
      <c r="JL133" t="s">
        <v>1309</v>
      </c>
      <c r="JM133" t="s">
        <v>1309</v>
      </c>
      <c r="JN133" t="s">
        <v>1310</v>
      </c>
      <c r="JO133" t="s">
        <v>1309</v>
      </c>
      <c r="JQ133" s="92" t="s">
        <v>2051</v>
      </c>
      <c r="JR133" s="92" t="s">
        <v>2052</v>
      </c>
      <c r="JS133" s="92">
        <v>29</v>
      </c>
      <c r="JT133" s="92" t="s">
        <v>1319</v>
      </c>
      <c r="JU133" s="92" t="s">
        <v>1335</v>
      </c>
      <c r="JV133" s="92" t="s">
        <v>1526</v>
      </c>
      <c r="JW133" s="92" t="s">
        <v>1296</v>
      </c>
      <c r="JX133" s="92" t="s">
        <v>70</v>
      </c>
      <c r="JY133" s="92" t="s">
        <v>5549</v>
      </c>
      <c r="JZ133" s="92" t="s">
        <v>1398</v>
      </c>
      <c r="KA133" s="92" t="s">
        <v>4846</v>
      </c>
      <c r="KB133" s="92" t="s">
        <v>1439</v>
      </c>
      <c r="KC133" s="92" t="s">
        <v>192</v>
      </c>
      <c r="KD133" s="92" t="s">
        <v>4848</v>
      </c>
      <c r="KE133" s="92" t="s">
        <v>1340</v>
      </c>
      <c r="KF133" s="92">
        <v>700</v>
      </c>
      <c r="KG133" s="92" t="s">
        <v>1340</v>
      </c>
      <c r="KH133" s="92" t="s">
        <v>192</v>
      </c>
      <c r="KI133" s="92" t="s">
        <v>109</v>
      </c>
      <c r="KJ133" s="92" t="s">
        <v>192</v>
      </c>
      <c r="KK133" s="92" t="s">
        <v>109</v>
      </c>
      <c r="KL133" s="92" t="s">
        <v>1374</v>
      </c>
      <c r="KM133" s="92">
        <v>650</v>
      </c>
      <c r="KN133" s="92" t="s">
        <v>1340</v>
      </c>
      <c r="KO133" s="92" t="s">
        <v>1374</v>
      </c>
      <c r="KP133" s="92" t="s">
        <v>1375</v>
      </c>
      <c r="KQ133" s="92" t="s">
        <v>192</v>
      </c>
      <c r="KR133" s="92"/>
      <c r="KS133" s="92" t="s">
        <v>1466</v>
      </c>
      <c r="KT133" s="92" t="s">
        <v>1344</v>
      </c>
      <c r="KU133" s="92"/>
      <c r="KV133" s="92" t="s">
        <v>1441</v>
      </c>
      <c r="KW133" s="92" t="s">
        <v>1344</v>
      </c>
      <c r="KX133" s="92" t="s">
        <v>1376</v>
      </c>
      <c r="KY133" s="92" t="s">
        <v>1377</v>
      </c>
      <c r="KZ133" s="92" t="s">
        <v>5795</v>
      </c>
      <c r="LA133" s="92" t="s">
        <v>109</v>
      </c>
      <c r="LB133" s="92" t="s">
        <v>109</v>
      </c>
      <c r="LC133" s="92" t="s">
        <v>5566</v>
      </c>
      <c r="LD133" s="92" t="s">
        <v>5566</v>
      </c>
      <c r="LE133" s="92"/>
      <c r="LF133" s="92"/>
    </row>
    <row r="134" spans="1:318" x14ac:dyDescent="0.25">
      <c r="A134" t="s">
        <v>2053</v>
      </c>
      <c r="B134" t="s">
        <v>2054</v>
      </c>
      <c r="C134" t="s">
        <v>1304</v>
      </c>
      <c r="D134" t="s">
        <v>1305</v>
      </c>
      <c r="E134" t="s">
        <v>1306</v>
      </c>
      <c r="G134" t="s">
        <v>1307</v>
      </c>
      <c r="H134">
        <v>4</v>
      </c>
      <c r="I134" t="s">
        <v>1307</v>
      </c>
      <c r="J134" t="s">
        <v>1430</v>
      </c>
      <c r="K134" t="s">
        <v>1309</v>
      </c>
      <c r="L134" t="s">
        <v>1309</v>
      </c>
      <c r="M134" t="s">
        <v>1310</v>
      </c>
      <c r="N134" t="s">
        <v>1309</v>
      </c>
      <c r="O134" t="s">
        <v>1309</v>
      </c>
      <c r="P134" t="s">
        <v>1309</v>
      </c>
      <c r="Q134" t="s">
        <v>1309</v>
      </c>
      <c r="R134" t="s">
        <v>1309</v>
      </c>
      <c r="T134">
        <v>1</v>
      </c>
      <c r="U134" t="s">
        <v>1312</v>
      </c>
      <c r="V134" t="s">
        <v>1312</v>
      </c>
      <c r="W134" t="s">
        <v>1312</v>
      </c>
      <c r="X134" t="s">
        <v>1312</v>
      </c>
      <c r="Y134" t="s">
        <v>1312</v>
      </c>
      <c r="Z134" t="s">
        <v>1312</v>
      </c>
      <c r="AC134">
        <v>3</v>
      </c>
      <c r="AD134">
        <v>12000</v>
      </c>
      <c r="AE134">
        <v>12000</v>
      </c>
      <c r="AF134" t="s">
        <v>1313</v>
      </c>
      <c r="AH134" t="s">
        <v>1314</v>
      </c>
      <c r="AJ134" t="s">
        <v>1315</v>
      </c>
      <c r="AL134" t="s">
        <v>1354</v>
      </c>
      <c r="BS134" t="s">
        <v>1307</v>
      </c>
      <c r="CE134" t="s">
        <v>2055</v>
      </c>
      <c r="CF134" t="s">
        <v>1309</v>
      </c>
      <c r="CG134" t="s">
        <v>1309</v>
      </c>
      <c r="CH134" t="s">
        <v>1309</v>
      </c>
      <c r="CI134" t="s">
        <v>1309</v>
      </c>
      <c r="CJ134" t="s">
        <v>1309</v>
      </c>
      <c r="CK134" t="s">
        <v>1310</v>
      </c>
      <c r="CL134" t="s">
        <v>1309</v>
      </c>
      <c r="CM134" t="s">
        <v>1309</v>
      </c>
      <c r="CN134" t="s">
        <v>1310</v>
      </c>
      <c r="CO134" t="s">
        <v>1309</v>
      </c>
      <c r="CP134" t="s">
        <v>1309</v>
      </c>
      <c r="CQ134" t="s">
        <v>1309</v>
      </c>
      <c r="CR134" t="s">
        <v>1309</v>
      </c>
      <c r="CT134" t="s">
        <v>4435</v>
      </c>
      <c r="CV134" t="s">
        <v>1308</v>
      </c>
      <c r="CW134" t="s">
        <v>1310</v>
      </c>
      <c r="CX134" t="s">
        <v>1309</v>
      </c>
      <c r="CY134" t="s">
        <v>1309</v>
      </c>
      <c r="CZ134" t="s">
        <v>1309</v>
      </c>
      <c r="DA134" t="s">
        <v>1309</v>
      </c>
      <c r="DB134" t="s">
        <v>1309</v>
      </c>
      <c r="DC134" t="s">
        <v>1309</v>
      </c>
      <c r="DE134" t="s">
        <v>1358</v>
      </c>
      <c r="DF134" t="s">
        <v>1319</v>
      </c>
      <c r="DG134">
        <v>300</v>
      </c>
      <c r="DH134">
        <v>1200</v>
      </c>
      <c r="DI134">
        <v>600</v>
      </c>
      <c r="DJ134" t="s">
        <v>1358</v>
      </c>
      <c r="DK134">
        <v>350</v>
      </c>
      <c r="DL134">
        <v>2200</v>
      </c>
      <c r="DM134">
        <v>700</v>
      </c>
      <c r="DN134" t="s">
        <v>1320</v>
      </c>
      <c r="DO134" t="s">
        <v>1310</v>
      </c>
      <c r="DP134" t="s">
        <v>1309</v>
      </c>
      <c r="DQ134" t="s">
        <v>1309</v>
      </c>
      <c r="DR134" t="s">
        <v>1309</v>
      </c>
      <c r="DS134" t="s">
        <v>1309</v>
      </c>
      <c r="DT134" t="s">
        <v>1310</v>
      </c>
      <c r="DU134" t="s">
        <v>1309</v>
      </c>
      <c r="DV134" t="s">
        <v>1309</v>
      </c>
      <c r="DW134" t="s">
        <v>1309</v>
      </c>
      <c r="DY134" t="s">
        <v>1456</v>
      </c>
      <c r="DZ134">
        <v>500</v>
      </c>
      <c r="EA134" t="s">
        <v>1319</v>
      </c>
      <c r="EC134" t="s">
        <v>1457</v>
      </c>
      <c r="ED134">
        <v>1000</v>
      </c>
      <c r="EE134" t="s">
        <v>1319</v>
      </c>
      <c r="EG134" t="s">
        <v>5356</v>
      </c>
      <c r="EI134" t="s">
        <v>1307</v>
      </c>
      <c r="ET134" t="s">
        <v>1307</v>
      </c>
      <c r="EV134" t="s">
        <v>1319</v>
      </c>
      <c r="EW134" t="s">
        <v>1361</v>
      </c>
      <c r="EX134" t="s">
        <v>1319</v>
      </c>
      <c r="EY134" t="s">
        <v>1319</v>
      </c>
      <c r="FA134" t="s">
        <v>2056</v>
      </c>
      <c r="FB134" t="s">
        <v>1309</v>
      </c>
      <c r="FC134" t="s">
        <v>1309</v>
      </c>
      <c r="FD134" t="s">
        <v>1309</v>
      </c>
      <c r="FE134" t="s">
        <v>1309</v>
      </c>
      <c r="FF134" t="s">
        <v>1309</v>
      </c>
      <c r="FG134" t="s">
        <v>1310</v>
      </c>
      <c r="FH134" t="s">
        <v>1309</v>
      </c>
      <c r="FI134" t="s">
        <v>1310</v>
      </c>
      <c r="FJ134" t="s">
        <v>1309</v>
      </c>
      <c r="FK134" t="s">
        <v>1309</v>
      </c>
      <c r="FL134" t="s">
        <v>1310</v>
      </c>
      <c r="FM134" t="s">
        <v>1309</v>
      </c>
      <c r="FN134" t="s">
        <v>1310</v>
      </c>
      <c r="FO134" t="s">
        <v>1309</v>
      </c>
      <c r="FP134" t="s">
        <v>1309</v>
      </c>
      <c r="FQ134" t="s">
        <v>1309</v>
      </c>
      <c r="FR134" t="s">
        <v>1309</v>
      </c>
      <c r="FT134" t="s">
        <v>1307</v>
      </c>
      <c r="GI134" t="s">
        <v>1324</v>
      </c>
      <c r="GJ134" t="s">
        <v>1324</v>
      </c>
      <c r="GT134" t="s">
        <v>1325</v>
      </c>
      <c r="GU134" t="s">
        <v>1310</v>
      </c>
      <c r="GV134" t="s">
        <v>1309</v>
      </c>
      <c r="GW134" t="s">
        <v>1309</v>
      </c>
      <c r="GX134" t="s">
        <v>1309</v>
      </c>
      <c r="GY134" t="s">
        <v>1309</v>
      </c>
      <c r="GZ134" t="s">
        <v>1309</v>
      </c>
      <c r="HA134" t="s">
        <v>1309</v>
      </c>
      <c r="HB134" t="s">
        <v>1309</v>
      </c>
      <c r="HC134" t="s">
        <v>1309</v>
      </c>
      <c r="HD134" t="s">
        <v>1309</v>
      </c>
      <c r="HE134" t="s">
        <v>1309</v>
      </c>
      <c r="HF134" t="s">
        <v>1309</v>
      </c>
      <c r="HH134" t="s">
        <v>1390</v>
      </c>
      <c r="HI134" t="s">
        <v>1390</v>
      </c>
      <c r="HJ134" t="s">
        <v>1390</v>
      </c>
      <c r="HK134" t="s">
        <v>1390</v>
      </c>
      <c r="HL134" t="s">
        <v>1364</v>
      </c>
      <c r="HM134" t="s">
        <v>1390</v>
      </c>
      <c r="IA134" t="s">
        <v>1307</v>
      </c>
      <c r="IQ134" t="s">
        <v>1365</v>
      </c>
      <c r="IS134" t="s">
        <v>1316</v>
      </c>
      <c r="JF134" t="s">
        <v>1316</v>
      </c>
      <c r="JG134" t="s">
        <v>1451</v>
      </c>
      <c r="JH134" t="s">
        <v>1310</v>
      </c>
      <c r="JI134" t="s">
        <v>1309</v>
      </c>
      <c r="JJ134" t="s">
        <v>1309</v>
      </c>
      <c r="JK134" t="s">
        <v>1310</v>
      </c>
      <c r="JL134" t="s">
        <v>1309</v>
      </c>
      <c r="JM134" t="s">
        <v>1309</v>
      </c>
      <c r="JN134" t="s">
        <v>1309</v>
      </c>
      <c r="JO134" t="s">
        <v>1309</v>
      </c>
      <c r="JQ134" s="92" t="s">
        <v>1333</v>
      </c>
      <c r="JR134" s="92" t="s">
        <v>1334</v>
      </c>
      <c r="JS134" s="92">
        <v>49</v>
      </c>
      <c r="JT134" s="92" t="s">
        <v>1319</v>
      </c>
      <c r="JU134" s="92" t="s">
        <v>1335</v>
      </c>
      <c r="JV134" s="92" t="s">
        <v>1336</v>
      </c>
      <c r="JW134" s="92" t="s">
        <v>1296</v>
      </c>
      <c r="JX134" s="92" t="s">
        <v>71</v>
      </c>
      <c r="JY134" s="92" t="s">
        <v>5549</v>
      </c>
      <c r="JZ134" s="92" t="s">
        <v>1337</v>
      </c>
      <c r="KA134" s="92" t="s">
        <v>4845</v>
      </c>
      <c r="KB134" s="92" t="s">
        <v>1439</v>
      </c>
      <c r="KC134" s="92" t="s">
        <v>109</v>
      </c>
      <c r="KD134" s="92" t="s">
        <v>4848</v>
      </c>
      <c r="KE134" s="92" t="s">
        <v>1371</v>
      </c>
      <c r="KF134" s="92">
        <v>2100</v>
      </c>
      <c r="KG134" s="92" t="s">
        <v>4438</v>
      </c>
      <c r="KH134" s="92" t="s">
        <v>192</v>
      </c>
      <c r="KI134" s="92" t="s">
        <v>192</v>
      </c>
      <c r="KJ134" s="92" t="s">
        <v>192</v>
      </c>
      <c r="KK134" s="92" t="s">
        <v>192</v>
      </c>
      <c r="KL134" s="92" t="s">
        <v>1425</v>
      </c>
      <c r="KM134" s="92">
        <v>3250</v>
      </c>
      <c r="KN134" s="92" t="s">
        <v>4439</v>
      </c>
      <c r="KO134" s="92" t="s">
        <v>1341</v>
      </c>
      <c r="KP134" s="92" t="s">
        <v>1342</v>
      </c>
      <c r="KQ134" s="92" t="s">
        <v>192</v>
      </c>
      <c r="KR134" s="92">
        <v>24</v>
      </c>
      <c r="KS134" s="92" t="s">
        <v>1345</v>
      </c>
      <c r="KT134" s="92" t="s">
        <v>1344</v>
      </c>
      <c r="KU134" s="92">
        <v>31</v>
      </c>
      <c r="KV134" s="92" t="s">
        <v>1461</v>
      </c>
      <c r="KW134" s="92" t="s">
        <v>1344</v>
      </c>
      <c r="KX134" s="92" t="s">
        <v>1376</v>
      </c>
      <c r="KY134" s="92" t="s">
        <v>1377</v>
      </c>
      <c r="KZ134" s="92" t="s">
        <v>5795</v>
      </c>
      <c r="LA134" s="92" t="s">
        <v>109</v>
      </c>
      <c r="LB134" s="92" t="s">
        <v>109</v>
      </c>
      <c r="LC134" s="92" t="s">
        <v>4438</v>
      </c>
      <c r="LD134" s="92" t="s">
        <v>4438</v>
      </c>
      <c r="LE134" s="92" t="s">
        <v>192</v>
      </c>
      <c r="LF134" s="92" t="s">
        <v>192</v>
      </c>
    </row>
    <row r="135" spans="1:318" x14ac:dyDescent="0.25">
      <c r="A135" t="s">
        <v>2057</v>
      </c>
      <c r="B135" t="s">
        <v>2058</v>
      </c>
      <c r="C135" t="s">
        <v>1304</v>
      </c>
      <c r="D135" t="s">
        <v>1305</v>
      </c>
      <c r="E135" t="s">
        <v>1306</v>
      </c>
      <c r="G135" t="s">
        <v>1307</v>
      </c>
      <c r="H135">
        <v>1</v>
      </c>
      <c r="J135" t="s">
        <v>1891</v>
      </c>
      <c r="K135" t="s">
        <v>1309</v>
      </c>
      <c r="L135" t="s">
        <v>1309</v>
      </c>
      <c r="M135" t="s">
        <v>1310</v>
      </c>
      <c r="N135" t="s">
        <v>1309</v>
      </c>
      <c r="O135" t="s">
        <v>1310</v>
      </c>
      <c r="P135" t="s">
        <v>1309</v>
      </c>
      <c r="Q135" t="s">
        <v>1309</v>
      </c>
      <c r="R135" t="s">
        <v>1309</v>
      </c>
      <c r="T135">
        <v>1</v>
      </c>
      <c r="U135" t="s">
        <v>1311</v>
      </c>
      <c r="V135" t="s">
        <v>1311</v>
      </c>
      <c r="W135" t="s">
        <v>1311</v>
      </c>
      <c r="X135" t="s">
        <v>1312</v>
      </c>
      <c r="Y135" t="s">
        <v>1312</v>
      </c>
      <c r="Z135" t="s">
        <v>1312</v>
      </c>
      <c r="AC135">
        <v>1</v>
      </c>
      <c r="AD135">
        <v>3500</v>
      </c>
      <c r="AE135">
        <v>3000</v>
      </c>
      <c r="AF135" t="s">
        <v>1351</v>
      </c>
      <c r="AH135" t="s">
        <v>1314</v>
      </c>
      <c r="AJ135" t="s">
        <v>1353</v>
      </c>
      <c r="AL135" t="s">
        <v>1354</v>
      </c>
      <c r="BA135" t="s">
        <v>1354</v>
      </c>
      <c r="BS135" t="s">
        <v>1307</v>
      </c>
      <c r="CE135" t="s">
        <v>1355</v>
      </c>
      <c r="CF135" t="s">
        <v>1309</v>
      </c>
      <c r="CG135" t="s">
        <v>1309</v>
      </c>
      <c r="CH135" t="s">
        <v>1309</v>
      </c>
      <c r="CI135" t="s">
        <v>1309</v>
      </c>
      <c r="CJ135" t="s">
        <v>1309</v>
      </c>
      <c r="CK135" t="s">
        <v>1309</v>
      </c>
      <c r="CL135" t="s">
        <v>1309</v>
      </c>
      <c r="CM135" t="s">
        <v>1309</v>
      </c>
      <c r="CN135" t="s">
        <v>1310</v>
      </c>
      <c r="CO135" t="s">
        <v>1309</v>
      </c>
      <c r="CP135" t="s">
        <v>1309</v>
      </c>
      <c r="CQ135" t="s">
        <v>1309</v>
      </c>
      <c r="CR135" t="s">
        <v>1309</v>
      </c>
      <c r="CT135" t="s">
        <v>4436</v>
      </c>
      <c r="CV135" t="s">
        <v>1308</v>
      </c>
      <c r="CW135" t="s">
        <v>1310</v>
      </c>
      <c r="CX135" t="s">
        <v>1309</v>
      </c>
      <c r="CY135" t="s">
        <v>1309</v>
      </c>
      <c r="CZ135" t="s">
        <v>1309</v>
      </c>
      <c r="DA135" t="s">
        <v>1309</v>
      </c>
      <c r="DB135" t="s">
        <v>1309</v>
      </c>
      <c r="DC135" t="s">
        <v>1309</v>
      </c>
      <c r="DE135" t="s">
        <v>1358</v>
      </c>
      <c r="DF135" t="s">
        <v>1307</v>
      </c>
      <c r="DI135">
        <v>500</v>
      </c>
      <c r="DJ135" t="s">
        <v>1358</v>
      </c>
      <c r="DM135">
        <v>500</v>
      </c>
      <c r="DN135" t="s">
        <v>1320</v>
      </c>
      <c r="DO135" t="s">
        <v>1310</v>
      </c>
      <c r="DP135" t="s">
        <v>1309</v>
      </c>
      <c r="DQ135" t="s">
        <v>1309</v>
      </c>
      <c r="DR135" t="s">
        <v>1309</v>
      </c>
      <c r="DS135" t="s">
        <v>1309</v>
      </c>
      <c r="DT135" t="s">
        <v>1310</v>
      </c>
      <c r="DU135" t="s">
        <v>1309</v>
      </c>
      <c r="DV135" t="s">
        <v>1309</v>
      </c>
      <c r="DW135" t="s">
        <v>1309</v>
      </c>
      <c r="DY135" t="s">
        <v>1456</v>
      </c>
      <c r="DZ135">
        <v>800</v>
      </c>
      <c r="EA135" t="s">
        <v>1319</v>
      </c>
      <c r="EC135" t="s">
        <v>1360</v>
      </c>
      <c r="ED135">
        <v>800</v>
      </c>
      <c r="EE135" t="s">
        <v>1319</v>
      </c>
      <c r="EG135" t="s">
        <v>5356</v>
      </c>
      <c r="EI135" t="s">
        <v>1307</v>
      </c>
      <c r="ET135" t="s">
        <v>1307</v>
      </c>
      <c r="EV135" t="s">
        <v>1319</v>
      </c>
      <c r="EW135" t="s">
        <v>1421</v>
      </c>
      <c r="EX135" t="s">
        <v>1319</v>
      </c>
      <c r="EZ135" t="s">
        <v>1319</v>
      </c>
      <c r="FA135" t="s">
        <v>2059</v>
      </c>
      <c r="FB135" t="s">
        <v>1309</v>
      </c>
      <c r="FC135" t="s">
        <v>1310</v>
      </c>
      <c r="FD135" t="s">
        <v>1310</v>
      </c>
      <c r="FE135" t="s">
        <v>1309</v>
      </c>
      <c r="FF135" t="s">
        <v>1309</v>
      </c>
      <c r="FG135" t="s">
        <v>1309</v>
      </c>
      <c r="FH135" t="s">
        <v>1310</v>
      </c>
      <c r="FI135" t="s">
        <v>1310</v>
      </c>
      <c r="FJ135" t="s">
        <v>1309</v>
      </c>
      <c r="FK135" t="s">
        <v>1309</v>
      </c>
      <c r="FL135" t="s">
        <v>1309</v>
      </c>
      <c r="FM135" t="s">
        <v>1309</v>
      </c>
      <c r="FN135" t="s">
        <v>1309</v>
      </c>
      <c r="FO135" t="s">
        <v>1309</v>
      </c>
      <c r="FP135" t="s">
        <v>1309</v>
      </c>
      <c r="FQ135" t="s">
        <v>1309</v>
      </c>
      <c r="FR135" t="s">
        <v>1309</v>
      </c>
      <c r="FT135" t="s">
        <v>1319</v>
      </c>
      <c r="FU135" t="s">
        <v>2060</v>
      </c>
      <c r="FV135" t="s">
        <v>1310</v>
      </c>
      <c r="FW135" t="s">
        <v>1310</v>
      </c>
      <c r="FX135" t="s">
        <v>1309</v>
      </c>
      <c r="FY135" t="s">
        <v>1310</v>
      </c>
      <c r="FZ135" t="s">
        <v>1309</v>
      </c>
      <c r="GA135" t="s">
        <v>1309</v>
      </c>
      <c r="GB135" t="s">
        <v>1309</v>
      </c>
      <c r="GC135" t="s">
        <v>1309</v>
      </c>
      <c r="GD135" t="s">
        <v>1309</v>
      </c>
      <c r="GE135" t="s">
        <v>1309</v>
      </c>
      <c r="GF135" t="s">
        <v>1309</v>
      </c>
      <c r="GG135" t="s">
        <v>1309</v>
      </c>
      <c r="GI135" t="s">
        <v>1324</v>
      </c>
      <c r="GJ135" t="s">
        <v>1324</v>
      </c>
      <c r="GT135" t="s">
        <v>1531</v>
      </c>
      <c r="GU135" t="s">
        <v>1310</v>
      </c>
      <c r="GV135" t="s">
        <v>1310</v>
      </c>
      <c r="GW135" t="s">
        <v>1309</v>
      </c>
      <c r="GX135" t="s">
        <v>1309</v>
      </c>
      <c r="GY135" t="s">
        <v>1309</v>
      </c>
      <c r="GZ135" t="s">
        <v>1309</v>
      </c>
      <c r="HA135" t="s">
        <v>1309</v>
      </c>
      <c r="HB135" t="s">
        <v>1309</v>
      </c>
      <c r="HC135" t="s">
        <v>1309</v>
      </c>
      <c r="HD135" t="s">
        <v>1309</v>
      </c>
      <c r="HE135" t="s">
        <v>1309</v>
      </c>
      <c r="HF135" t="s">
        <v>1309</v>
      </c>
      <c r="HH135" t="s">
        <v>1390</v>
      </c>
      <c r="HI135" t="s">
        <v>1327</v>
      </c>
      <c r="HJ135" t="s">
        <v>1390</v>
      </c>
      <c r="HK135" t="s">
        <v>1327</v>
      </c>
      <c r="HL135" t="s">
        <v>1437</v>
      </c>
      <c r="HM135" t="s">
        <v>1390</v>
      </c>
      <c r="HN135" t="s">
        <v>1549</v>
      </c>
      <c r="HO135" t="s">
        <v>1310</v>
      </c>
      <c r="HP135" t="s">
        <v>1310</v>
      </c>
      <c r="HQ135" t="s">
        <v>1309</v>
      </c>
      <c r="HR135" t="s">
        <v>1309</v>
      </c>
      <c r="HS135" t="s">
        <v>1309</v>
      </c>
      <c r="HT135" t="s">
        <v>1309</v>
      </c>
      <c r="HU135" t="s">
        <v>1309</v>
      </c>
      <c r="HV135" t="s">
        <v>1309</v>
      </c>
      <c r="HW135" t="s">
        <v>1309</v>
      </c>
      <c r="HX135" t="s">
        <v>1309</v>
      </c>
      <c r="HY135" t="s">
        <v>1309</v>
      </c>
      <c r="IA135" t="s">
        <v>1307</v>
      </c>
      <c r="IQ135" t="s">
        <v>1365</v>
      </c>
      <c r="IS135" t="s">
        <v>1316</v>
      </c>
      <c r="JF135" t="s">
        <v>1331</v>
      </c>
      <c r="JG135" t="s">
        <v>1332</v>
      </c>
      <c r="JH135" t="s">
        <v>1309</v>
      </c>
      <c r="JI135" t="s">
        <v>1309</v>
      </c>
      <c r="JJ135" t="s">
        <v>1309</v>
      </c>
      <c r="JK135" t="s">
        <v>1309</v>
      </c>
      <c r="JL135" t="s">
        <v>1310</v>
      </c>
      <c r="JM135" t="s">
        <v>1309</v>
      </c>
      <c r="JN135" t="s">
        <v>1309</v>
      </c>
      <c r="JO135" t="s">
        <v>1309</v>
      </c>
      <c r="JQ135" s="92" t="s">
        <v>2061</v>
      </c>
      <c r="JR135" s="92" t="s">
        <v>2062</v>
      </c>
      <c r="JS135" s="92">
        <v>63</v>
      </c>
      <c r="JT135" s="92" t="s">
        <v>1319</v>
      </c>
      <c r="JU135" s="92" t="s">
        <v>1335</v>
      </c>
      <c r="JV135" s="92" t="s">
        <v>1526</v>
      </c>
      <c r="JW135" s="92" t="s">
        <v>1296</v>
      </c>
      <c r="JX135" s="92" t="s">
        <v>70</v>
      </c>
      <c r="JY135" s="92" t="s">
        <v>5549</v>
      </c>
      <c r="JZ135" s="92" t="s">
        <v>1369</v>
      </c>
      <c r="KA135" s="92" t="s">
        <v>4844</v>
      </c>
      <c r="KB135" s="92" t="s">
        <v>1476</v>
      </c>
      <c r="KC135" s="92" t="s">
        <v>109</v>
      </c>
      <c r="KD135" s="92" t="s">
        <v>4844</v>
      </c>
      <c r="KE135" s="92" t="s">
        <v>5560</v>
      </c>
      <c r="KF135" s="92">
        <v>500</v>
      </c>
      <c r="KG135" s="92" t="s">
        <v>4438</v>
      </c>
      <c r="KH135" s="92" t="s">
        <v>109</v>
      </c>
      <c r="KI135" s="92" t="s">
        <v>109</v>
      </c>
      <c r="KJ135" s="92" t="s">
        <v>109</v>
      </c>
      <c r="KK135" s="92" t="s">
        <v>109</v>
      </c>
      <c r="KL135" s="92" t="s">
        <v>1373</v>
      </c>
      <c r="KM135" s="92">
        <v>500</v>
      </c>
      <c r="KN135" s="92" t="s">
        <v>4438</v>
      </c>
      <c r="KO135" s="92" t="s">
        <v>1373</v>
      </c>
      <c r="KP135" s="92" t="s">
        <v>1401</v>
      </c>
      <c r="KQ135" s="92" t="s">
        <v>109</v>
      </c>
      <c r="KR135" s="92"/>
      <c r="KS135" s="92" t="s">
        <v>1466</v>
      </c>
      <c r="KT135" s="92" t="s">
        <v>1344</v>
      </c>
      <c r="KU135" s="92"/>
      <c r="KV135" s="92" t="s">
        <v>1441</v>
      </c>
      <c r="KW135" s="92" t="s">
        <v>1344</v>
      </c>
      <c r="KX135" s="92" t="s">
        <v>1376</v>
      </c>
      <c r="KY135" s="92" t="s">
        <v>1377</v>
      </c>
      <c r="KZ135" s="92" t="s">
        <v>5795</v>
      </c>
      <c r="LA135" s="92" t="s">
        <v>109</v>
      </c>
      <c r="LB135" s="92" t="s">
        <v>109</v>
      </c>
      <c r="LC135" s="92" t="s">
        <v>4438</v>
      </c>
      <c r="LD135" s="92" t="s">
        <v>4438</v>
      </c>
      <c r="LE135" s="92" t="s">
        <v>109</v>
      </c>
      <c r="LF135" s="92" t="s">
        <v>109</v>
      </c>
    </row>
    <row r="136" spans="1:318" x14ac:dyDescent="0.25">
      <c r="A136" t="s">
        <v>2063</v>
      </c>
      <c r="B136" t="s">
        <v>2064</v>
      </c>
      <c r="C136" t="s">
        <v>1304</v>
      </c>
      <c r="D136" t="s">
        <v>1305</v>
      </c>
      <c r="E136" t="s">
        <v>1306</v>
      </c>
      <c r="G136" t="s">
        <v>1307</v>
      </c>
      <c r="H136">
        <v>2</v>
      </c>
      <c r="I136" t="s">
        <v>1307</v>
      </c>
      <c r="J136" t="s">
        <v>1891</v>
      </c>
      <c r="K136" t="s">
        <v>1309</v>
      </c>
      <c r="L136" t="s">
        <v>1309</v>
      </c>
      <c r="M136" t="s">
        <v>1310</v>
      </c>
      <c r="N136" t="s">
        <v>1309</v>
      </c>
      <c r="O136" t="s">
        <v>1310</v>
      </c>
      <c r="P136" t="s">
        <v>1309</v>
      </c>
      <c r="Q136" t="s">
        <v>1309</v>
      </c>
      <c r="R136" t="s">
        <v>1309</v>
      </c>
      <c r="T136">
        <v>2</v>
      </c>
      <c r="U136" t="s">
        <v>1486</v>
      </c>
      <c r="V136" t="s">
        <v>1311</v>
      </c>
      <c r="W136" t="s">
        <v>1486</v>
      </c>
      <c r="X136" t="s">
        <v>1311</v>
      </c>
      <c r="Y136" t="s">
        <v>1311</v>
      </c>
      <c r="Z136" t="s">
        <v>1311</v>
      </c>
      <c r="AC136">
        <v>2</v>
      </c>
      <c r="AD136">
        <v>4500</v>
      </c>
      <c r="AE136">
        <v>3000</v>
      </c>
      <c r="AF136" t="s">
        <v>1351</v>
      </c>
      <c r="AH136" t="s">
        <v>1536</v>
      </c>
      <c r="AJ136" t="s">
        <v>1353</v>
      </c>
      <c r="AL136" t="s">
        <v>1316</v>
      </c>
      <c r="BA136" t="s">
        <v>1354</v>
      </c>
      <c r="BS136" t="s">
        <v>1307</v>
      </c>
      <c r="CE136" t="s">
        <v>1597</v>
      </c>
      <c r="CF136" t="s">
        <v>1309</v>
      </c>
      <c r="CG136" t="s">
        <v>1309</v>
      </c>
      <c r="CH136" t="s">
        <v>1309</v>
      </c>
      <c r="CI136" t="s">
        <v>1309</v>
      </c>
      <c r="CJ136" t="s">
        <v>1309</v>
      </c>
      <c r="CK136" t="s">
        <v>1309</v>
      </c>
      <c r="CL136" t="s">
        <v>1310</v>
      </c>
      <c r="CM136" t="s">
        <v>1309</v>
      </c>
      <c r="CN136" t="s">
        <v>1309</v>
      </c>
      <c r="CO136" t="s">
        <v>1309</v>
      </c>
      <c r="CP136" t="s">
        <v>1309</v>
      </c>
      <c r="CQ136" t="s">
        <v>1309</v>
      </c>
      <c r="CR136" t="s">
        <v>1309</v>
      </c>
      <c r="CT136" t="s">
        <v>4436</v>
      </c>
      <c r="CV136" t="s">
        <v>1308</v>
      </c>
      <c r="CW136" t="s">
        <v>1310</v>
      </c>
      <c r="CX136" t="s">
        <v>1309</v>
      </c>
      <c r="CY136" t="s">
        <v>1309</v>
      </c>
      <c r="CZ136" t="s">
        <v>1309</v>
      </c>
      <c r="DA136" t="s">
        <v>1309</v>
      </c>
      <c r="DB136" t="s">
        <v>1309</v>
      </c>
      <c r="DC136" t="s">
        <v>1309</v>
      </c>
      <c r="DE136" t="s">
        <v>1358</v>
      </c>
      <c r="DF136" t="s">
        <v>1319</v>
      </c>
      <c r="DI136">
        <v>300</v>
      </c>
      <c r="DJ136" t="s">
        <v>1358</v>
      </c>
      <c r="DL136">
        <v>2000</v>
      </c>
      <c r="DM136">
        <v>450</v>
      </c>
      <c r="DN136" t="s">
        <v>1445</v>
      </c>
      <c r="DO136" t="s">
        <v>1310</v>
      </c>
      <c r="DP136" t="s">
        <v>1310</v>
      </c>
      <c r="DQ136" t="s">
        <v>1309</v>
      </c>
      <c r="DR136" t="s">
        <v>1309</v>
      </c>
      <c r="DS136" t="s">
        <v>1309</v>
      </c>
      <c r="DT136" t="s">
        <v>1310</v>
      </c>
      <c r="DU136" t="s">
        <v>1309</v>
      </c>
      <c r="DV136" t="s">
        <v>1309</v>
      </c>
      <c r="DW136" t="s">
        <v>1309</v>
      </c>
      <c r="DY136" t="s">
        <v>1481</v>
      </c>
      <c r="DZ136">
        <v>800</v>
      </c>
      <c r="EA136" t="s">
        <v>1319</v>
      </c>
      <c r="EC136" t="s">
        <v>1457</v>
      </c>
      <c r="ED136">
        <v>800</v>
      </c>
      <c r="EE136" t="s">
        <v>1319</v>
      </c>
      <c r="EG136" t="s">
        <v>5356</v>
      </c>
      <c r="EI136" t="s">
        <v>1307</v>
      </c>
      <c r="ET136" t="s">
        <v>1307</v>
      </c>
      <c r="EV136" t="s">
        <v>1319</v>
      </c>
      <c r="EW136" t="s">
        <v>1361</v>
      </c>
      <c r="EX136" t="s">
        <v>1319</v>
      </c>
      <c r="EY136" t="s">
        <v>1307</v>
      </c>
      <c r="EZ136" t="s">
        <v>1319</v>
      </c>
      <c r="FA136" t="s">
        <v>2065</v>
      </c>
      <c r="FB136" t="s">
        <v>1309</v>
      </c>
      <c r="FC136" t="s">
        <v>1310</v>
      </c>
      <c r="FD136" t="s">
        <v>1310</v>
      </c>
      <c r="FE136" t="s">
        <v>1310</v>
      </c>
      <c r="FF136" t="s">
        <v>1309</v>
      </c>
      <c r="FG136" t="s">
        <v>1309</v>
      </c>
      <c r="FH136" t="s">
        <v>1310</v>
      </c>
      <c r="FI136" t="s">
        <v>1310</v>
      </c>
      <c r="FJ136" t="s">
        <v>1309</v>
      </c>
      <c r="FK136" t="s">
        <v>1309</v>
      </c>
      <c r="FL136" t="s">
        <v>1309</v>
      </c>
      <c r="FM136" t="s">
        <v>1309</v>
      </c>
      <c r="FN136" t="s">
        <v>1309</v>
      </c>
      <c r="FO136" t="s">
        <v>1309</v>
      </c>
      <c r="FP136" t="s">
        <v>1309</v>
      </c>
      <c r="FQ136" t="s">
        <v>1309</v>
      </c>
      <c r="FR136" t="s">
        <v>1309</v>
      </c>
      <c r="FT136" t="s">
        <v>1319</v>
      </c>
      <c r="FU136" t="s">
        <v>1649</v>
      </c>
      <c r="FV136" t="s">
        <v>1310</v>
      </c>
      <c r="FW136" t="s">
        <v>1310</v>
      </c>
      <c r="FX136" t="s">
        <v>1309</v>
      </c>
      <c r="FY136" t="s">
        <v>1309</v>
      </c>
      <c r="FZ136" t="s">
        <v>1309</v>
      </c>
      <c r="GA136" t="s">
        <v>1309</v>
      </c>
      <c r="GB136" t="s">
        <v>1309</v>
      </c>
      <c r="GC136" t="s">
        <v>1309</v>
      </c>
      <c r="GD136" t="s">
        <v>1309</v>
      </c>
      <c r="GE136" t="s">
        <v>1309</v>
      </c>
      <c r="GF136" t="s">
        <v>1309</v>
      </c>
      <c r="GG136" t="s">
        <v>1309</v>
      </c>
      <c r="GI136" t="s">
        <v>1436</v>
      </c>
      <c r="GJ136" t="s">
        <v>1436</v>
      </c>
      <c r="GK136" t="s">
        <v>1307</v>
      </c>
      <c r="GT136" t="s">
        <v>1531</v>
      </c>
      <c r="GU136" t="s">
        <v>1310</v>
      </c>
      <c r="GV136" t="s">
        <v>1310</v>
      </c>
      <c r="GW136" t="s">
        <v>1309</v>
      </c>
      <c r="GX136" t="s">
        <v>1309</v>
      </c>
      <c r="GY136" t="s">
        <v>1309</v>
      </c>
      <c r="GZ136" t="s">
        <v>1309</v>
      </c>
      <c r="HA136" t="s">
        <v>1309</v>
      </c>
      <c r="HB136" t="s">
        <v>1309</v>
      </c>
      <c r="HC136" t="s">
        <v>1309</v>
      </c>
      <c r="HD136" t="s">
        <v>1309</v>
      </c>
      <c r="HE136" t="s">
        <v>1309</v>
      </c>
      <c r="HF136" t="s">
        <v>1309</v>
      </c>
      <c r="HH136" t="s">
        <v>1390</v>
      </c>
      <c r="HI136" t="s">
        <v>1327</v>
      </c>
      <c r="HJ136" t="s">
        <v>1390</v>
      </c>
      <c r="HK136" t="s">
        <v>1327</v>
      </c>
      <c r="HL136" t="s">
        <v>1437</v>
      </c>
      <c r="HM136" t="s">
        <v>1390</v>
      </c>
      <c r="HN136" t="s">
        <v>1549</v>
      </c>
      <c r="HO136" t="s">
        <v>1310</v>
      </c>
      <c r="HP136" t="s">
        <v>1310</v>
      </c>
      <c r="HQ136" t="s">
        <v>1309</v>
      </c>
      <c r="HR136" t="s">
        <v>1309</v>
      </c>
      <c r="HS136" t="s">
        <v>1309</v>
      </c>
      <c r="HT136" t="s">
        <v>1309</v>
      </c>
      <c r="HU136" t="s">
        <v>1309</v>
      </c>
      <c r="HV136" t="s">
        <v>1309</v>
      </c>
      <c r="HW136" t="s">
        <v>1309</v>
      </c>
      <c r="HX136" t="s">
        <v>1309</v>
      </c>
      <c r="HY136" t="s">
        <v>1309</v>
      </c>
      <c r="IA136" t="s">
        <v>1307</v>
      </c>
      <c r="IQ136" t="s">
        <v>1308</v>
      </c>
      <c r="IS136" t="s">
        <v>1316</v>
      </c>
      <c r="JF136" t="s">
        <v>1331</v>
      </c>
      <c r="JG136" t="s">
        <v>1332</v>
      </c>
      <c r="JH136" t="s">
        <v>1309</v>
      </c>
      <c r="JI136" t="s">
        <v>1309</v>
      </c>
      <c r="JJ136" t="s">
        <v>1309</v>
      </c>
      <c r="JK136" t="s">
        <v>1309</v>
      </c>
      <c r="JL136" t="s">
        <v>1310</v>
      </c>
      <c r="JM136" t="s">
        <v>1309</v>
      </c>
      <c r="JN136" t="s">
        <v>1309</v>
      </c>
      <c r="JO136" t="s">
        <v>1309</v>
      </c>
      <c r="JQ136" s="92" t="s">
        <v>2061</v>
      </c>
      <c r="JR136" s="92" t="s">
        <v>1698</v>
      </c>
      <c r="JS136" s="92">
        <v>71</v>
      </c>
      <c r="JT136" s="92" t="s">
        <v>1319</v>
      </c>
      <c r="JU136" s="92" t="s">
        <v>1335</v>
      </c>
      <c r="JV136" s="92" t="s">
        <v>1526</v>
      </c>
      <c r="JW136" s="92" t="s">
        <v>1296</v>
      </c>
      <c r="JX136" s="92" t="s">
        <v>70</v>
      </c>
      <c r="JY136" s="92" t="s">
        <v>5549</v>
      </c>
      <c r="JZ136" s="92" t="s">
        <v>1369</v>
      </c>
      <c r="KA136" s="92" t="s">
        <v>4845</v>
      </c>
      <c r="KB136" s="92" t="s">
        <v>1476</v>
      </c>
      <c r="KC136" s="92" t="s">
        <v>192</v>
      </c>
      <c r="KD136" s="92" t="s">
        <v>4847</v>
      </c>
      <c r="KE136" s="92" t="s">
        <v>5560</v>
      </c>
      <c r="KF136" s="92">
        <v>300</v>
      </c>
      <c r="KG136" s="92" t="s">
        <v>1372</v>
      </c>
      <c r="KH136" s="92" t="s">
        <v>109</v>
      </c>
      <c r="KI136" s="92" t="s">
        <v>109</v>
      </c>
      <c r="KJ136" s="92" t="s">
        <v>109</v>
      </c>
      <c r="KK136" s="92" t="s">
        <v>192</v>
      </c>
      <c r="KL136" s="92" t="s">
        <v>1373</v>
      </c>
      <c r="KM136" s="92">
        <v>2450</v>
      </c>
      <c r="KN136" s="92" t="s">
        <v>1400</v>
      </c>
      <c r="KO136" s="92" t="s">
        <v>1425</v>
      </c>
      <c r="KP136" s="92" t="s">
        <v>1401</v>
      </c>
      <c r="KQ136" s="92" t="s">
        <v>192</v>
      </c>
      <c r="KR136" s="92"/>
      <c r="KS136" s="92" t="s">
        <v>1466</v>
      </c>
      <c r="KT136" s="92" t="s">
        <v>1344</v>
      </c>
      <c r="KU136" s="92"/>
      <c r="KV136" s="92" t="s">
        <v>1441</v>
      </c>
      <c r="KW136" s="92" t="s">
        <v>1344</v>
      </c>
      <c r="KX136" s="92" t="s">
        <v>1376</v>
      </c>
      <c r="KY136" s="92" t="s">
        <v>1377</v>
      </c>
      <c r="KZ136" s="92" t="s">
        <v>5795</v>
      </c>
      <c r="LA136" s="92" t="s">
        <v>109</v>
      </c>
      <c r="LB136" s="92" t="s">
        <v>109</v>
      </c>
      <c r="LC136" s="92" t="s">
        <v>1372</v>
      </c>
      <c r="LD136" s="92" t="s">
        <v>4439</v>
      </c>
      <c r="LE136" s="92" t="s">
        <v>109</v>
      </c>
      <c r="LF136" s="92" t="s">
        <v>192</v>
      </c>
    </row>
    <row r="137" spans="1:318" x14ac:dyDescent="0.25">
      <c r="A137" t="s">
        <v>2066</v>
      </c>
      <c r="B137" t="s">
        <v>2067</v>
      </c>
      <c r="C137" t="s">
        <v>1304</v>
      </c>
      <c r="D137" t="s">
        <v>1305</v>
      </c>
      <c r="E137" t="s">
        <v>1306</v>
      </c>
      <c r="G137" t="s">
        <v>1307</v>
      </c>
      <c r="H137">
        <v>3</v>
      </c>
      <c r="I137" t="s">
        <v>1307</v>
      </c>
      <c r="J137" t="s">
        <v>1406</v>
      </c>
      <c r="K137" t="s">
        <v>1309</v>
      </c>
      <c r="L137" t="s">
        <v>1310</v>
      </c>
      <c r="M137" t="s">
        <v>1309</v>
      </c>
      <c r="N137" t="s">
        <v>1309</v>
      </c>
      <c r="O137" t="s">
        <v>1309</v>
      </c>
      <c r="P137" t="s">
        <v>1309</v>
      </c>
      <c r="Q137" t="s">
        <v>1309</v>
      </c>
      <c r="R137" t="s">
        <v>1309</v>
      </c>
      <c r="S137">
        <v>1</v>
      </c>
      <c r="U137" t="s">
        <v>1312</v>
      </c>
      <c r="V137" t="s">
        <v>1312</v>
      </c>
      <c r="W137" t="s">
        <v>1312</v>
      </c>
      <c r="X137" t="s">
        <v>1312</v>
      </c>
      <c r="Y137" t="s">
        <v>1312</v>
      </c>
      <c r="Z137" t="s">
        <v>1312</v>
      </c>
      <c r="AC137">
        <v>2</v>
      </c>
      <c r="AD137">
        <v>9000</v>
      </c>
      <c r="AE137">
        <v>8500</v>
      </c>
      <c r="AF137" t="s">
        <v>1351</v>
      </c>
      <c r="AH137" t="s">
        <v>1314</v>
      </c>
      <c r="AJ137" t="s">
        <v>1315</v>
      </c>
      <c r="AL137" t="s">
        <v>1316</v>
      </c>
      <c r="BS137" t="s">
        <v>1307</v>
      </c>
      <c r="CE137" t="s">
        <v>2068</v>
      </c>
      <c r="CF137" t="s">
        <v>1310</v>
      </c>
      <c r="CG137" t="s">
        <v>1309</v>
      </c>
      <c r="CH137" t="s">
        <v>1309</v>
      </c>
      <c r="CI137" t="s">
        <v>1310</v>
      </c>
      <c r="CJ137" t="s">
        <v>1309</v>
      </c>
      <c r="CK137" t="s">
        <v>1309</v>
      </c>
      <c r="CL137" t="s">
        <v>1309</v>
      </c>
      <c r="CM137" t="s">
        <v>1309</v>
      </c>
      <c r="CN137" t="s">
        <v>1310</v>
      </c>
      <c r="CO137" t="s">
        <v>1309</v>
      </c>
      <c r="CP137" t="s">
        <v>1309</v>
      </c>
      <c r="CQ137" t="s">
        <v>1309</v>
      </c>
      <c r="CR137" t="s">
        <v>1309</v>
      </c>
      <c r="CT137" t="s">
        <v>4436</v>
      </c>
      <c r="CV137" t="s">
        <v>1308</v>
      </c>
      <c r="CW137" t="s">
        <v>1310</v>
      </c>
      <c r="CX137" t="s">
        <v>1309</v>
      </c>
      <c r="CY137" t="s">
        <v>1309</v>
      </c>
      <c r="CZ137" t="s">
        <v>1309</v>
      </c>
      <c r="DA137" t="s">
        <v>1309</v>
      </c>
      <c r="DB137" t="s">
        <v>1309</v>
      </c>
      <c r="DC137" t="s">
        <v>1309</v>
      </c>
      <c r="DE137" t="s">
        <v>1358</v>
      </c>
      <c r="DF137" t="s">
        <v>1319</v>
      </c>
      <c r="DI137">
        <v>600</v>
      </c>
      <c r="DJ137" t="s">
        <v>1358</v>
      </c>
      <c r="DM137">
        <v>700</v>
      </c>
      <c r="DN137" t="s">
        <v>1320</v>
      </c>
      <c r="DO137" t="s">
        <v>1310</v>
      </c>
      <c r="DP137" t="s">
        <v>1309</v>
      </c>
      <c r="DQ137" t="s">
        <v>1309</v>
      </c>
      <c r="DR137" t="s">
        <v>1309</v>
      </c>
      <c r="DS137" t="s">
        <v>1309</v>
      </c>
      <c r="DT137" t="s">
        <v>1310</v>
      </c>
      <c r="DU137" t="s">
        <v>1309</v>
      </c>
      <c r="DV137" t="s">
        <v>1309</v>
      </c>
      <c r="DW137" t="s">
        <v>1309</v>
      </c>
      <c r="DY137" t="s">
        <v>1481</v>
      </c>
      <c r="DZ137">
        <v>600</v>
      </c>
      <c r="EA137" t="s">
        <v>1319</v>
      </c>
      <c r="EC137" t="s">
        <v>1360</v>
      </c>
      <c r="ED137">
        <v>700</v>
      </c>
      <c r="EE137" t="s">
        <v>1319</v>
      </c>
      <c r="EG137" t="s">
        <v>5356</v>
      </c>
      <c r="EI137" t="s">
        <v>1307</v>
      </c>
      <c r="ET137" t="s">
        <v>1307</v>
      </c>
      <c r="EV137" t="s">
        <v>1319</v>
      </c>
      <c r="EW137" t="s">
        <v>1409</v>
      </c>
      <c r="EX137" t="s">
        <v>1319</v>
      </c>
      <c r="EY137" t="s">
        <v>1307</v>
      </c>
      <c r="EZ137" t="s">
        <v>1319</v>
      </c>
      <c r="FA137" t="s">
        <v>2069</v>
      </c>
      <c r="FB137" t="s">
        <v>1309</v>
      </c>
      <c r="FC137" t="s">
        <v>1309</v>
      </c>
      <c r="FD137" t="s">
        <v>1310</v>
      </c>
      <c r="FE137" t="s">
        <v>1309</v>
      </c>
      <c r="FF137" t="s">
        <v>1309</v>
      </c>
      <c r="FG137" t="s">
        <v>1309</v>
      </c>
      <c r="FH137" t="s">
        <v>1310</v>
      </c>
      <c r="FI137" t="s">
        <v>1309</v>
      </c>
      <c r="FJ137" t="s">
        <v>1310</v>
      </c>
      <c r="FK137" t="s">
        <v>1309</v>
      </c>
      <c r="FL137" t="s">
        <v>1309</v>
      </c>
      <c r="FM137" t="s">
        <v>1309</v>
      </c>
      <c r="FN137" t="s">
        <v>1309</v>
      </c>
      <c r="FO137" t="s">
        <v>1309</v>
      </c>
      <c r="FP137" t="s">
        <v>1309</v>
      </c>
      <c r="FQ137" t="s">
        <v>1309</v>
      </c>
      <c r="FR137" t="s">
        <v>1309</v>
      </c>
      <c r="FT137" t="s">
        <v>1319</v>
      </c>
      <c r="FU137" t="s">
        <v>1435</v>
      </c>
      <c r="FV137" t="s">
        <v>1310</v>
      </c>
      <c r="FW137" t="s">
        <v>1309</v>
      </c>
      <c r="FX137" t="s">
        <v>1309</v>
      </c>
      <c r="FY137" t="s">
        <v>1309</v>
      </c>
      <c r="FZ137" t="s">
        <v>1309</v>
      </c>
      <c r="GA137" t="s">
        <v>1309</v>
      </c>
      <c r="GB137" t="s">
        <v>1309</v>
      </c>
      <c r="GC137" t="s">
        <v>1309</v>
      </c>
      <c r="GD137" t="s">
        <v>1309</v>
      </c>
      <c r="GE137" t="s">
        <v>1309</v>
      </c>
      <c r="GF137" t="s">
        <v>1309</v>
      </c>
      <c r="GG137" t="s">
        <v>1309</v>
      </c>
      <c r="GI137" t="s">
        <v>1324</v>
      </c>
      <c r="GJ137" t="s">
        <v>1324</v>
      </c>
      <c r="GT137" t="s">
        <v>1325</v>
      </c>
      <c r="GU137" t="s">
        <v>1310</v>
      </c>
      <c r="GV137" t="s">
        <v>1309</v>
      </c>
      <c r="GW137" t="s">
        <v>1309</v>
      </c>
      <c r="GX137" t="s">
        <v>1309</v>
      </c>
      <c r="GY137" t="s">
        <v>1309</v>
      </c>
      <c r="GZ137" t="s">
        <v>1309</v>
      </c>
      <c r="HA137" t="s">
        <v>1309</v>
      </c>
      <c r="HB137" t="s">
        <v>1309</v>
      </c>
      <c r="HC137" t="s">
        <v>1309</v>
      </c>
      <c r="HD137" t="s">
        <v>1309</v>
      </c>
      <c r="HE137" t="s">
        <v>1309</v>
      </c>
      <c r="HF137" t="s">
        <v>1309</v>
      </c>
      <c r="HH137" t="s">
        <v>1326</v>
      </c>
      <c r="HI137" t="s">
        <v>1327</v>
      </c>
      <c r="HJ137" t="s">
        <v>1326</v>
      </c>
      <c r="HK137" t="s">
        <v>1327</v>
      </c>
      <c r="HL137" t="s">
        <v>1437</v>
      </c>
      <c r="HM137" t="s">
        <v>1326</v>
      </c>
      <c r="HN137" t="s">
        <v>1435</v>
      </c>
      <c r="HO137" t="s">
        <v>1309</v>
      </c>
      <c r="HP137" t="s">
        <v>1310</v>
      </c>
      <c r="HQ137" t="s">
        <v>1309</v>
      </c>
      <c r="HR137" t="s">
        <v>1309</v>
      </c>
      <c r="HS137" t="s">
        <v>1309</v>
      </c>
      <c r="HT137" t="s">
        <v>1309</v>
      </c>
      <c r="HU137" t="s">
        <v>1309</v>
      </c>
      <c r="HV137" t="s">
        <v>1309</v>
      </c>
      <c r="HW137" t="s">
        <v>1309</v>
      </c>
      <c r="HX137" t="s">
        <v>1309</v>
      </c>
      <c r="HY137" t="s">
        <v>1309</v>
      </c>
      <c r="IA137" t="s">
        <v>1319</v>
      </c>
      <c r="IB137" t="s">
        <v>2070</v>
      </c>
      <c r="IC137" t="s">
        <v>1310</v>
      </c>
      <c r="ID137" t="s">
        <v>1309</v>
      </c>
      <c r="IE137" t="s">
        <v>1309</v>
      </c>
      <c r="IF137" t="s">
        <v>1310</v>
      </c>
      <c r="IG137" t="s">
        <v>1309</v>
      </c>
      <c r="IH137" t="s">
        <v>1309</v>
      </c>
      <c r="II137" t="s">
        <v>1309</v>
      </c>
      <c r="IJ137" t="s">
        <v>1309</v>
      </c>
      <c r="IK137" t="s">
        <v>1309</v>
      </c>
      <c r="IL137" t="s">
        <v>1309</v>
      </c>
      <c r="IM137" t="s">
        <v>1309</v>
      </c>
      <c r="IN137" t="s">
        <v>1309</v>
      </c>
      <c r="IO137" t="s">
        <v>1309</v>
      </c>
      <c r="IQ137" t="s">
        <v>1365</v>
      </c>
      <c r="IS137" t="s">
        <v>1331</v>
      </c>
      <c r="JF137" t="s">
        <v>1331</v>
      </c>
      <c r="JG137" t="s">
        <v>1976</v>
      </c>
      <c r="JH137" t="s">
        <v>1310</v>
      </c>
      <c r="JI137" t="s">
        <v>1309</v>
      </c>
      <c r="JJ137" t="s">
        <v>1309</v>
      </c>
      <c r="JK137" t="s">
        <v>1309</v>
      </c>
      <c r="JL137" t="s">
        <v>1310</v>
      </c>
      <c r="JM137" t="s">
        <v>1309</v>
      </c>
      <c r="JN137" t="s">
        <v>1309</v>
      </c>
      <c r="JO137" t="s">
        <v>1309</v>
      </c>
      <c r="JQ137" s="92" t="s">
        <v>2061</v>
      </c>
      <c r="JR137" s="92" t="s">
        <v>1698</v>
      </c>
      <c r="JS137" s="92">
        <v>41</v>
      </c>
      <c r="JT137" s="92" t="s">
        <v>1319</v>
      </c>
      <c r="JU137" s="92" t="s">
        <v>1335</v>
      </c>
      <c r="JV137" s="92" t="s">
        <v>1526</v>
      </c>
      <c r="JW137" s="92" t="s">
        <v>1296</v>
      </c>
      <c r="JX137" s="92" t="s">
        <v>70</v>
      </c>
      <c r="JY137" s="92" t="s">
        <v>5549</v>
      </c>
      <c r="JZ137" s="92" t="s">
        <v>1337</v>
      </c>
      <c r="KA137" s="92" t="s">
        <v>4845</v>
      </c>
      <c r="KB137" s="92" t="s">
        <v>1415</v>
      </c>
      <c r="KC137" s="92" t="s">
        <v>109</v>
      </c>
      <c r="KD137" s="92" t="s">
        <v>4847</v>
      </c>
      <c r="KE137" s="92" t="s">
        <v>1424</v>
      </c>
      <c r="KF137" s="92">
        <v>600</v>
      </c>
      <c r="KG137" s="92" t="s">
        <v>1372</v>
      </c>
      <c r="KH137" s="92" t="s">
        <v>109</v>
      </c>
      <c r="KI137" s="92" t="s">
        <v>109</v>
      </c>
      <c r="KJ137" s="92" t="s">
        <v>109</v>
      </c>
      <c r="KK137" s="92" t="s">
        <v>109</v>
      </c>
      <c r="KL137" s="92" t="s">
        <v>1374</v>
      </c>
      <c r="KM137" s="92">
        <v>700</v>
      </c>
      <c r="KN137" s="92" t="s">
        <v>1372</v>
      </c>
      <c r="KO137" s="92" t="s">
        <v>1374</v>
      </c>
      <c r="KP137" s="92" t="s">
        <v>1401</v>
      </c>
      <c r="KQ137" s="92" t="s">
        <v>192</v>
      </c>
      <c r="KR137" s="92"/>
      <c r="KS137" s="92" t="s">
        <v>1345</v>
      </c>
      <c r="KT137" s="92" t="s">
        <v>1344</v>
      </c>
      <c r="KU137" s="92"/>
      <c r="KV137" s="92" t="s">
        <v>1441</v>
      </c>
      <c r="KW137" s="92" t="s">
        <v>1344</v>
      </c>
      <c r="KX137" s="92" t="s">
        <v>1376</v>
      </c>
      <c r="KY137" s="92" t="s">
        <v>1377</v>
      </c>
      <c r="KZ137" s="92" t="s">
        <v>5795</v>
      </c>
      <c r="LA137" s="92" t="s">
        <v>109</v>
      </c>
      <c r="LB137" s="92" t="s">
        <v>109</v>
      </c>
      <c r="LC137" s="92" t="s">
        <v>1372</v>
      </c>
      <c r="LD137" s="92" t="s">
        <v>1372</v>
      </c>
      <c r="LE137" s="92" t="s">
        <v>192</v>
      </c>
      <c r="LF137" s="92" t="s">
        <v>192</v>
      </c>
    </row>
    <row r="138" spans="1:318" x14ac:dyDescent="0.25">
      <c r="A138" t="s">
        <v>2071</v>
      </c>
      <c r="B138" t="s">
        <v>2072</v>
      </c>
      <c r="C138" t="s">
        <v>1304</v>
      </c>
      <c r="D138" t="s">
        <v>1305</v>
      </c>
      <c r="E138" t="s">
        <v>1306</v>
      </c>
      <c r="G138" t="s">
        <v>1307</v>
      </c>
      <c r="H138">
        <v>1</v>
      </c>
      <c r="J138" t="s">
        <v>1430</v>
      </c>
      <c r="K138" t="s">
        <v>1309</v>
      </c>
      <c r="L138" t="s">
        <v>1309</v>
      </c>
      <c r="M138" t="s">
        <v>1310</v>
      </c>
      <c r="N138" t="s">
        <v>1309</v>
      </c>
      <c r="O138" t="s">
        <v>1309</v>
      </c>
      <c r="P138" t="s">
        <v>1309</v>
      </c>
      <c r="Q138" t="s">
        <v>1309</v>
      </c>
      <c r="R138" t="s">
        <v>1309</v>
      </c>
      <c r="T138">
        <v>1</v>
      </c>
      <c r="U138" t="s">
        <v>1311</v>
      </c>
      <c r="V138" t="s">
        <v>1312</v>
      </c>
      <c r="W138" t="s">
        <v>1311</v>
      </c>
      <c r="X138" t="s">
        <v>1312</v>
      </c>
      <c r="Y138" t="s">
        <v>1312</v>
      </c>
      <c r="Z138" t="s">
        <v>1312</v>
      </c>
      <c r="AC138">
        <v>1</v>
      </c>
      <c r="AD138">
        <v>2500</v>
      </c>
      <c r="AE138">
        <v>2000</v>
      </c>
      <c r="AF138" t="s">
        <v>1351</v>
      </c>
      <c r="AH138" t="s">
        <v>1536</v>
      </c>
      <c r="AJ138" t="s">
        <v>1353</v>
      </c>
      <c r="AL138" t="s">
        <v>1316</v>
      </c>
      <c r="BA138" t="s">
        <v>1354</v>
      </c>
      <c r="BS138" t="s">
        <v>1307</v>
      </c>
      <c r="CE138" t="s">
        <v>1597</v>
      </c>
      <c r="CF138" t="s">
        <v>1309</v>
      </c>
      <c r="CG138" t="s">
        <v>1309</v>
      </c>
      <c r="CH138" t="s">
        <v>1309</v>
      </c>
      <c r="CI138" t="s">
        <v>1309</v>
      </c>
      <c r="CJ138" t="s">
        <v>1309</v>
      </c>
      <c r="CK138" t="s">
        <v>1309</v>
      </c>
      <c r="CL138" t="s">
        <v>1310</v>
      </c>
      <c r="CM138" t="s">
        <v>1309</v>
      </c>
      <c r="CN138" t="s">
        <v>1309</v>
      </c>
      <c r="CO138" t="s">
        <v>1309</v>
      </c>
      <c r="CP138" t="s">
        <v>1309</v>
      </c>
      <c r="CQ138" t="s">
        <v>1309</v>
      </c>
      <c r="CR138" t="s">
        <v>1309</v>
      </c>
      <c r="CT138" t="s">
        <v>4436</v>
      </c>
      <c r="CV138" t="s">
        <v>1308</v>
      </c>
      <c r="CW138" t="s">
        <v>1310</v>
      </c>
      <c r="CX138" t="s">
        <v>1309</v>
      </c>
      <c r="CY138" t="s">
        <v>1309</v>
      </c>
      <c r="CZ138" t="s">
        <v>1309</v>
      </c>
      <c r="DA138" t="s">
        <v>1309</v>
      </c>
      <c r="DB138" t="s">
        <v>1309</v>
      </c>
      <c r="DC138" t="s">
        <v>1309</v>
      </c>
      <c r="DE138" t="s">
        <v>1358</v>
      </c>
      <c r="DF138" t="s">
        <v>1319</v>
      </c>
      <c r="DG138">
        <v>300</v>
      </c>
      <c r="DI138">
        <v>150</v>
      </c>
      <c r="DJ138" t="s">
        <v>1358</v>
      </c>
      <c r="DM138">
        <v>200</v>
      </c>
      <c r="DN138" t="s">
        <v>1320</v>
      </c>
      <c r="DO138" t="s">
        <v>1310</v>
      </c>
      <c r="DP138" t="s">
        <v>1309</v>
      </c>
      <c r="DQ138" t="s">
        <v>1309</v>
      </c>
      <c r="DR138" t="s">
        <v>1309</v>
      </c>
      <c r="DS138" t="s">
        <v>1309</v>
      </c>
      <c r="DT138" t="s">
        <v>1310</v>
      </c>
      <c r="DU138" t="s">
        <v>1309</v>
      </c>
      <c r="DV138" t="s">
        <v>1309</v>
      </c>
      <c r="DW138" t="s">
        <v>1309</v>
      </c>
      <c r="DY138" t="s">
        <v>1456</v>
      </c>
      <c r="DZ138">
        <v>800</v>
      </c>
      <c r="EA138" t="s">
        <v>1319</v>
      </c>
      <c r="EC138" t="s">
        <v>1854</v>
      </c>
      <c r="ED138">
        <v>800</v>
      </c>
      <c r="EE138" t="s">
        <v>1319</v>
      </c>
      <c r="EG138" t="s">
        <v>5356</v>
      </c>
      <c r="EI138" t="s">
        <v>1307</v>
      </c>
      <c r="ET138" t="s">
        <v>1307</v>
      </c>
      <c r="EV138" t="s">
        <v>1319</v>
      </c>
      <c r="EW138" t="s">
        <v>1421</v>
      </c>
      <c r="EX138" t="s">
        <v>1319</v>
      </c>
      <c r="EY138" t="s">
        <v>1307</v>
      </c>
      <c r="EZ138" t="s">
        <v>1307</v>
      </c>
      <c r="FA138" t="s">
        <v>2073</v>
      </c>
      <c r="FB138" t="s">
        <v>1309</v>
      </c>
      <c r="FC138" t="s">
        <v>1309</v>
      </c>
      <c r="FD138" t="s">
        <v>1309</v>
      </c>
      <c r="FE138" t="s">
        <v>1309</v>
      </c>
      <c r="FF138" t="s">
        <v>1309</v>
      </c>
      <c r="FG138" t="s">
        <v>1309</v>
      </c>
      <c r="FH138" t="s">
        <v>1309</v>
      </c>
      <c r="FI138" t="s">
        <v>1310</v>
      </c>
      <c r="FJ138" t="s">
        <v>1309</v>
      </c>
      <c r="FK138" t="s">
        <v>1309</v>
      </c>
      <c r="FL138" t="s">
        <v>1309</v>
      </c>
      <c r="FM138" t="s">
        <v>1310</v>
      </c>
      <c r="FN138" t="s">
        <v>1309</v>
      </c>
      <c r="FO138" t="s">
        <v>1309</v>
      </c>
      <c r="FP138" t="s">
        <v>1309</v>
      </c>
      <c r="FQ138" t="s">
        <v>1309</v>
      </c>
      <c r="FR138" t="s">
        <v>1309</v>
      </c>
      <c r="FT138" t="s">
        <v>1319</v>
      </c>
      <c r="FU138" t="s">
        <v>1635</v>
      </c>
      <c r="FV138" t="s">
        <v>1310</v>
      </c>
      <c r="FW138" t="s">
        <v>1309</v>
      </c>
      <c r="FX138" t="s">
        <v>1309</v>
      </c>
      <c r="FY138" t="s">
        <v>1309</v>
      </c>
      <c r="FZ138" t="s">
        <v>1309</v>
      </c>
      <c r="GA138" t="s">
        <v>1310</v>
      </c>
      <c r="GB138" t="s">
        <v>1309</v>
      </c>
      <c r="GC138" t="s">
        <v>1309</v>
      </c>
      <c r="GD138" t="s">
        <v>1309</v>
      </c>
      <c r="GE138" t="s">
        <v>1309</v>
      </c>
      <c r="GF138" t="s">
        <v>1309</v>
      </c>
      <c r="GG138" t="s">
        <v>1309</v>
      </c>
      <c r="GI138" t="s">
        <v>1324</v>
      </c>
      <c r="GJ138" t="s">
        <v>1324</v>
      </c>
      <c r="GT138" t="s">
        <v>1325</v>
      </c>
      <c r="GU138" t="s">
        <v>1310</v>
      </c>
      <c r="GV138" t="s">
        <v>1309</v>
      </c>
      <c r="GW138" t="s">
        <v>1309</v>
      </c>
      <c r="GX138" t="s">
        <v>1309</v>
      </c>
      <c r="GY138" t="s">
        <v>1309</v>
      </c>
      <c r="GZ138" t="s">
        <v>1309</v>
      </c>
      <c r="HA138" t="s">
        <v>1309</v>
      </c>
      <c r="HB138" t="s">
        <v>1309</v>
      </c>
      <c r="HC138" t="s">
        <v>1309</v>
      </c>
      <c r="HD138" t="s">
        <v>1309</v>
      </c>
      <c r="HE138" t="s">
        <v>1309</v>
      </c>
      <c r="HF138" t="s">
        <v>1309</v>
      </c>
      <c r="HH138" t="s">
        <v>1326</v>
      </c>
      <c r="HI138" t="s">
        <v>1414</v>
      </c>
      <c r="HJ138" t="s">
        <v>1390</v>
      </c>
      <c r="HK138" t="s">
        <v>1327</v>
      </c>
      <c r="HL138" t="s">
        <v>1437</v>
      </c>
      <c r="HM138" t="s">
        <v>1390</v>
      </c>
      <c r="HN138" t="s">
        <v>1549</v>
      </c>
      <c r="HO138" t="s">
        <v>1310</v>
      </c>
      <c r="HP138" t="s">
        <v>1310</v>
      </c>
      <c r="HQ138" t="s">
        <v>1309</v>
      </c>
      <c r="HR138" t="s">
        <v>1309</v>
      </c>
      <c r="HS138" t="s">
        <v>1309</v>
      </c>
      <c r="HT138" t="s">
        <v>1309</v>
      </c>
      <c r="HU138" t="s">
        <v>1309</v>
      </c>
      <c r="HV138" t="s">
        <v>1309</v>
      </c>
      <c r="HW138" t="s">
        <v>1309</v>
      </c>
      <c r="HX138" t="s">
        <v>1309</v>
      </c>
      <c r="HY138" t="s">
        <v>1309</v>
      </c>
      <c r="IA138" t="s">
        <v>1307</v>
      </c>
      <c r="IQ138" t="s">
        <v>1365</v>
      </c>
      <c r="IS138" t="s">
        <v>1331</v>
      </c>
      <c r="JF138" t="s">
        <v>1331</v>
      </c>
      <c r="JG138" t="s">
        <v>1332</v>
      </c>
      <c r="JH138" t="s">
        <v>1309</v>
      </c>
      <c r="JI138" t="s">
        <v>1309</v>
      </c>
      <c r="JJ138" t="s">
        <v>1309</v>
      </c>
      <c r="JK138" t="s">
        <v>1309</v>
      </c>
      <c r="JL138" t="s">
        <v>1310</v>
      </c>
      <c r="JM138" t="s">
        <v>1309</v>
      </c>
      <c r="JN138" t="s">
        <v>1309</v>
      </c>
      <c r="JO138" t="s">
        <v>1309</v>
      </c>
      <c r="JQ138" s="92" t="s">
        <v>2061</v>
      </c>
      <c r="JR138" s="92" t="s">
        <v>2062</v>
      </c>
      <c r="JS138" s="92">
        <v>65</v>
      </c>
      <c r="JT138" s="92" t="s">
        <v>1319</v>
      </c>
      <c r="JU138" s="92" t="s">
        <v>1335</v>
      </c>
      <c r="JV138" s="92" t="s">
        <v>1526</v>
      </c>
      <c r="JW138" s="92" t="s">
        <v>1296</v>
      </c>
      <c r="JX138" s="92" t="s">
        <v>70</v>
      </c>
      <c r="JY138" s="92" t="s">
        <v>5549</v>
      </c>
      <c r="JZ138" s="92" t="s">
        <v>1369</v>
      </c>
      <c r="KA138" s="92" t="s">
        <v>4844</v>
      </c>
      <c r="KB138" s="92" t="s">
        <v>1476</v>
      </c>
      <c r="KC138" s="92" t="s">
        <v>109</v>
      </c>
      <c r="KD138" s="92" t="s">
        <v>4844</v>
      </c>
      <c r="KE138" s="92" t="s">
        <v>5561</v>
      </c>
      <c r="KF138" s="92">
        <v>450</v>
      </c>
      <c r="KG138" s="92" t="s">
        <v>4438</v>
      </c>
      <c r="KH138" s="92" t="s">
        <v>192</v>
      </c>
      <c r="KI138" s="92" t="s">
        <v>109</v>
      </c>
      <c r="KJ138" s="92" t="s">
        <v>109</v>
      </c>
      <c r="KK138" s="92" t="s">
        <v>109</v>
      </c>
      <c r="KL138" s="92" t="s">
        <v>1373</v>
      </c>
      <c r="KM138" s="92">
        <v>200</v>
      </c>
      <c r="KN138" s="92" t="s">
        <v>1372</v>
      </c>
      <c r="KO138" s="92" t="s">
        <v>1373</v>
      </c>
      <c r="KP138" s="92" t="s">
        <v>1401</v>
      </c>
      <c r="KQ138" s="92" t="s">
        <v>192</v>
      </c>
      <c r="KR138" s="92"/>
      <c r="KS138" s="92" t="s">
        <v>1466</v>
      </c>
      <c r="KT138" s="92" t="s">
        <v>1344</v>
      </c>
      <c r="KU138" s="92"/>
      <c r="KV138" s="92" t="s">
        <v>1441</v>
      </c>
      <c r="KW138" s="92" t="s">
        <v>1344</v>
      </c>
      <c r="KX138" s="92" t="s">
        <v>1376</v>
      </c>
      <c r="KY138" s="92" t="s">
        <v>1377</v>
      </c>
      <c r="KZ138" s="92" t="s">
        <v>5795</v>
      </c>
      <c r="LA138" s="92" t="s">
        <v>109</v>
      </c>
      <c r="LB138" s="92" t="s">
        <v>109</v>
      </c>
      <c r="LC138" s="92" t="s">
        <v>4438</v>
      </c>
      <c r="LD138" s="92" t="s">
        <v>1372</v>
      </c>
      <c r="LE138" s="92" t="s">
        <v>109</v>
      </c>
      <c r="LF138" s="92" t="s">
        <v>109</v>
      </c>
    </row>
    <row r="139" spans="1:318" x14ac:dyDescent="0.25">
      <c r="A139" t="s">
        <v>2074</v>
      </c>
      <c r="B139" t="s">
        <v>2075</v>
      </c>
      <c r="C139" t="s">
        <v>1304</v>
      </c>
      <c r="D139" t="s">
        <v>1305</v>
      </c>
      <c r="E139" t="s">
        <v>1306</v>
      </c>
      <c r="G139" t="s">
        <v>1307</v>
      </c>
      <c r="H139">
        <v>2</v>
      </c>
      <c r="I139" t="s">
        <v>1307</v>
      </c>
      <c r="J139" t="s">
        <v>1479</v>
      </c>
      <c r="K139" t="s">
        <v>1309</v>
      </c>
      <c r="L139" t="s">
        <v>1309</v>
      </c>
      <c r="M139" t="s">
        <v>1309</v>
      </c>
      <c r="N139" t="s">
        <v>1309</v>
      </c>
      <c r="O139" t="s">
        <v>1310</v>
      </c>
      <c r="P139" t="s">
        <v>1309</v>
      </c>
      <c r="Q139" t="s">
        <v>1309</v>
      </c>
      <c r="R139" t="s">
        <v>1309</v>
      </c>
      <c r="U139" t="s">
        <v>1311</v>
      </c>
      <c r="V139" t="s">
        <v>1312</v>
      </c>
      <c r="W139" t="s">
        <v>1312</v>
      </c>
      <c r="X139" t="s">
        <v>1312</v>
      </c>
      <c r="Y139" t="s">
        <v>1312</v>
      </c>
      <c r="Z139" t="s">
        <v>1312</v>
      </c>
      <c r="AC139">
        <v>2</v>
      </c>
      <c r="AD139">
        <v>12000</v>
      </c>
      <c r="AE139">
        <v>9000</v>
      </c>
      <c r="AF139" t="s">
        <v>1351</v>
      </c>
      <c r="AH139" t="s">
        <v>1314</v>
      </c>
      <c r="AJ139" t="s">
        <v>1315</v>
      </c>
      <c r="AL139" t="s">
        <v>1354</v>
      </c>
      <c r="BS139" t="s">
        <v>1307</v>
      </c>
      <c r="CE139" t="s">
        <v>1355</v>
      </c>
      <c r="CF139" t="s">
        <v>1309</v>
      </c>
      <c r="CG139" t="s">
        <v>1309</v>
      </c>
      <c r="CH139" t="s">
        <v>1309</v>
      </c>
      <c r="CI139" t="s">
        <v>1309</v>
      </c>
      <c r="CJ139" t="s">
        <v>1309</v>
      </c>
      <c r="CK139" t="s">
        <v>1309</v>
      </c>
      <c r="CL139" t="s">
        <v>1309</v>
      </c>
      <c r="CM139" t="s">
        <v>1309</v>
      </c>
      <c r="CN139" t="s">
        <v>1310</v>
      </c>
      <c r="CO139" t="s">
        <v>1309</v>
      </c>
      <c r="CP139" t="s">
        <v>1309</v>
      </c>
      <c r="CQ139" t="s">
        <v>1309</v>
      </c>
      <c r="CR139" t="s">
        <v>1309</v>
      </c>
      <c r="CT139" t="s">
        <v>4436</v>
      </c>
      <c r="CV139" t="s">
        <v>1357</v>
      </c>
      <c r="CW139" t="s">
        <v>1309</v>
      </c>
      <c r="CX139" t="s">
        <v>1309</v>
      </c>
      <c r="CY139" t="s">
        <v>1309</v>
      </c>
      <c r="CZ139" t="s">
        <v>1309</v>
      </c>
      <c r="DA139" t="s">
        <v>1310</v>
      </c>
      <c r="DB139" t="s">
        <v>1309</v>
      </c>
      <c r="DC139" t="s">
        <v>1309</v>
      </c>
      <c r="DE139" t="s">
        <v>1358</v>
      </c>
      <c r="DF139" t="s">
        <v>1319</v>
      </c>
      <c r="DG139">
        <v>100</v>
      </c>
      <c r="DH139">
        <v>4500</v>
      </c>
      <c r="DI139">
        <v>250</v>
      </c>
      <c r="DJ139" t="s">
        <v>1358</v>
      </c>
      <c r="DK139">
        <v>150</v>
      </c>
      <c r="DM139">
        <v>300</v>
      </c>
      <c r="DN139" t="s">
        <v>1320</v>
      </c>
      <c r="DO139" t="s">
        <v>1310</v>
      </c>
      <c r="DP139" t="s">
        <v>1309</v>
      </c>
      <c r="DQ139" t="s">
        <v>1309</v>
      </c>
      <c r="DR139" t="s">
        <v>1309</v>
      </c>
      <c r="DS139" t="s">
        <v>1309</v>
      </c>
      <c r="DT139" t="s">
        <v>1310</v>
      </c>
      <c r="DU139" t="s">
        <v>1309</v>
      </c>
      <c r="DV139" t="s">
        <v>1309</v>
      </c>
      <c r="DW139" t="s">
        <v>1309</v>
      </c>
      <c r="DY139" t="s">
        <v>1456</v>
      </c>
      <c r="DZ139">
        <v>300</v>
      </c>
      <c r="EA139" t="s">
        <v>1319</v>
      </c>
      <c r="EC139" t="s">
        <v>1457</v>
      </c>
      <c r="ED139">
        <v>600</v>
      </c>
      <c r="EE139" t="s">
        <v>1319</v>
      </c>
      <c r="EG139" t="s">
        <v>5357</v>
      </c>
      <c r="ET139" t="s">
        <v>1307</v>
      </c>
      <c r="EV139" t="s">
        <v>1319</v>
      </c>
      <c r="EW139" t="s">
        <v>1409</v>
      </c>
      <c r="EX139" t="s">
        <v>1307</v>
      </c>
      <c r="EY139" t="s">
        <v>1307</v>
      </c>
      <c r="EZ139" t="s">
        <v>1307</v>
      </c>
      <c r="FT139" t="s">
        <v>1319</v>
      </c>
      <c r="FU139" t="s">
        <v>2040</v>
      </c>
      <c r="FV139" t="s">
        <v>1310</v>
      </c>
      <c r="FW139" t="s">
        <v>1310</v>
      </c>
      <c r="FX139" t="s">
        <v>1309</v>
      </c>
      <c r="FY139" t="s">
        <v>1309</v>
      </c>
      <c r="FZ139" t="s">
        <v>1309</v>
      </c>
      <c r="GA139" t="s">
        <v>1310</v>
      </c>
      <c r="GB139" t="s">
        <v>1309</v>
      </c>
      <c r="GC139" t="s">
        <v>1309</v>
      </c>
      <c r="GD139" t="s">
        <v>1310</v>
      </c>
      <c r="GE139" t="s">
        <v>1309</v>
      </c>
      <c r="GF139" t="s">
        <v>1309</v>
      </c>
      <c r="GG139" t="s">
        <v>1309</v>
      </c>
      <c r="GI139" t="s">
        <v>1324</v>
      </c>
      <c r="GJ139" t="s">
        <v>1324</v>
      </c>
      <c r="GT139" t="s">
        <v>1325</v>
      </c>
      <c r="GU139" t="s">
        <v>1310</v>
      </c>
      <c r="GV139" t="s">
        <v>1309</v>
      </c>
      <c r="GW139" t="s">
        <v>1309</v>
      </c>
      <c r="GX139" t="s">
        <v>1309</v>
      </c>
      <c r="GY139" t="s">
        <v>1309</v>
      </c>
      <c r="GZ139" t="s">
        <v>1309</v>
      </c>
      <c r="HA139" t="s">
        <v>1309</v>
      </c>
      <c r="HB139" t="s">
        <v>1309</v>
      </c>
      <c r="HC139" t="s">
        <v>1309</v>
      </c>
      <c r="HD139" t="s">
        <v>1309</v>
      </c>
      <c r="HE139" t="s">
        <v>1309</v>
      </c>
      <c r="HF139" t="s">
        <v>1309</v>
      </c>
      <c r="HH139" t="s">
        <v>1363</v>
      </c>
      <c r="HI139" t="s">
        <v>1363</v>
      </c>
      <c r="HJ139" t="s">
        <v>1363</v>
      </c>
      <c r="HK139" t="s">
        <v>1327</v>
      </c>
      <c r="HL139" t="s">
        <v>1364</v>
      </c>
      <c r="HM139" t="s">
        <v>1363</v>
      </c>
      <c r="IA139" t="s">
        <v>1307</v>
      </c>
      <c r="IQ139" t="s">
        <v>1365</v>
      </c>
      <c r="IS139" t="s">
        <v>1354</v>
      </c>
      <c r="JF139" t="s">
        <v>1316</v>
      </c>
      <c r="JG139" t="s">
        <v>1332</v>
      </c>
      <c r="JH139" t="s">
        <v>1309</v>
      </c>
      <c r="JI139" t="s">
        <v>1309</v>
      </c>
      <c r="JJ139" t="s">
        <v>1309</v>
      </c>
      <c r="JK139" t="s">
        <v>1309</v>
      </c>
      <c r="JL139" t="s">
        <v>1310</v>
      </c>
      <c r="JM139" t="s">
        <v>1309</v>
      </c>
      <c r="JN139" t="s">
        <v>1309</v>
      </c>
      <c r="JO139" t="s">
        <v>1309</v>
      </c>
      <c r="JQ139" s="92" t="s">
        <v>2076</v>
      </c>
      <c r="JR139" s="92" t="s">
        <v>2077</v>
      </c>
      <c r="JS139" s="92">
        <v>54</v>
      </c>
      <c r="JT139" s="92" t="s">
        <v>1319</v>
      </c>
      <c r="JU139" s="92" t="s">
        <v>1335</v>
      </c>
      <c r="JV139" s="92" t="s">
        <v>1368</v>
      </c>
      <c r="JW139" s="92" t="s">
        <v>1296</v>
      </c>
      <c r="JX139" s="92" t="s">
        <v>71</v>
      </c>
      <c r="JY139" s="92" t="s">
        <v>5549</v>
      </c>
      <c r="JZ139" s="92" t="s">
        <v>1337</v>
      </c>
      <c r="KA139" s="92" t="s">
        <v>4845</v>
      </c>
      <c r="KB139" s="92" t="s">
        <v>1338</v>
      </c>
      <c r="KC139" s="92" t="s">
        <v>109</v>
      </c>
      <c r="KD139" s="92" t="s">
        <v>4847</v>
      </c>
      <c r="KE139" s="92" t="s">
        <v>1371</v>
      </c>
      <c r="KF139" s="92">
        <v>4850</v>
      </c>
      <c r="KG139" s="92" t="s">
        <v>4439</v>
      </c>
      <c r="KH139" s="92" t="s">
        <v>192</v>
      </c>
      <c r="KI139" s="92" t="s">
        <v>192</v>
      </c>
      <c r="KJ139" s="92" t="s">
        <v>192</v>
      </c>
      <c r="KK139" s="92" t="s">
        <v>109</v>
      </c>
      <c r="KL139" s="92" t="s">
        <v>1341</v>
      </c>
      <c r="KM139" s="92">
        <v>450</v>
      </c>
      <c r="KN139" s="92" t="s">
        <v>1372</v>
      </c>
      <c r="KO139" s="92" t="s">
        <v>1373</v>
      </c>
      <c r="KP139" s="92" t="s">
        <v>1375</v>
      </c>
      <c r="KQ139" s="92" t="s">
        <v>192</v>
      </c>
      <c r="KR139" s="92"/>
      <c r="KS139" s="92" t="s">
        <v>1343</v>
      </c>
      <c r="KT139" s="92" t="s">
        <v>1344</v>
      </c>
      <c r="KU139" s="92"/>
      <c r="KV139" s="92" t="s">
        <v>1345</v>
      </c>
      <c r="KW139" s="92" t="s">
        <v>1344</v>
      </c>
      <c r="KX139" s="92" t="s">
        <v>1376</v>
      </c>
      <c r="KY139" s="92" t="s">
        <v>1377</v>
      </c>
      <c r="KZ139" s="92" t="s">
        <v>5795</v>
      </c>
      <c r="LA139" s="92" t="s">
        <v>109</v>
      </c>
      <c r="LB139" s="92" t="s">
        <v>109</v>
      </c>
      <c r="LC139" s="92" t="s">
        <v>4439</v>
      </c>
      <c r="LD139" s="92" t="s">
        <v>1372</v>
      </c>
      <c r="LE139" s="92" t="s">
        <v>192</v>
      </c>
      <c r="LF139" s="92" t="s">
        <v>109</v>
      </c>
    </row>
    <row r="140" spans="1:318" x14ac:dyDescent="0.25">
      <c r="A140" t="s">
        <v>2078</v>
      </c>
      <c r="B140" t="s">
        <v>2079</v>
      </c>
      <c r="C140" t="s">
        <v>1304</v>
      </c>
      <c r="D140" t="s">
        <v>1305</v>
      </c>
      <c r="E140" t="s">
        <v>1306</v>
      </c>
      <c r="G140" t="s">
        <v>1307</v>
      </c>
      <c r="H140">
        <v>4</v>
      </c>
      <c r="I140" t="s">
        <v>1318</v>
      </c>
      <c r="J140" t="s">
        <v>2080</v>
      </c>
      <c r="K140" t="s">
        <v>1310</v>
      </c>
      <c r="L140" t="s">
        <v>1310</v>
      </c>
      <c r="M140" t="s">
        <v>1309</v>
      </c>
      <c r="N140" t="s">
        <v>1310</v>
      </c>
      <c r="O140" t="s">
        <v>1310</v>
      </c>
      <c r="P140" t="s">
        <v>1309</v>
      </c>
      <c r="Q140" t="s">
        <v>1309</v>
      </c>
      <c r="R140" t="s">
        <v>1309</v>
      </c>
      <c r="S140">
        <v>1</v>
      </c>
      <c r="U140" t="s">
        <v>1312</v>
      </c>
      <c r="V140" t="s">
        <v>1312</v>
      </c>
      <c r="W140" t="s">
        <v>1311</v>
      </c>
      <c r="X140" t="s">
        <v>1312</v>
      </c>
      <c r="Y140" t="s">
        <v>1312</v>
      </c>
      <c r="Z140" t="s">
        <v>1312</v>
      </c>
      <c r="AA140">
        <v>1</v>
      </c>
      <c r="AB140">
        <v>1</v>
      </c>
      <c r="AC140">
        <v>2</v>
      </c>
      <c r="AD140">
        <v>10000</v>
      </c>
      <c r="AE140">
        <v>7000</v>
      </c>
      <c r="AF140" t="s">
        <v>1313</v>
      </c>
      <c r="AH140" t="s">
        <v>1314</v>
      </c>
      <c r="AJ140" t="s">
        <v>1315</v>
      </c>
      <c r="AL140" t="s">
        <v>1354</v>
      </c>
      <c r="BS140" t="s">
        <v>1307</v>
      </c>
      <c r="CE140" t="s">
        <v>1355</v>
      </c>
      <c r="CF140" t="s">
        <v>1309</v>
      </c>
      <c r="CG140" t="s">
        <v>1309</v>
      </c>
      <c r="CH140" t="s">
        <v>1309</v>
      </c>
      <c r="CI140" t="s">
        <v>1309</v>
      </c>
      <c r="CJ140" t="s">
        <v>1309</v>
      </c>
      <c r="CK140" t="s">
        <v>1309</v>
      </c>
      <c r="CL140" t="s">
        <v>1309</v>
      </c>
      <c r="CM140" t="s">
        <v>1309</v>
      </c>
      <c r="CN140" t="s">
        <v>1310</v>
      </c>
      <c r="CO140" t="s">
        <v>1309</v>
      </c>
      <c r="CP140" t="s">
        <v>1309</v>
      </c>
      <c r="CQ140" t="s">
        <v>1309</v>
      </c>
      <c r="CR140" t="s">
        <v>1309</v>
      </c>
      <c r="CT140" t="s">
        <v>4434</v>
      </c>
      <c r="CV140" t="s">
        <v>1308</v>
      </c>
      <c r="CW140" t="s">
        <v>1310</v>
      </c>
      <c r="CX140" t="s">
        <v>1309</v>
      </c>
      <c r="CY140" t="s">
        <v>1309</v>
      </c>
      <c r="CZ140" t="s">
        <v>1309</v>
      </c>
      <c r="DA140" t="s">
        <v>1309</v>
      </c>
      <c r="DB140" t="s">
        <v>1309</v>
      </c>
      <c r="DC140" t="s">
        <v>1309</v>
      </c>
      <c r="DE140" t="s">
        <v>1318</v>
      </c>
      <c r="DG140">
        <v>2500</v>
      </c>
      <c r="DI140">
        <v>400</v>
      </c>
      <c r="DJ140" t="s">
        <v>1318</v>
      </c>
      <c r="DK140">
        <v>4800</v>
      </c>
      <c r="DM140">
        <v>400</v>
      </c>
      <c r="DN140" t="s">
        <v>1320</v>
      </c>
      <c r="DO140" t="s">
        <v>1310</v>
      </c>
      <c r="DP140" t="s">
        <v>1309</v>
      </c>
      <c r="DQ140" t="s">
        <v>1309</v>
      </c>
      <c r="DR140" t="s">
        <v>1309</v>
      </c>
      <c r="DS140" t="s">
        <v>1309</v>
      </c>
      <c r="DT140" t="s">
        <v>1310</v>
      </c>
      <c r="DU140" t="s">
        <v>1309</v>
      </c>
      <c r="DV140" t="s">
        <v>1309</v>
      </c>
      <c r="DW140" t="s">
        <v>1309</v>
      </c>
      <c r="DY140" t="s">
        <v>1481</v>
      </c>
      <c r="DZ140">
        <v>300</v>
      </c>
      <c r="EA140" t="s">
        <v>1319</v>
      </c>
      <c r="EC140" t="s">
        <v>1457</v>
      </c>
      <c r="ED140">
        <v>1000</v>
      </c>
      <c r="EE140" t="s">
        <v>1319</v>
      </c>
      <c r="EG140" t="s">
        <v>5357</v>
      </c>
      <c r="ET140" t="s">
        <v>1307</v>
      </c>
      <c r="EV140" t="s">
        <v>1319</v>
      </c>
      <c r="EW140" t="s">
        <v>1409</v>
      </c>
      <c r="EX140" t="s">
        <v>1319</v>
      </c>
      <c r="EY140" t="s">
        <v>1319</v>
      </c>
      <c r="FA140" t="s">
        <v>2081</v>
      </c>
      <c r="FB140" t="s">
        <v>1310</v>
      </c>
      <c r="FC140" t="s">
        <v>1309</v>
      </c>
      <c r="FD140" t="s">
        <v>1310</v>
      </c>
      <c r="FE140" t="s">
        <v>1309</v>
      </c>
      <c r="FF140" t="s">
        <v>1309</v>
      </c>
      <c r="FG140" t="s">
        <v>1309</v>
      </c>
      <c r="FH140" t="s">
        <v>1309</v>
      </c>
      <c r="FI140" t="s">
        <v>1309</v>
      </c>
      <c r="FJ140" t="s">
        <v>1310</v>
      </c>
      <c r="FK140" t="s">
        <v>1309</v>
      </c>
      <c r="FL140" t="s">
        <v>1309</v>
      </c>
      <c r="FM140" t="s">
        <v>1309</v>
      </c>
      <c r="FN140" t="s">
        <v>1309</v>
      </c>
      <c r="FO140" t="s">
        <v>1309</v>
      </c>
      <c r="FP140" t="s">
        <v>1309</v>
      </c>
      <c r="FQ140" t="s">
        <v>1309</v>
      </c>
      <c r="FR140" t="s">
        <v>1309</v>
      </c>
      <c r="FT140" t="s">
        <v>1319</v>
      </c>
      <c r="FU140" t="s">
        <v>2082</v>
      </c>
      <c r="FV140" t="s">
        <v>1310</v>
      </c>
      <c r="FW140" t="s">
        <v>1310</v>
      </c>
      <c r="FX140" t="s">
        <v>1309</v>
      </c>
      <c r="FY140" t="s">
        <v>1310</v>
      </c>
      <c r="FZ140" t="s">
        <v>1310</v>
      </c>
      <c r="GA140" t="s">
        <v>1310</v>
      </c>
      <c r="GB140" t="s">
        <v>1309</v>
      </c>
      <c r="GC140" t="s">
        <v>1309</v>
      </c>
      <c r="GD140" t="s">
        <v>1309</v>
      </c>
      <c r="GE140" t="s">
        <v>1309</v>
      </c>
      <c r="GF140" t="s">
        <v>1309</v>
      </c>
      <c r="GG140" t="s">
        <v>1309</v>
      </c>
      <c r="GI140" t="s">
        <v>1436</v>
      </c>
      <c r="GJ140" t="s">
        <v>1436</v>
      </c>
      <c r="GK140" t="s">
        <v>1319</v>
      </c>
      <c r="GL140" t="s">
        <v>1619</v>
      </c>
      <c r="GM140" t="s">
        <v>1310</v>
      </c>
      <c r="GN140" t="s">
        <v>1309</v>
      </c>
      <c r="GO140" t="s">
        <v>1309</v>
      </c>
      <c r="GP140" t="s">
        <v>1309</v>
      </c>
      <c r="GQ140" t="s">
        <v>1309</v>
      </c>
      <c r="GR140" t="s">
        <v>1309</v>
      </c>
      <c r="GT140" t="s">
        <v>1325</v>
      </c>
      <c r="GU140" t="s">
        <v>1310</v>
      </c>
      <c r="GV140" t="s">
        <v>1309</v>
      </c>
      <c r="GW140" t="s">
        <v>1309</v>
      </c>
      <c r="GX140" t="s">
        <v>1309</v>
      </c>
      <c r="GY140" t="s">
        <v>1309</v>
      </c>
      <c r="GZ140" t="s">
        <v>1309</v>
      </c>
      <c r="HA140" t="s">
        <v>1309</v>
      </c>
      <c r="HB140" t="s">
        <v>1309</v>
      </c>
      <c r="HC140" t="s">
        <v>1309</v>
      </c>
      <c r="HD140" t="s">
        <v>1309</v>
      </c>
      <c r="HE140" t="s">
        <v>1309</v>
      </c>
      <c r="HF140" t="s">
        <v>1309</v>
      </c>
      <c r="HH140" t="s">
        <v>1308</v>
      </c>
      <c r="HI140" t="s">
        <v>1308</v>
      </c>
      <c r="HJ140" t="s">
        <v>1308</v>
      </c>
      <c r="HK140" t="s">
        <v>1327</v>
      </c>
      <c r="HL140" t="s">
        <v>1692</v>
      </c>
      <c r="HM140" t="s">
        <v>1308</v>
      </c>
      <c r="HN140" t="s">
        <v>1879</v>
      </c>
      <c r="HO140" t="s">
        <v>1310</v>
      </c>
      <c r="HP140" t="s">
        <v>1309</v>
      </c>
      <c r="HQ140" t="s">
        <v>1309</v>
      </c>
      <c r="HR140" t="s">
        <v>1309</v>
      </c>
      <c r="HS140" t="s">
        <v>1310</v>
      </c>
      <c r="HT140" t="s">
        <v>1309</v>
      </c>
      <c r="HU140" t="s">
        <v>1309</v>
      </c>
      <c r="HV140" t="s">
        <v>1309</v>
      </c>
      <c r="HW140" t="s">
        <v>1309</v>
      </c>
      <c r="HX140" t="s">
        <v>1309</v>
      </c>
      <c r="HY140" t="s">
        <v>1309</v>
      </c>
      <c r="IA140" t="s">
        <v>1307</v>
      </c>
      <c r="IQ140" t="s">
        <v>1308</v>
      </c>
      <c r="IS140" t="s">
        <v>1331</v>
      </c>
      <c r="JF140" t="s">
        <v>1450</v>
      </c>
      <c r="JG140" t="s">
        <v>1698</v>
      </c>
      <c r="JH140" t="s">
        <v>1309</v>
      </c>
      <c r="JI140" t="s">
        <v>1309</v>
      </c>
      <c r="JJ140" t="s">
        <v>1309</v>
      </c>
      <c r="JK140" t="s">
        <v>1309</v>
      </c>
      <c r="JL140" t="s">
        <v>1309</v>
      </c>
      <c r="JM140" t="s">
        <v>1310</v>
      </c>
      <c r="JN140" t="s">
        <v>1309</v>
      </c>
      <c r="JO140" t="s">
        <v>1309</v>
      </c>
      <c r="JP140" t="s">
        <v>2083</v>
      </c>
      <c r="JQ140" s="92" t="s">
        <v>1333</v>
      </c>
      <c r="JR140" s="92" t="s">
        <v>1334</v>
      </c>
      <c r="JS140" s="92">
        <v>30</v>
      </c>
      <c r="JT140" s="92" t="s">
        <v>1319</v>
      </c>
      <c r="JU140" s="92" t="s">
        <v>1396</v>
      </c>
      <c r="JV140" s="92" t="s">
        <v>1336</v>
      </c>
      <c r="JW140" s="92" t="s">
        <v>1296</v>
      </c>
      <c r="JX140" s="92" t="s">
        <v>71</v>
      </c>
      <c r="JY140" s="92" t="s">
        <v>5549</v>
      </c>
      <c r="JZ140" s="92" t="s">
        <v>1398</v>
      </c>
      <c r="KA140" s="92" t="s">
        <v>4845</v>
      </c>
      <c r="KB140" s="92" t="s">
        <v>1415</v>
      </c>
      <c r="KC140" s="92" t="s">
        <v>109</v>
      </c>
      <c r="KD140" s="92" t="s">
        <v>4847</v>
      </c>
      <c r="KE140" s="92" t="s">
        <v>1424</v>
      </c>
      <c r="KF140" s="92">
        <v>2900</v>
      </c>
      <c r="KG140" s="92" t="s">
        <v>4439</v>
      </c>
      <c r="KH140" s="92" t="s">
        <v>192</v>
      </c>
      <c r="KI140" s="92" t="s">
        <v>109</v>
      </c>
      <c r="KJ140" s="92" t="s">
        <v>192</v>
      </c>
      <c r="KK140" s="92" t="s">
        <v>109</v>
      </c>
      <c r="KL140" s="92" t="s">
        <v>1425</v>
      </c>
      <c r="KM140" s="92">
        <v>5200</v>
      </c>
      <c r="KN140" s="92" t="s">
        <v>1400</v>
      </c>
      <c r="KO140" s="92" t="s">
        <v>1341</v>
      </c>
      <c r="KP140" s="92" t="s">
        <v>1460</v>
      </c>
      <c r="KQ140" s="92" t="s">
        <v>192</v>
      </c>
      <c r="KR140" s="92">
        <v>10</v>
      </c>
      <c r="KS140" s="92" t="s">
        <v>1343</v>
      </c>
      <c r="KT140" s="92" t="s">
        <v>1344</v>
      </c>
      <c r="KU140" s="92">
        <v>19</v>
      </c>
      <c r="KV140" s="92" t="s">
        <v>1461</v>
      </c>
      <c r="KW140" s="92" t="s">
        <v>1344</v>
      </c>
      <c r="KX140" s="92" t="s">
        <v>1376</v>
      </c>
      <c r="KY140" s="92" t="s">
        <v>1377</v>
      </c>
      <c r="KZ140" s="92" t="s">
        <v>1378</v>
      </c>
      <c r="LA140" s="92" t="s">
        <v>192</v>
      </c>
      <c r="LB140" s="92" t="s">
        <v>192</v>
      </c>
      <c r="LC140" s="92" t="s">
        <v>4439</v>
      </c>
      <c r="LD140" s="92" t="s">
        <v>4439</v>
      </c>
      <c r="LE140" s="92" t="s">
        <v>109</v>
      </c>
      <c r="LF140" s="92" t="s">
        <v>192</v>
      </c>
    </row>
    <row r="141" spans="1:318" x14ac:dyDescent="0.25">
      <c r="A141" t="s">
        <v>2084</v>
      </c>
      <c r="B141" t="s">
        <v>2085</v>
      </c>
      <c r="C141" t="s">
        <v>1304</v>
      </c>
      <c r="D141" t="s">
        <v>1305</v>
      </c>
      <c r="E141" t="s">
        <v>1306</v>
      </c>
      <c r="G141" t="s">
        <v>1307</v>
      </c>
      <c r="H141">
        <v>5</v>
      </c>
      <c r="I141" t="s">
        <v>1307</v>
      </c>
      <c r="J141" t="s">
        <v>1511</v>
      </c>
      <c r="K141" t="s">
        <v>1309</v>
      </c>
      <c r="L141" t="s">
        <v>1310</v>
      </c>
      <c r="M141" t="s">
        <v>1309</v>
      </c>
      <c r="N141" t="s">
        <v>1310</v>
      </c>
      <c r="O141" t="s">
        <v>1309</v>
      </c>
      <c r="P141" t="s">
        <v>1309</v>
      </c>
      <c r="Q141" t="s">
        <v>1309</v>
      </c>
      <c r="R141" t="s">
        <v>1309</v>
      </c>
      <c r="S141">
        <v>3</v>
      </c>
      <c r="U141" t="s">
        <v>1486</v>
      </c>
      <c r="V141" t="s">
        <v>1312</v>
      </c>
      <c r="W141" t="s">
        <v>1311</v>
      </c>
      <c r="X141" t="s">
        <v>1312</v>
      </c>
      <c r="Y141" t="s">
        <v>1311</v>
      </c>
      <c r="Z141" t="s">
        <v>1312</v>
      </c>
      <c r="AA141">
        <v>1</v>
      </c>
      <c r="AB141">
        <v>1</v>
      </c>
      <c r="AC141">
        <v>2</v>
      </c>
      <c r="AD141">
        <v>20000</v>
      </c>
      <c r="AE141">
        <v>16000</v>
      </c>
      <c r="AF141" t="s">
        <v>1313</v>
      </c>
      <c r="AH141" t="s">
        <v>1352</v>
      </c>
      <c r="AJ141" t="s">
        <v>1315</v>
      </c>
      <c r="AL141" t="s">
        <v>1331</v>
      </c>
      <c r="BS141" t="s">
        <v>1307</v>
      </c>
      <c r="CE141" t="s">
        <v>2086</v>
      </c>
      <c r="CF141" t="s">
        <v>1310</v>
      </c>
      <c r="CG141" t="s">
        <v>1309</v>
      </c>
      <c r="CH141" t="s">
        <v>1309</v>
      </c>
      <c r="CI141" t="s">
        <v>1309</v>
      </c>
      <c r="CJ141" t="s">
        <v>1309</v>
      </c>
      <c r="CK141" t="s">
        <v>1310</v>
      </c>
      <c r="CL141" t="s">
        <v>1309</v>
      </c>
      <c r="CM141" t="s">
        <v>1309</v>
      </c>
      <c r="CN141" t="s">
        <v>1310</v>
      </c>
      <c r="CO141" t="s">
        <v>1310</v>
      </c>
      <c r="CP141" t="s">
        <v>1309</v>
      </c>
      <c r="CQ141" t="s">
        <v>1309</v>
      </c>
      <c r="CR141" t="s">
        <v>1309</v>
      </c>
      <c r="CT141" t="s">
        <v>4434</v>
      </c>
      <c r="CV141" t="s">
        <v>1308</v>
      </c>
      <c r="CW141" t="s">
        <v>1310</v>
      </c>
      <c r="CX141" t="s">
        <v>1309</v>
      </c>
      <c r="CY141" t="s">
        <v>1309</v>
      </c>
      <c r="CZ141" t="s">
        <v>1309</v>
      </c>
      <c r="DA141" t="s">
        <v>1309</v>
      </c>
      <c r="DB141" t="s">
        <v>1309</v>
      </c>
      <c r="DC141" t="s">
        <v>1309</v>
      </c>
      <c r="DE141" t="s">
        <v>1358</v>
      </c>
      <c r="DG141">
        <v>3500</v>
      </c>
      <c r="DI141">
        <v>700</v>
      </c>
      <c r="DJ141" t="s">
        <v>1358</v>
      </c>
      <c r="DK141">
        <v>4800</v>
      </c>
      <c r="DN141" t="s">
        <v>1320</v>
      </c>
      <c r="DO141" t="s">
        <v>1310</v>
      </c>
      <c r="DP141" t="s">
        <v>1309</v>
      </c>
      <c r="DQ141" t="s">
        <v>1309</v>
      </c>
      <c r="DR141" t="s">
        <v>1309</v>
      </c>
      <c r="DS141" t="s">
        <v>1309</v>
      </c>
      <c r="DT141" t="s">
        <v>1310</v>
      </c>
      <c r="DU141" t="s">
        <v>1309</v>
      </c>
      <c r="DV141" t="s">
        <v>1309</v>
      </c>
      <c r="DW141" t="s">
        <v>1309</v>
      </c>
      <c r="DY141" t="s">
        <v>1456</v>
      </c>
      <c r="DZ141">
        <v>300</v>
      </c>
      <c r="EA141" t="s">
        <v>1319</v>
      </c>
      <c r="EC141" t="s">
        <v>1457</v>
      </c>
      <c r="ED141">
        <v>500</v>
      </c>
      <c r="EE141" t="s">
        <v>1319</v>
      </c>
      <c r="EG141" t="s">
        <v>5357</v>
      </c>
      <c r="ET141" t="s">
        <v>1307</v>
      </c>
      <c r="EV141" t="s">
        <v>1319</v>
      </c>
      <c r="EW141" t="s">
        <v>1409</v>
      </c>
      <c r="EX141" t="s">
        <v>1319</v>
      </c>
      <c r="EY141" t="s">
        <v>1319</v>
      </c>
      <c r="FA141" t="s">
        <v>2087</v>
      </c>
      <c r="FB141" t="s">
        <v>1310</v>
      </c>
      <c r="FC141" t="s">
        <v>1309</v>
      </c>
      <c r="FD141" t="s">
        <v>1309</v>
      </c>
      <c r="FE141" t="s">
        <v>1309</v>
      </c>
      <c r="FF141" t="s">
        <v>1309</v>
      </c>
      <c r="FG141" t="s">
        <v>1309</v>
      </c>
      <c r="FH141" t="s">
        <v>1309</v>
      </c>
      <c r="FI141" t="s">
        <v>1309</v>
      </c>
      <c r="FJ141" t="s">
        <v>1309</v>
      </c>
      <c r="FK141" t="s">
        <v>1309</v>
      </c>
      <c r="FL141" t="s">
        <v>1309</v>
      </c>
      <c r="FM141" t="s">
        <v>1309</v>
      </c>
      <c r="FN141" t="s">
        <v>1310</v>
      </c>
      <c r="FO141" t="s">
        <v>1309</v>
      </c>
      <c r="FP141" t="s">
        <v>1309</v>
      </c>
      <c r="FQ141" t="s">
        <v>1309</v>
      </c>
      <c r="FR141" t="s">
        <v>1309</v>
      </c>
      <c r="FT141" t="s">
        <v>1307</v>
      </c>
      <c r="GI141" t="s">
        <v>1436</v>
      </c>
      <c r="GJ141" t="s">
        <v>1436</v>
      </c>
      <c r="GK141" t="s">
        <v>1319</v>
      </c>
      <c r="GL141" t="s">
        <v>1619</v>
      </c>
      <c r="GM141" t="s">
        <v>1310</v>
      </c>
      <c r="GN141" t="s">
        <v>1309</v>
      </c>
      <c r="GO141" t="s">
        <v>1309</v>
      </c>
      <c r="GP141" t="s">
        <v>1309</v>
      </c>
      <c r="GQ141" t="s">
        <v>1309</v>
      </c>
      <c r="GR141" t="s">
        <v>1309</v>
      </c>
      <c r="GT141" t="s">
        <v>1325</v>
      </c>
      <c r="GU141" t="s">
        <v>1310</v>
      </c>
      <c r="GV141" t="s">
        <v>1309</v>
      </c>
      <c r="GW141" t="s">
        <v>1309</v>
      </c>
      <c r="GX141" t="s">
        <v>1309</v>
      </c>
      <c r="GY141" t="s">
        <v>1309</v>
      </c>
      <c r="GZ141" t="s">
        <v>1309</v>
      </c>
      <c r="HA141" t="s">
        <v>1309</v>
      </c>
      <c r="HB141" t="s">
        <v>1309</v>
      </c>
      <c r="HC141" t="s">
        <v>1309</v>
      </c>
      <c r="HD141" t="s">
        <v>1309</v>
      </c>
      <c r="HE141" t="s">
        <v>1309</v>
      </c>
      <c r="HF141" t="s">
        <v>1309</v>
      </c>
      <c r="HH141" t="s">
        <v>1390</v>
      </c>
      <c r="HI141" t="s">
        <v>1390</v>
      </c>
      <c r="HJ141" t="s">
        <v>1326</v>
      </c>
      <c r="HK141" t="s">
        <v>1390</v>
      </c>
      <c r="HL141" t="s">
        <v>1328</v>
      </c>
      <c r="HM141" t="s">
        <v>1390</v>
      </c>
      <c r="HN141" t="s">
        <v>1592</v>
      </c>
      <c r="HO141" t="s">
        <v>1309</v>
      </c>
      <c r="HP141" t="s">
        <v>1309</v>
      </c>
      <c r="HQ141" t="s">
        <v>1310</v>
      </c>
      <c r="HR141" t="s">
        <v>1309</v>
      </c>
      <c r="HS141" t="s">
        <v>1309</v>
      </c>
      <c r="HT141" t="s">
        <v>1309</v>
      </c>
      <c r="HU141" t="s">
        <v>1309</v>
      </c>
      <c r="HV141" t="s">
        <v>1309</v>
      </c>
      <c r="HW141" t="s">
        <v>1309</v>
      </c>
      <c r="HX141" t="s">
        <v>1309</v>
      </c>
      <c r="HY141" t="s">
        <v>1309</v>
      </c>
      <c r="IA141" t="s">
        <v>1319</v>
      </c>
      <c r="IB141" t="s">
        <v>1601</v>
      </c>
      <c r="IC141" t="s">
        <v>1310</v>
      </c>
      <c r="ID141" t="s">
        <v>1309</v>
      </c>
      <c r="IE141" t="s">
        <v>1309</v>
      </c>
      <c r="IF141" t="s">
        <v>1309</v>
      </c>
      <c r="IG141" t="s">
        <v>1309</v>
      </c>
      <c r="IH141" t="s">
        <v>1309</v>
      </c>
      <c r="II141" t="s">
        <v>1309</v>
      </c>
      <c r="IJ141" t="s">
        <v>1309</v>
      </c>
      <c r="IK141" t="s">
        <v>1309</v>
      </c>
      <c r="IL141" t="s">
        <v>1309</v>
      </c>
      <c r="IM141" t="s">
        <v>1309</v>
      </c>
      <c r="IN141" t="s">
        <v>1309</v>
      </c>
      <c r="IO141" t="s">
        <v>1309</v>
      </c>
      <c r="IQ141" t="s">
        <v>1308</v>
      </c>
      <c r="IS141" t="s">
        <v>1354</v>
      </c>
      <c r="JF141" t="s">
        <v>1413</v>
      </c>
      <c r="JG141" t="s">
        <v>2088</v>
      </c>
      <c r="JH141" t="s">
        <v>1310</v>
      </c>
      <c r="JI141" t="s">
        <v>1309</v>
      </c>
      <c r="JJ141" t="s">
        <v>1309</v>
      </c>
      <c r="JK141" t="s">
        <v>1310</v>
      </c>
      <c r="JL141" t="s">
        <v>1310</v>
      </c>
      <c r="JM141" t="s">
        <v>1309</v>
      </c>
      <c r="JN141" t="s">
        <v>1309</v>
      </c>
      <c r="JO141" t="s">
        <v>1309</v>
      </c>
      <c r="JQ141" s="92" t="s">
        <v>1524</v>
      </c>
      <c r="JR141" s="92" t="s">
        <v>1525</v>
      </c>
      <c r="JS141" s="92">
        <v>41</v>
      </c>
      <c r="JT141" s="92" t="s">
        <v>1319</v>
      </c>
      <c r="JU141" s="92" t="s">
        <v>1335</v>
      </c>
      <c r="JV141" s="92" t="s">
        <v>1526</v>
      </c>
      <c r="JW141" s="92" t="s">
        <v>1296</v>
      </c>
      <c r="JX141" s="92" t="s">
        <v>71</v>
      </c>
      <c r="JY141" s="92" t="s">
        <v>5549</v>
      </c>
      <c r="JZ141" s="92" t="s">
        <v>1337</v>
      </c>
      <c r="KA141" s="92" t="s">
        <v>4846</v>
      </c>
      <c r="KB141" s="92" t="s">
        <v>1415</v>
      </c>
      <c r="KC141" s="92" t="s">
        <v>192</v>
      </c>
      <c r="KD141" s="92" t="s">
        <v>4847</v>
      </c>
      <c r="KE141" s="92" t="s">
        <v>1452</v>
      </c>
      <c r="KF141" s="92">
        <v>4200</v>
      </c>
      <c r="KG141" s="92" t="s">
        <v>4438</v>
      </c>
      <c r="KH141" s="92" t="s">
        <v>192</v>
      </c>
      <c r="KI141" s="92" t="s">
        <v>109</v>
      </c>
      <c r="KJ141" s="92" t="s">
        <v>192</v>
      </c>
      <c r="KK141" s="92" t="s">
        <v>109</v>
      </c>
      <c r="KL141" s="92" t="s">
        <v>1341</v>
      </c>
      <c r="KM141" s="92">
        <v>4800</v>
      </c>
      <c r="KN141" s="92" t="s">
        <v>4438</v>
      </c>
      <c r="KO141" s="92" t="s">
        <v>1341</v>
      </c>
      <c r="KP141" s="92" t="s">
        <v>1460</v>
      </c>
      <c r="KQ141" s="92" t="s">
        <v>192</v>
      </c>
      <c r="KR141" s="92">
        <v>7</v>
      </c>
      <c r="KS141" s="92" t="s">
        <v>1343</v>
      </c>
      <c r="KT141" s="92" t="s">
        <v>1344</v>
      </c>
      <c r="KU141" s="92">
        <v>10</v>
      </c>
      <c r="KV141" s="92" t="s">
        <v>1345</v>
      </c>
      <c r="KW141" s="92" t="s">
        <v>1344</v>
      </c>
      <c r="KX141" s="92" t="s">
        <v>1376</v>
      </c>
      <c r="KY141" s="92" t="s">
        <v>1377</v>
      </c>
      <c r="KZ141" s="92" t="s">
        <v>5795</v>
      </c>
      <c r="LA141" s="92" t="s">
        <v>192</v>
      </c>
      <c r="LB141" s="92" t="s">
        <v>192</v>
      </c>
      <c r="LC141" s="92" t="s">
        <v>4438</v>
      </c>
      <c r="LD141" s="92" t="s">
        <v>4438</v>
      </c>
      <c r="LE141" s="92" t="s">
        <v>192</v>
      </c>
      <c r="LF141" s="92" t="s">
        <v>192</v>
      </c>
    </row>
    <row r="142" spans="1:318" x14ac:dyDescent="0.25">
      <c r="A142" t="s">
        <v>2089</v>
      </c>
      <c r="B142" t="s">
        <v>2090</v>
      </c>
      <c r="C142" t="s">
        <v>1304</v>
      </c>
      <c r="D142" t="s">
        <v>1305</v>
      </c>
      <c r="E142" t="s">
        <v>1381</v>
      </c>
      <c r="G142" t="s">
        <v>1319</v>
      </c>
      <c r="H142">
        <v>3</v>
      </c>
      <c r="I142" t="s">
        <v>1358</v>
      </c>
      <c r="J142" t="s">
        <v>1663</v>
      </c>
      <c r="K142" t="s">
        <v>1309</v>
      </c>
      <c r="L142" t="s">
        <v>1310</v>
      </c>
      <c r="M142" t="s">
        <v>1310</v>
      </c>
      <c r="N142" t="s">
        <v>1309</v>
      </c>
      <c r="O142" t="s">
        <v>1309</v>
      </c>
      <c r="P142" t="s">
        <v>1309</v>
      </c>
      <c r="Q142" t="s">
        <v>1309</v>
      </c>
      <c r="R142" t="s">
        <v>1309</v>
      </c>
      <c r="S142">
        <v>1</v>
      </c>
      <c r="T142">
        <v>1</v>
      </c>
      <c r="U142" t="s">
        <v>1311</v>
      </c>
      <c r="V142" t="s">
        <v>1312</v>
      </c>
      <c r="W142" t="s">
        <v>1312</v>
      </c>
      <c r="X142" t="s">
        <v>1312</v>
      </c>
      <c r="Y142" t="s">
        <v>1312</v>
      </c>
      <c r="Z142" t="s">
        <v>1312</v>
      </c>
      <c r="AC142">
        <v>3</v>
      </c>
      <c r="AD142">
        <v>15000</v>
      </c>
      <c r="AE142">
        <v>9500</v>
      </c>
      <c r="AF142" t="s">
        <v>1313</v>
      </c>
      <c r="AH142" t="s">
        <v>1315</v>
      </c>
      <c r="AJ142" t="s">
        <v>1315</v>
      </c>
      <c r="AL142" t="s">
        <v>1316</v>
      </c>
      <c r="BS142" t="s">
        <v>1307</v>
      </c>
      <c r="CE142" t="s">
        <v>2091</v>
      </c>
      <c r="CF142" t="s">
        <v>1310</v>
      </c>
      <c r="CG142" t="s">
        <v>1309</v>
      </c>
      <c r="CH142" t="s">
        <v>1309</v>
      </c>
      <c r="CI142" t="s">
        <v>1309</v>
      </c>
      <c r="CJ142" t="s">
        <v>1309</v>
      </c>
      <c r="CK142" t="s">
        <v>1309</v>
      </c>
      <c r="CL142" t="s">
        <v>1309</v>
      </c>
      <c r="CM142" t="s">
        <v>1309</v>
      </c>
      <c r="CN142" t="s">
        <v>1310</v>
      </c>
      <c r="CO142" t="s">
        <v>1309</v>
      </c>
      <c r="CP142" t="s">
        <v>1309</v>
      </c>
      <c r="CQ142" t="s">
        <v>1309</v>
      </c>
      <c r="CR142" t="s">
        <v>1309</v>
      </c>
      <c r="CT142" t="s">
        <v>4434</v>
      </c>
      <c r="CV142" t="s">
        <v>1308</v>
      </c>
      <c r="CW142" t="s">
        <v>1310</v>
      </c>
      <c r="CX142" t="s">
        <v>1309</v>
      </c>
      <c r="CY142" t="s">
        <v>1309</v>
      </c>
      <c r="CZ142" t="s">
        <v>1309</v>
      </c>
      <c r="DA142" t="s">
        <v>1309</v>
      </c>
      <c r="DB142" t="s">
        <v>1309</v>
      </c>
      <c r="DC142" t="s">
        <v>1309</v>
      </c>
      <c r="DE142" t="s">
        <v>1358</v>
      </c>
      <c r="DG142">
        <v>2800</v>
      </c>
      <c r="DI142">
        <v>850</v>
      </c>
      <c r="DJ142" t="s">
        <v>1358</v>
      </c>
      <c r="DK142">
        <v>3500</v>
      </c>
      <c r="DM142">
        <v>1200</v>
      </c>
      <c r="DN142" t="s">
        <v>1584</v>
      </c>
      <c r="DO142" t="s">
        <v>1310</v>
      </c>
      <c r="DP142" t="s">
        <v>1309</v>
      </c>
      <c r="DQ142" t="s">
        <v>1309</v>
      </c>
      <c r="DR142" t="s">
        <v>1309</v>
      </c>
      <c r="DS142" t="s">
        <v>1310</v>
      </c>
      <c r="DT142" t="s">
        <v>1310</v>
      </c>
      <c r="DU142" t="s">
        <v>1309</v>
      </c>
      <c r="DV142" t="s">
        <v>1309</v>
      </c>
      <c r="DW142" t="s">
        <v>1309</v>
      </c>
      <c r="DY142" t="s">
        <v>1408</v>
      </c>
      <c r="DZ142">
        <v>800</v>
      </c>
      <c r="EA142" t="s">
        <v>1319</v>
      </c>
      <c r="EC142" t="s">
        <v>1420</v>
      </c>
      <c r="ED142">
        <v>1000</v>
      </c>
      <c r="EE142" t="s">
        <v>1319</v>
      </c>
      <c r="EG142" t="s">
        <v>5357</v>
      </c>
      <c r="ET142" t="s">
        <v>1307</v>
      </c>
      <c r="EV142" t="s">
        <v>1307</v>
      </c>
      <c r="EX142" t="s">
        <v>1319</v>
      </c>
      <c r="EY142" t="s">
        <v>1319</v>
      </c>
      <c r="FA142" t="s">
        <v>1323</v>
      </c>
      <c r="FB142" t="s">
        <v>1310</v>
      </c>
      <c r="FC142" t="s">
        <v>1309</v>
      </c>
      <c r="FD142" t="s">
        <v>1309</v>
      </c>
      <c r="FE142" t="s">
        <v>1309</v>
      </c>
      <c r="FF142" t="s">
        <v>1309</v>
      </c>
      <c r="FG142" t="s">
        <v>1309</v>
      </c>
      <c r="FH142" t="s">
        <v>1309</v>
      </c>
      <c r="FI142" t="s">
        <v>1309</v>
      </c>
      <c r="FJ142" t="s">
        <v>1309</v>
      </c>
      <c r="FK142" t="s">
        <v>1309</v>
      </c>
      <c r="FL142" t="s">
        <v>1309</v>
      </c>
      <c r="FM142" t="s">
        <v>1309</v>
      </c>
      <c r="FN142" t="s">
        <v>1309</v>
      </c>
      <c r="FO142" t="s">
        <v>1309</v>
      </c>
      <c r="FP142" t="s">
        <v>1309</v>
      </c>
      <c r="FQ142" t="s">
        <v>1309</v>
      </c>
      <c r="FR142" t="s">
        <v>1309</v>
      </c>
      <c r="FT142" t="s">
        <v>1319</v>
      </c>
      <c r="FU142" t="s">
        <v>1635</v>
      </c>
      <c r="FV142" t="s">
        <v>1310</v>
      </c>
      <c r="FW142" t="s">
        <v>1309</v>
      </c>
      <c r="FX142" t="s">
        <v>1309</v>
      </c>
      <c r="FY142" t="s">
        <v>1309</v>
      </c>
      <c r="FZ142" t="s">
        <v>1309</v>
      </c>
      <c r="GA142" t="s">
        <v>1310</v>
      </c>
      <c r="GB142" t="s">
        <v>1309</v>
      </c>
      <c r="GC142" t="s">
        <v>1309</v>
      </c>
      <c r="GD142" t="s">
        <v>1309</v>
      </c>
      <c r="GE142" t="s">
        <v>1309</v>
      </c>
      <c r="GF142" t="s">
        <v>1309</v>
      </c>
      <c r="GG142" t="s">
        <v>1309</v>
      </c>
      <c r="GI142" t="s">
        <v>1324</v>
      </c>
      <c r="GJ142" t="s">
        <v>1324</v>
      </c>
      <c r="GT142" t="s">
        <v>1325</v>
      </c>
      <c r="GU142" t="s">
        <v>1310</v>
      </c>
      <c r="GV142" t="s">
        <v>1309</v>
      </c>
      <c r="GW142" t="s">
        <v>1309</v>
      </c>
      <c r="GX142" t="s">
        <v>1309</v>
      </c>
      <c r="GY142" t="s">
        <v>1309</v>
      </c>
      <c r="GZ142" t="s">
        <v>1309</v>
      </c>
      <c r="HA142" t="s">
        <v>1309</v>
      </c>
      <c r="HB142" t="s">
        <v>1309</v>
      </c>
      <c r="HC142" t="s">
        <v>1309</v>
      </c>
      <c r="HD142" t="s">
        <v>1309</v>
      </c>
      <c r="HE142" t="s">
        <v>1309</v>
      </c>
      <c r="HF142" t="s">
        <v>1309</v>
      </c>
      <c r="HH142" t="s">
        <v>1390</v>
      </c>
      <c r="HI142" t="s">
        <v>1326</v>
      </c>
      <c r="HJ142" t="s">
        <v>1326</v>
      </c>
      <c r="HK142" t="s">
        <v>1327</v>
      </c>
      <c r="HL142" t="s">
        <v>1328</v>
      </c>
      <c r="HM142" t="s">
        <v>1390</v>
      </c>
      <c r="HN142" t="s">
        <v>1687</v>
      </c>
      <c r="HO142" t="s">
        <v>1309</v>
      </c>
      <c r="HP142" t="s">
        <v>1310</v>
      </c>
      <c r="HQ142" t="s">
        <v>1309</v>
      </c>
      <c r="HR142" t="s">
        <v>1310</v>
      </c>
      <c r="HS142" t="s">
        <v>1309</v>
      </c>
      <c r="HT142" t="s">
        <v>1309</v>
      </c>
      <c r="HU142" t="s">
        <v>1309</v>
      </c>
      <c r="HV142" t="s">
        <v>1309</v>
      </c>
      <c r="HW142" t="s">
        <v>1309</v>
      </c>
      <c r="HX142" t="s">
        <v>1309</v>
      </c>
      <c r="HY142" t="s">
        <v>1309</v>
      </c>
      <c r="IA142" t="s">
        <v>1307</v>
      </c>
      <c r="IQ142" t="s">
        <v>1330</v>
      </c>
      <c r="IS142" t="s">
        <v>1316</v>
      </c>
      <c r="JF142" t="s">
        <v>1331</v>
      </c>
      <c r="JG142" t="s">
        <v>1414</v>
      </c>
      <c r="JH142" t="s">
        <v>1309</v>
      </c>
      <c r="JI142" t="s">
        <v>1309</v>
      </c>
      <c r="JJ142" t="s">
        <v>1309</v>
      </c>
      <c r="JK142" t="s">
        <v>1309</v>
      </c>
      <c r="JL142" t="s">
        <v>1309</v>
      </c>
      <c r="JM142" t="s">
        <v>1309</v>
      </c>
      <c r="JN142" t="s">
        <v>1310</v>
      </c>
      <c r="JO142" t="s">
        <v>1309</v>
      </c>
      <c r="JQ142" s="92" t="s">
        <v>2092</v>
      </c>
      <c r="JR142" s="92" t="s">
        <v>2093</v>
      </c>
      <c r="JS142" s="92">
        <v>38</v>
      </c>
      <c r="JT142" s="92" t="s">
        <v>1319</v>
      </c>
      <c r="JU142" s="92" t="s">
        <v>1396</v>
      </c>
      <c r="JV142" s="92" t="s">
        <v>1368</v>
      </c>
      <c r="JW142" s="92" t="s">
        <v>1296</v>
      </c>
      <c r="JX142" s="92" t="s">
        <v>71</v>
      </c>
      <c r="JY142" s="92" t="s">
        <v>1397</v>
      </c>
      <c r="JZ142" s="92" t="s">
        <v>1337</v>
      </c>
      <c r="KA142" s="92" t="s">
        <v>4845</v>
      </c>
      <c r="KB142" s="92" t="s">
        <v>1370</v>
      </c>
      <c r="KC142" s="92" t="s">
        <v>109</v>
      </c>
      <c r="KD142" s="92" t="s">
        <v>4848</v>
      </c>
      <c r="KE142" s="92" t="s">
        <v>1371</v>
      </c>
      <c r="KF142" s="92">
        <v>3650</v>
      </c>
      <c r="KG142" s="92" t="s">
        <v>4438</v>
      </c>
      <c r="KH142" s="92" t="s">
        <v>192</v>
      </c>
      <c r="KI142" s="92" t="s">
        <v>109</v>
      </c>
      <c r="KJ142" s="92" t="s">
        <v>192</v>
      </c>
      <c r="KK142" s="92" t="s">
        <v>109</v>
      </c>
      <c r="KL142" s="92" t="s">
        <v>1341</v>
      </c>
      <c r="KM142" s="92">
        <v>4700</v>
      </c>
      <c r="KN142" s="92" t="s">
        <v>4439</v>
      </c>
      <c r="KO142" s="92" t="s">
        <v>1341</v>
      </c>
      <c r="KP142" s="92" t="s">
        <v>1460</v>
      </c>
      <c r="KQ142" s="92" t="s">
        <v>192</v>
      </c>
      <c r="KR142" s="92">
        <v>22</v>
      </c>
      <c r="KS142" s="92" t="s">
        <v>1466</v>
      </c>
      <c r="KT142" s="92" t="s">
        <v>1344</v>
      </c>
      <c r="KU142" s="92">
        <v>21</v>
      </c>
      <c r="KV142" s="92" t="s">
        <v>1461</v>
      </c>
      <c r="KW142" s="92" t="s">
        <v>1344</v>
      </c>
      <c r="KX142" s="92" t="s">
        <v>1346</v>
      </c>
      <c r="KY142" s="92" t="s">
        <v>1377</v>
      </c>
      <c r="KZ142" s="92" t="s">
        <v>1403</v>
      </c>
      <c r="LA142" s="92" t="s">
        <v>109</v>
      </c>
      <c r="LB142" s="92" t="s">
        <v>109</v>
      </c>
      <c r="LC142" s="92" t="s">
        <v>4439</v>
      </c>
      <c r="LD142" s="92" t="s">
        <v>4439</v>
      </c>
      <c r="LE142" s="92" t="s">
        <v>109</v>
      </c>
      <c r="LF142" s="92" t="s">
        <v>109</v>
      </c>
    </row>
    <row r="143" spans="1:318" x14ac:dyDescent="0.25">
      <c r="A143" t="s">
        <v>2094</v>
      </c>
      <c r="B143" t="s">
        <v>2095</v>
      </c>
      <c r="C143" t="s">
        <v>1304</v>
      </c>
      <c r="D143" t="s">
        <v>1305</v>
      </c>
      <c r="E143" t="s">
        <v>1381</v>
      </c>
      <c r="G143" t="s">
        <v>1319</v>
      </c>
      <c r="H143">
        <v>2</v>
      </c>
      <c r="I143" t="s">
        <v>2096</v>
      </c>
      <c r="J143" t="s">
        <v>1382</v>
      </c>
      <c r="K143" t="s">
        <v>1309</v>
      </c>
      <c r="L143" t="s">
        <v>1310</v>
      </c>
      <c r="M143" t="s">
        <v>1309</v>
      </c>
      <c r="N143" t="s">
        <v>1309</v>
      </c>
      <c r="O143" t="s">
        <v>1309</v>
      </c>
      <c r="P143" t="s">
        <v>1310</v>
      </c>
      <c r="Q143" t="s">
        <v>1309</v>
      </c>
      <c r="R143" t="s">
        <v>1309</v>
      </c>
      <c r="S143">
        <v>1</v>
      </c>
      <c r="U143" t="s">
        <v>1311</v>
      </c>
      <c r="V143" t="s">
        <v>1312</v>
      </c>
      <c r="W143" t="s">
        <v>1312</v>
      </c>
      <c r="X143" t="s">
        <v>1312</v>
      </c>
      <c r="Y143" t="s">
        <v>1312</v>
      </c>
      <c r="Z143" t="s">
        <v>1312</v>
      </c>
      <c r="AC143">
        <v>1</v>
      </c>
      <c r="AD143">
        <v>20000</v>
      </c>
      <c r="AE143">
        <v>6000</v>
      </c>
      <c r="AF143" t="s">
        <v>1313</v>
      </c>
      <c r="AH143" t="s">
        <v>1314</v>
      </c>
      <c r="AJ143" t="s">
        <v>1315</v>
      </c>
      <c r="AL143" t="s">
        <v>1354</v>
      </c>
      <c r="BS143" t="s">
        <v>1307</v>
      </c>
      <c r="CE143" t="s">
        <v>1414</v>
      </c>
      <c r="CF143" t="s">
        <v>1309</v>
      </c>
      <c r="CG143" t="s">
        <v>1309</v>
      </c>
      <c r="CH143" t="s">
        <v>1309</v>
      </c>
      <c r="CI143" t="s">
        <v>1309</v>
      </c>
      <c r="CJ143" t="s">
        <v>1309</v>
      </c>
      <c r="CK143" t="s">
        <v>1309</v>
      </c>
      <c r="CL143" t="s">
        <v>1309</v>
      </c>
      <c r="CM143" t="s">
        <v>1309</v>
      </c>
      <c r="CN143" t="s">
        <v>1309</v>
      </c>
      <c r="CO143" t="s">
        <v>1309</v>
      </c>
      <c r="CP143" t="s">
        <v>1309</v>
      </c>
      <c r="CQ143" t="s">
        <v>1310</v>
      </c>
      <c r="CR143" t="s">
        <v>1309</v>
      </c>
      <c r="CT143" t="s">
        <v>4434</v>
      </c>
      <c r="CV143" t="s">
        <v>1308</v>
      </c>
      <c r="CW143" t="s">
        <v>1310</v>
      </c>
      <c r="CX143" t="s">
        <v>1309</v>
      </c>
      <c r="CY143" t="s">
        <v>1309</v>
      </c>
      <c r="CZ143" t="s">
        <v>1309</v>
      </c>
      <c r="DA143" t="s">
        <v>1309</v>
      </c>
      <c r="DB143" t="s">
        <v>1309</v>
      </c>
      <c r="DC143" t="s">
        <v>1309</v>
      </c>
      <c r="DE143" t="s">
        <v>1358</v>
      </c>
      <c r="DG143">
        <v>3900</v>
      </c>
      <c r="DI143">
        <v>1000</v>
      </c>
      <c r="DJ143" t="s">
        <v>1358</v>
      </c>
      <c r="DK143">
        <v>4300</v>
      </c>
      <c r="DM143">
        <v>1000</v>
      </c>
      <c r="DN143" t="s">
        <v>1320</v>
      </c>
      <c r="DO143" t="s">
        <v>1310</v>
      </c>
      <c r="DP143" t="s">
        <v>1309</v>
      </c>
      <c r="DQ143" t="s">
        <v>1309</v>
      </c>
      <c r="DR143" t="s">
        <v>1309</v>
      </c>
      <c r="DS143" t="s">
        <v>1309</v>
      </c>
      <c r="DT143" t="s">
        <v>1310</v>
      </c>
      <c r="DU143" t="s">
        <v>1309</v>
      </c>
      <c r="DV143" t="s">
        <v>1309</v>
      </c>
      <c r="DW143" t="s">
        <v>1309</v>
      </c>
      <c r="DY143" t="s">
        <v>1456</v>
      </c>
      <c r="DZ143">
        <v>300</v>
      </c>
      <c r="EA143" t="s">
        <v>1319</v>
      </c>
      <c r="EC143" t="s">
        <v>1457</v>
      </c>
      <c r="ED143">
        <v>500</v>
      </c>
      <c r="EE143" t="s">
        <v>1319</v>
      </c>
      <c r="EG143" t="s">
        <v>5356</v>
      </c>
      <c r="EI143" t="s">
        <v>1307</v>
      </c>
      <c r="ET143" t="s">
        <v>1307</v>
      </c>
      <c r="EV143" t="s">
        <v>1319</v>
      </c>
      <c r="EW143" t="s">
        <v>1409</v>
      </c>
      <c r="EX143" t="s">
        <v>1307</v>
      </c>
      <c r="EY143" t="s">
        <v>1307</v>
      </c>
      <c r="FT143" t="s">
        <v>1307</v>
      </c>
      <c r="GI143" t="s">
        <v>1324</v>
      </c>
      <c r="GJ143" t="s">
        <v>1324</v>
      </c>
      <c r="GT143" t="s">
        <v>1325</v>
      </c>
      <c r="GU143" t="s">
        <v>1310</v>
      </c>
      <c r="GV143" t="s">
        <v>1309</v>
      </c>
      <c r="GW143" t="s">
        <v>1309</v>
      </c>
      <c r="GX143" t="s">
        <v>1309</v>
      </c>
      <c r="GY143" t="s">
        <v>1309</v>
      </c>
      <c r="GZ143" t="s">
        <v>1309</v>
      </c>
      <c r="HA143" t="s">
        <v>1309</v>
      </c>
      <c r="HB143" t="s">
        <v>1309</v>
      </c>
      <c r="HC143" t="s">
        <v>1309</v>
      </c>
      <c r="HD143" t="s">
        <v>1309</v>
      </c>
      <c r="HE143" t="s">
        <v>1309</v>
      </c>
      <c r="HF143" t="s">
        <v>1309</v>
      </c>
      <c r="HH143" t="s">
        <v>1308</v>
      </c>
      <c r="HI143" t="s">
        <v>1308</v>
      </c>
      <c r="HJ143" t="s">
        <v>1308</v>
      </c>
      <c r="HK143" t="s">
        <v>1327</v>
      </c>
      <c r="HL143" t="s">
        <v>1328</v>
      </c>
      <c r="HM143" t="s">
        <v>1326</v>
      </c>
      <c r="HN143" t="s">
        <v>1329</v>
      </c>
      <c r="HO143" t="s">
        <v>1309</v>
      </c>
      <c r="HP143" t="s">
        <v>1309</v>
      </c>
      <c r="HQ143" t="s">
        <v>1309</v>
      </c>
      <c r="HR143" t="s">
        <v>1310</v>
      </c>
      <c r="HS143" t="s">
        <v>1309</v>
      </c>
      <c r="HT143" t="s">
        <v>1309</v>
      </c>
      <c r="HU143" t="s">
        <v>1309</v>
      </c>
      <c r="HV143" t="s">
        <v>1309</v>
      </c>
      <c r="HW143" t="s">
        <v>1309</v>
      </c>
      <c r="HX143" t="s">
        <v>1309</v>
      </c>
      <c r="HY143" t="s">
        <v>1309</v>
      </c>
      <c r="IA143" t="s">
        <v>1319</v>
      </c>
      <c r="IB143" t="s">
        <v>1414</v>
      </c>
      <c r="IC143" t="s">
        <v>1309</v>
      </c>
      <c r="ID143" t="s">
        <v>1309</v>
      </c>
      <c r="IE143" t="s">
        <v>1309</v>
      </c>
      <c r="IF143" t="s">
        <v>1309</v>
      </c>
      <c r="IG143" t="s">
        <v>1309</v>
      </c>
      <c r="IH143" t="s">
        <v>1309</v>
      </c>
      <c r="II143" t="s">
        <v>1309</v>
      </c>
      <c r="IJ143" t="s">
        <v>1309</v>
      </c>
      <c r="IK143" t="s">
        <v>1309</v>
      </c>
      <c r="IL143" t="s">
        <v>1309</v>
      </c>
      <c r="IM143" t="s">
        <v>1309</v>
      </c>
      <c r="IN143" t="s">
        <v>1310</v>
      </c>
      <c r="IO143" t="s">
        <v>1309</v>
      </c>
      <c r="IQ143" t="s">
        <v>1308</v>
      </c>
      <c r="IS143" t="s">
        <v>1331</v>
      </c>
      <c r="JF143" t="s">
        <v>1450</v>
      </c>
      <c r="JG143" t="s">
        <v>1523</v>
      </c>
      <c r="JH143" t="s">
        <v>1309</v>
      </c>
      <c r="JI143" t="s">
        <v>1309</v>
      </c>
      <c r="JJ143" t="s">
        <v>1309</v>
      </c>
      <c r="JK143" t="s">
        <v>1310</v>
      </c>
      <c r="JL143" t="s">
        <v>1309</v>
      </c>
      <c r="JM143" t="s">
        <v>1309</v>
      </c>
      <c r="JN143" t="s">
        <v>1309</v>
      </c>
      <c r="JO143" t="s">
        <v>1309</v>
      </c>
      <c r="JQ143" s="92" t="s">
        <v>1333</v>
      </c>
      <c r="JR143" s="92" t="s">
        <v>1334</v>
      </c>
      <c r="JS143" s="92">
        <v>29</v>
      </c>
      <c r="JT143" s="92" t="s">
        <v>1319</v>
      </c>
      <c r="JU143" s="92" t="s">
        <v>1396</v>
      </c>
      <c r="JV143" s="92" t="s">
        <v>1336</v>
      </c>
      <c r="JW143" s="92" t="s">
        <v>1296</v>
      </c>
      <c r="JX143" s="92" t="s">
        <v>71</v>
      </c>
      <c r="JY143" s="92" t="s">
        <v>5549</v>
      </c>
      <c r="JZ143" s="92" t="s">
        <v>1398</v>
      </c>
      <c r="KA143" s="92" t="s">
        <v>4845</v>
      </c>
      <c r="KB143" s="92" t="s">
        <v>1399</v>
      </c>
      <c r="KC143" s="92" t="s">
        <v>109</v>
      </c>
      <c r="KD143" s="92" t="s">
        <v>4844</v>
      </c>
      <c r="KE143" s="92" t="s">
        <v>1452</v>
      </c>
      <c r="KF143" s="92">
        <v>4900</v>
      </c>
      <c r="KG143" s="92" t="s">
        <v>4438</v>
      </c>
      <c r="KH143" s="92" t="s">
        <v>192</v>
      </c>
      <c r="KI143" s="92" t="s">
        <v>109</v>
      </c>
      <c r="KJ143" s="92" t="s">
        <v>192</v>
      </c>
      <c r="KK143" s="92" t="s">
        <v>109</v>
      </c>
      <c r="KL143" s="92" t="s">
        <v>1341</v>
      </c>
      <c r="KM143" s="92">
        <v>5300</v>
      </c>
      <c r="KN143" s="92" t="s">
        <v>4439</v>
      </c>
      <c r="KO143" s="92" t="s">
        <v>1341</v>
      </c>
      <c r="KP143" s="92" t="s">
        <v>1460</v>
      </c>
      <c r="KQ143" s="92" t="s">
        <v>192</v>
      </c>
      <c r="KR143" s="92">
        <v>6</v>
      </c>
      <c r="KS143" s="92" t="s">
        <v>1343</v>
      </c>
      <c r="KT143" s="92" t="s">
        <v>1344</v>
      </c>
      <c r="KU143" s="92">
        <v>9</v>
      </c>
      <c r="KV143" s="92" t="s">
        <v>1345</v>
      </c>
      <c r="KW143" s="92" t="s">
        <v>1344</v>
      </c>
      <c r="KX143" s="92" t="s">
        <v>1376</v>
      </c>
      <c r="KY143" s="92" t="s">
        <v>1377</v>
      </c>
      <c r="KZ143" s="92" t="s">
        <v>1403</v>
      </c>
      <c r="LA143" s="92" t="s">
        <v>109</v>
      </c>
      <c r="LB143" s="92" t="s">
        <v>109</v>
      </c>
      <c r="LC143" s="92" t="s">
        <v>4439</v>
      </c>
      <c r="LD143" s="92" t="s">
        <v>4439</v>
      </c>
      <c r="LE143" s="92" t="s">
        <v>109</v>
      </c>
      <c r="LF143" s="92" t="s">
        <v>109</v>
      </c>
    </row>
    <row r="144" spans="1:318" x14ac:dyDescent="0.25">
      <c r="A144" t="s">
        <v>2097</v>
      </c>
      <c r="B144" t="s">
        <v>2098</v>
      </c>
      <c r="C144" t="s">
        <v>1304</v>
      </c>
      <c r="D144" t="s">
        <v>1429</v>
      </c>
      <c r="E144" t="s">
        <v>1306</v>
      </c>
      <c r="G144" t="s">
        <v>1307</v>
      </c>
      <c r="H144">
        <v>2</v>
      </c>
      <c r="I144" t="s">
        <v>1307</v>
      </c>
      <c r="J144" t="s">
        <v>1430</v>
      </c>
      <c r="K144" t="s">
        <v>1309</v>
      </c>
      <c r="L144" t="s">
        <v>1309</v>
      </c>
      <c r="M144" t="s">
        <v>1310</v>
      </c>
      <c r="N144" t="s">
        <v>1309</v>
      </c>
      <c r="O144" t="s">
        <v>1309</v>
      </c>
      <c r="P144" t="s">
        <v>1309</v>
      </c>
      <c r="Q144" t="s">
        <v>1309</v>
      </c>
      <c r="R144" t="s">
        <v>1309</v>
      </c>
      <c r="T144">
        <v>2</v>
      </c>
      <c r="U144" t="s">
        <v>1311</v>
      </c>
      <c r="V144" t="s">
        <v>1311</v>
      </c>
      <c r="W144" t="s">
        <v>1311</v>
      </c>
      <c r="X144" t="s">
        <v>1311</v>
      </c>
      <c r="Y144" t="s">
        <v>1311</v>
      </c>
      <c r="Z144" t="s">
        <v>1312</v>
      </c>
      <c r="AC144">
        <v>2</v>
      </c>
      <c r="AD144">
        <v>5000</v>
      </c>
      <c r="AE144">
        <v>6000</v>
      </c>
      <c r="AF144" t="s">
        <v>1351</v>
      </c>
      <c r="AH144" t="s">
        <v>1352</v>
      </c>
      <c r="AJ144" t="s">
        <v>1353</v>
      </c>
      <c r="AL144" t="s">
        <v>1316</v>
      </c>
      <c r="BA144" t="s">
        <v>1316</v>
      </c>
      <c r="BS144" t="s">
        <v>1307</v>
      </c>
      <c r="CE144" t="s">
        <v>2099</v>
      </c>
      <c r="CF144" t="s">
        <v>1310</v>
      </c>
      <c r="CG144" t="s">
        <v>1309</v>
      </c>
      <c r="CH144" t="s">
        <v>1309</v>
      </c>
      <c r="CI144" t="s">
        <v>1310</v>
      </c>
      <c r="CJ144" t="s">
        <v>1309</v>
      </c>
      <c r="CK144" t="s">
        <v>1309</v>
      </c>
      <c r="CL144" t="s">
        <v>1309</v>
      </c>
      <c r="CM144" t="s">
        <v>1309</v>
      </c>
      <c r="CN144" t="s">
        <v>1310</v>
      </c>
      <c r="CO144" t="s">
        <v>1309</v>
      </c>
      <c r="CP144" t="s">
        <v>1309</v>
      </c>
      <c r="CQ144" t="s">
        <v>1309</v>
      </c>
      <c r="CR144" t="s">
        <v>1309</v>
      </c>
      <c r="CT144" t="s">
        <v>4436</v>
      </c>
      <c r="CV144" t="s">
        <v>1308</v>
      </c>
      <c r="CW144" t="s">
        <v>1310</v>
      </c>
      <c r="CX144" t="s">
        <v>1309</v>
      </c>
      <c r="CY144" t="s">
        <v>1309</v>
      </c>
      <c r="CZ144" t="s">
        <v>1309</v>
      </c>
      <c r="DA144" t="s">
        <v>1309</v>
      </c>
      <c r="DB144" t="s">
        <v>1309</v>
      </c>
      <c r="DC144" t="s">
        <v>1309</v>
      </c>
      <c r="DE144" t="s">
        <v>1318</v>
      </c>
      <c r="DF144" t="s">
        <v>1319</v>
      </c>
      <c r="DG144">
        <v>300</v>
      </c>
      <c r="DI144">
        <v>500</v>
      </c>
      <c r="DJ144" t="s">
        <v>1318</v>
      </c>
      <c r="DK144">
        <v>800</v>
      </c>
      <c r="DM144">
        <v>900</v>
      </c>
      <c r="DN144" t="s">
        <v>1647</v>
      </c>
      <c r="DO144" t="s">
        <v>1310</v>
      </c>
      <c r="DP144" t="s">
        <v>1309</v>
      </c>
      <c r="DQ144" t="s">
        <v>1309</v>
      </c>
      <c r="DR144" t="s">
        <v>1310</v>
      </c>
      <c r="DS144" t="s">
        <v>1309</v>
      </c>
      <c r="DT144" t="s">
        <v>1310</v>
      </c>
      <c r="DU144" t="s">
        <v>1309</v>
      </c>
      <c r="DV144" t="s">
        <v>1309</v>
      </c>
      <c r="DW144" t="s">
        <v>1309</v>
      </c>
      <c r="DY144" t="s">
        <v>1481</v>
      </c>
      <c r="DZ144">
        <v>800</v>
      </c>
      <c r="EA144" t="s">
        <v>1386</v>
      </c>
      <c r="EC144" t="s">
        <v>1420</v>
      </c>
      <c r="ED144">
        <v>1000</v>
      </c>
      <c r="EE144" t="s">
        <v>1319</v>
      </c>
      <c r="EG144" t="s">
        <v>5356</v>
      </c>
      <c r="EI144" t="s">
        <v>1307</v>
      </c>
      <c r="ET144" t="s">
        <v>1307</v>
      </c>
      <c r="EV144" t="s">
        <v>1319</v>
      </c>
      <c r="EW144" t="s">
        <v>1409</v>
      </c>
      <c r="EX144" t="s">
        <v>1319</v>
      </c>
      <c r="EY144" t="s">
        <v>1319</v>
      </c>
      <c r="EZ144" t="s">
        <v>1319</v>
      </c>
      <c r="FA144" t="s">
        <v>2100</v>
      </c>
      <c r="FB144" t="s">
        <v>1310</v>
      </c>
      <c r="FC144" t="s">
        <v>1309</v>
      </c>
      <c r="FD144" t="s">
        <v>1309</v>
      </c>
      <c r="FE144" t="s">
        <v>1309</v>
      </c>
      <c r="FF144" t="s">
        <v>1309</v>
      </c>
      <c r="FG144" t="s">
        <v>1309</v>
      </c>
      <c r="FH144" t="s">
        <v>1309</v>
      </c>
      <c r="FI144" t="s">
        <v>1310</v>
      </c>
      <c r="FJ144" t="s">
        <v>1309</v>
      </c>
      <c r="FK144" t="s">
        <v>1309</v>
      </c>
      <c r="FL144" t="s">
        <v>1309</v>
      </c>
      <c r="FM144" t="s">
        <v>1309</v>
      </c>
      <c r="FN144" t="s">
        <v>1309</v>
      </c>
      <c r="FO144" t="s">
        <v>1309</v>
      </c>
      <c r="FP144" t="s">
        <v>1309</v>
      </c>
      <c r="FQ144" t="s">
        <v>1309</v>
      </c>
      <c r="FR144" t="s">
        <v>1309</v>
      </c>
      <c r="FT144" t="s">
        <v>1319</v>
      </c>
      <c r="FU144" t="s">
        <v>1626</v>
      </c>
      <c r="FV144" t="s">
        <v>1309</v>
      </c>
      <c r="FW144" t="s">
        <v>1310</v>
      </c>
      <c r="FX144" t="s">
        <v>1309</v>
      </c>
      <c r="FY144" t="s">
        <v>1309</v>
      </c>
      <c r="FZ144" t="s">
        <v>1309</v>
      </c>
      <c r="GA144" t="s">
        <v>1309</v>
      </c>
      <c r="GB144" t="s">
        <v>1309</v>
      </c>
      <c r="GC144" t="s">
        <v>1309</v>
      </c>
      <c r="GD144" t="s">
        <v>1309</v>
      </c>
      <c r="GE144" t="s">
        <v>1309</v>
      </c>
      <c r="GF144" t="s">
        <v>1309</v>
      </c>
      <c r="GG144" t="s">
        <v>1309</v>
      </c>
      <c r="GI144" t="s">
        <v>1324</v>
      </c>
      <c r="GJ144" t="s">
        <v>1324</v>
      </c>
      <c r="GT144" t="s">
        <v>1325</v>
      </c>
      <c r="GU144" t="s">
        <v>1310</v>
      </c>
      <c r="GV144" t="s">
        <v>1309</v>
      </c>
      <c r="GW144" t="s">
        <v>1309</v>
      </c>
      <c r="GX144" t="s">
        <v>1309</v>
      </c>
      <c r="GY144" t="s">
        <v>1309</v>
      </c>
      <c r="GZ144" t="s">
        <v>1309</v>
      </c>
      <c r="HA144" t="s">
        <v>1309</v>
      </c>
      <c r="HB144" t="s">
        <v>1309</v>
      </c>
      <c r="HC144" t="s">
        <v>1309</v>
      </c>
      <c r="HD144" t="s">
        <v>1309</v>
      </c>
      <c r="HE144" t="s">
        <v>1309</v>
      </c>
      <c r="HF144" t="s">
        <v>1309</v>
      </c>
      <c r="HH144" t="s">
        <v>1390</v>
      </c>
      <c r="HI144" t="s">
        <v>1326</v>
      </c>
      <c r="HJ144" t="s">
        <v>1390</v>
      </c>
      <c r="HK144" t="s">
        <v>1327</v>
      </c>
      <c r="HL144" t="s">
        <v>1328</v>
      </c>
      <c r="HM144" t="s">
        <v>1390</v>
      </c>
      <c r="HN144" t="s">
        <v>1550</v>
      </c>
      <c r="HO144" t="s">
        <v>1310</v>
      </c>
      <c r="HP144" t="s">
        <v>1309</v>
      </c>
      <c r="HQ144" t="s">
        <v>1309</v>
      </c>
      <c r="HR144" t="s">
        <v>1310</v>
      </c>
      <c r="HS144" t="s">
        <v>1309</v>
      </c>
      <c r="HT144" t="s">
        <v>1309</v>
      </c>
      <c r="HU144" t="s">
        <v>1309</v>
      </c>
      <c r="HV144" t="s">
        <v>1309</v>
      </c>
      <c r="HW144" t="s">
        <v>1309</v>
      </c>
      <c r="HX144" t="s">
        <v>1309</v>
      </c>
      <c r="HY144" t="s">
        <v>1309</v>
      </c>
      <c r="IA144" t="s">
        <v>1414</v>
      </c>
      <c r="IQ144" t="s">
        <v>1330</v>
      </c>
      <c r="IS144" t="s">
        <v>1316</v>
      </c>
      <c r="JF144" t="s">
        <v>1316</v>
      </c>
      <c r="JG144" t="s">
        <v>1414</v>
      </c>
      <c r="JH144" t="s">
        <v>1309</v>
      </c>
      <c r="JI144" t="s">
        <v>1309</v>
      </c>
      <c r="JJ144" t="s">
        <v>1309</v>
      </c>
      <c r="JK144" t="s">
        <v>1309</v>
      </c>
      <c r="JL144" t="s">
        <v>1309</v>
      </c>
      <c r="JM144" t="s">
        <v>1309</v>
      </c>
      <c r="JN144" t="s">
        <v>1310</v>
      </c>
      <c r="JO144" t="s">
        <v>1309</v>
      </c>
      <c r="JQ144" s="92" t="s">
        <v>2092</v>
      </c>
      <c r="JR144" s="92" t="s">
        <v>2093</v>
      </c>
      <c r="JS144" s="92">
        <v>68</v>
      </c>
      <c r="JT144" s="92" t="s">
        <v>1319</v>
      </c>
      <c r="JU144" s="92" t="s">
        <v>1335</v>
      </c>
      <c r="JV144" s="92" t="s">
        <v>1368</v>
      </c>
      <c r="JW144" s="92" t="s">
        <v>1296</v>
      </c>
      <c r="JX144" s="92" t="s">
        <v>71</v>
      </c>
      <c r="JY144" s="92" t="s">
        <v>5549</v>
      </c>
      <c r="JZ144" s="92" t="s">
        <v>1369</v>
      </c>
      <c r="KA144" s="92" t="s">
        <v>4845</v>
      </c>
      <c r="KB144" s="92" t="s">
        <v>1476</v>
      </c>
      <c r="KC144" s="92" t="s">
        <v>109</v>
      </c>
      <c r="KD144" s="92" t="s">
        <v>4847</v>
      </c>
      <c r="KE144" s="92" t="s">
        <v>5560</v>
      </c>
      <c r="KF144" s="92">
        <v>800</v>
      </c>
      <c r="KG144" s="92" t="s">
        <v>4438</v>
      </c>
      <c r="KH144" s="92" t="s">
        <v>192</v>
      </c>
      <c r="KI144" s="92" t="s">
        <v>109</v>
      </c>
      <c r="KJ144" s="92" t="s">
        <v>192</v>
      </c>
      <c r="KK144" s="92" t="s">
        <v>109</v>
      </c>
      <c r="KL144" s="92" t="s">
        <v>1374</v>
      </c>
      <c r="KM144" s="92">
        <v>1700</v>
      </c>
      <c r="KN144" s="92" t="s">
        <v>4439</v>
      </c>
      <c r="KO144" s="92" t="s">
        <v>1440</v>
      </c>
      <c r="KP144" s="92" t="s">
        <v>1401</v>
      </c>
      <c r="KQ144" s="92" t="s">
        <v>192</v>
      </c>
      <c r="KR144" s="92"/>
      <c r="KS144" s="92" t="s">
        <v>1466</v>
      </c>
      <c r="KT144" s="92" t="s">
        <v>1402</v>
      </c>
      <c r="KU144" s="92"/>
      <c r="KV144" s="92" t="s">
        <v>1461</v>
      </c>
      <c r="KW144" s="92" t="s">
        <v>1344</v>
      </c>
      <c r="KX144" s="92" t="s">
        <v>1376</v>
      </c>
      <c r="KY144" s="92" t="s">
        <v>1377</v>
      </c>
      <c r="KZ144" s="92" t="s">
        <v>5795</v>
      </c>
      <c r="LA144" s="92" t="s">
        <v>109</v>
      </c>
      <c r="LB144" s="92" t="s">
        <v>109</v>
      </c>
      <c r="LC144" s="92" t="s">
        <v>4438</v>
      </c>
      <c r="LD144" s="92" t="s">
        <v>4438</v>
      </c>
      <c r="LE144" s="92" t="s">
        <v>192</v>
      </c>
      <c r="LF144" s="92" t="s">
        <v>192</v>
      </c>
    </row>
    <row r="145" spans="1:318" x14ac:dyDescent="0.25">
      <c r="A145" t="s">
        <v>2101</v>
      </c>
      <c r="B145" t="s">
        <v>2102</v>
      </c>
      <c r="C145" t="s">
        <v>1304</v>
      </c>
      <c r="D145" t="s">
        <v>1305</v>
      </c>
      <c r="E145" t="s">
        <v>1381</v>
      </c>
      <c r="G145" t="s">
        <v>1319</v>
      </c>
      <c r="H145">
        <v>4</v>
      </c>
      <c r="I145" t="s">
        <v>1318</v>
      </c>
      <c r="J145" t="s">
        <v>1663</v>
      </c>
      <c r="K145" t="s">
        <v>1309</v>
      </c>
      <c r="L145" t="s">
        <v>1310</v>
      </c>
      <c r="M145" t="s">
        <v>1310</v>
      </c>
      <c r="N145" t="s">
        <v>1309</v>
      </c>
      <c r="O145" t="s">
        <v>1309</v>
      </c>
      <c r="P145" t="s">
        <v>1309</v>
      </c>
      <c r="Q145" t="s">
        <v>1309</v>
      </c>
      <c r="R145" t="s">
        <v>1309</v>
      </c>
      <c r="S145">
        <v>1</v>
      </c>
      <c r="T145">
        <v>1</v>
      </c>
      <c r="U145" t="s">
        <v>1311</v>
      </c>
      <c r="V145" t="s">
        <v>1311</v>
      </c>
      <c r="W145" t="s">
        <v>1486</v>
      </c>
      <c r="X145" t="s">
        <v>1312</v>
      </c>
      <c r="Y145" t="s">
        <v>1312</v>
      </c>
      <c r="Z145" t="s">
        <v>1312</v>
      </c>
      <c r="AC145">
        <v>3</v>
      </c>
      <c r="AD145">
        <v>6000</v>
      </c>
      <c r="AE145">
        <v>5000</v>
      </c>
      <c r="AF145" t="s">
        <v>1351</v>
      </c>
      <c r="AH145" t="s">
        <v>1314</v>
      </c>
      <c r="AJ145" t="s">
        <v>1315</v>
      </c>
      <c r="AL145" t="s">
        <v>1354</v>
      </c>
      <c r="BS145" t="s">
        <v>1319</v>
      </c>
      <c r="BT145" t="s">
        <v>1604</v>
      </c>
      <c r="BU145" t="s">
        <v>1309</v>
      </c>
      <c r="BV145" t="s">
        <v>1309</v>
      </c>
      <c r="BW145" t="s">
        <v>1309</v>
      </c>
      <c r="BX145" t="s">
        <v>1309</v>
      </c>
      <c r="BY145" t="s">
        <v>1310</v>
      </c>
      <c r="BZ145" t="s">
        <v>1309</v>
      </c>
      <c r="CA145" t="s">
        <v>1309</v>
      </c>
      <c r="CB145" t="s">
        <v>1309</v>
      </c>
      <c r="CC145" t="s">
        <v>1309</v>
      </c>
      <c r="CE145" t="s">
        <v>1355</v>
      </c>
      <c r="CF145" t="s">
        <v>1309</v>
      </c>
      <c r="CG145" t="s">
        <v>1309</v>
      </c>
      <c r="CH145" t="s">
        <v>1309</v>
      </c>
      <c r="CI145" t="s">
        <v>1309</v>
      </c>
      <c r="CJ145" t="s">
        <v>1309</v>
      </c>
      <c r="CK145" t="s">
        <v>1309</v>
      </c>
      <c r="CL145" t="s">
        <v>1309</v>
      </c>
      <c r="CM145" t="s">
        <v>1309</v>
      </c>
      <c r="CN145" t="s">
        <v>1310</v>
      </c>
      <c r="CO145" t="s">
        <v>1309</v>
      </c>
      <c r="CP145" t="s">
        <v>1309</v>
      </c>
      <c r="CQ145" t="s">
        <v>1309</v>
      </c>
      <c r="CR145" t="s">
        <v>1309</v>
      </c>
      <c r="CT145" t="s">
        <v>4436</v>
      </c>
      <c r="CV145" t="s">
        <v>1308</v>
      </c>
      <c r="CW145" t="s">
        <v>1310</v>
      </c>
      <c r="CX145" t="s">
        <v>1309</v>
      </c>
      <c r="CY145" t="s">
        <v>1309</v>
      </c>
      <c r="CZ145" t="s">
        <v>1309</v>
      </c>
      <c r="DA145" t="s">
        <v>1309</v>
      </c>
      <c r="DB145" t="s">
        <v>1309</v>
      </c>
      <c r="DC145" t="s">
        <v>1309</v>
      </c>
      <c r="DE145" t="s">
        <v>1318</v>
      </c>
      <c r="DF145" t="s">
        <v>1319</v>
      </c>
      <c r="DG145">
        <v>700</v>
      </c>
      <c r="DI145">
        <v>400</v>
      </c>
      <c r="DJ145" t="s">
        <v>1358</v>
      </c>
      <c r="DM145">
        <v>200</v>
      </c>
      <c r="DN145" t="s">
        <v>1320</v>
      </c>
      <c r="DO145" t="s">
        <v>1310</v>
      </c>
      <c r="DP145" t="s">
        <v>1309</v>
      </c>
      <c r="DQ145" t="s">
        <v>1309</v>
      </c>
      <c r="DR145" t="s">
        <v>1309</v>
      </c>
      <c r="DS145" t="s">
        <v>1309</v>
      </c>
      <c r="DT145" t="s">
        <v>1310</v>
      </c>
      <c r="DU145" t="s">
        <v>1309</v>
      </c>
      <c r="DV145" t="s">
        <v>1309</v>
      </c>
      <c r="DW145" t="s">
        <v>1309</v>
      </c>
      <c r="DY145" t="s">
        <v>1359</v>
      </c>
      <c r="DZ145">
        <v>373</v>
      </c>
      <c r="EA145" t="s">
        <v>1319</v>
      </c>
      <c r="EC145" t="s">
        <v>1504</v>
      </c>
      <c r="EG145" t="s">
        <v>5356</v>
      </c>
      <c r="EI145" t="s">
        <v>1307</v>
      </c>
      <c r="ET145" t="s">
        <v>1307</v>
      </c>
      <c r="EV145" t="s">
        <v>1307</v>
      </c>
      <c r="EX145" t="s">
        <v>1307</v>
      </c>
      <c r="EY145" t="s">
        <v>1307</v>
      </c>
      <c r="EZ145" t="s">
        <v>1307</v>
      </c>
      <c r="FT145" t="s">
        <v>1319</v>
      </c>
      <c r="FU145" t="s">
        <v>1649</v>
      </c>
      <c r="FV145" t="s">
        <v>1310</v>
      </c>
      <c r="FW145" t="s">
        <v>1310</v>
      </c>
      <c r="FX145" t="s">
        <v>1309</v>
      </c>
      <c r="FY145" t="s">
        <v>1309</v>
      </c>
      <c r="FZ145" t="s">
        <v>1309</v>
      </c>
      <c r="GA145" t="s">
        <v>1309</v>
      </c>
      <c r="GB145" t="s">
        <v>1309</v>
      </c>
      <c r="GC145" t="s">
        <v>1309</v>
      </c>
      <c r="GD145" t="s">
        <v>1309</v>
      </c>
      <c r="GE145" t="s">
        <v>1309</v>
      </c>
      <c r="GF145" t="s">
        <v>1309</v>
      </c>
      <c r="GG145" t="s">
        <v>1309</v>
      </c>
      <c r="GI145" t="s">
        <v>1448</v>
      </c>
      <c r="GJ145" t="s">
        <v>1448</v>
      </c>
      <c r="GT145" t="s">
        <v>1325</v>
      </c>
      <c r="GU145" t="s">
        <v>1310</v>
      </c>
      <c r="GV145" t="s">
        <v>1309</v>
      </c>
      <c r="GW145" t="s">
        <v>1309</v>
      </c>
      <c r="GX145" t="s">
        <v>1309</v>
      </c>
      <c r="GY145" t="s">
        <v>1309</v>
      </c>
      <c r="GZ145" t="s">
        <v>1309</v>
      </c>
      <c r="HA145" t="s">
        <v>1309</v>
      </c>
      <c r="HB145" t="s">
        <v>1309</v>
      </c>
      <c r="HC145" t="s">
        <v>1309</v>
      </c>
      <c r="HD145" t="s">
        <v>1309</v>
      </c>
      <c r="HE145" t="s">
        <v>1309</v>
      </c>
      <c r="HF145" t="s">
        <v>1309</v>
      </c>
      <c r="HH145" t="s">
        <v>1326</v>
      </c>
      <c r="HI145" t="s">
        <v>1326</v>
      </c>
      <c r="HJ145" t="s">
        <v>1308</v>
      </c>
      <c r="HK145" t="s">
        <v>1327</v>
      </c>
      <c r="HL145" t="s">
        <v>1437</v>
      </c>
      <c r="HM145" t="s">
        <v>1326</v>
      </c>
      <c r="HN145" t="s">
        <v>1803</v>
      </c>
      <c r="HO145" t="s">
        <v>1310</v>
      </c>
      <c r="HP145" t="s">
        <v>1310</v>
      </c>
      <c r="HQ145" t="s">
        <v>1309</v>
      </c>
      <c r="HR145" t="s">
        <v>1309</v>
      </c>
      <c r="HS145" t="s">
        <v>1310</v>
      </c>
      <c r="HT145" t="s">
        <v>1310</v>
      </c>
      <c r="HU145" t="s">
        <v>1309</v>
      </c>
      <c r="HV145" t="s">
        <v>1309</v>
      </c>
      <c r="HW145" t="s">
        <v>1309</v>
      </c>
      <c r="HX145" t="s">
        <v>1309</v>
      </c>
      <c r="HY145" t="s">
        <v>1309</v>
      </c>
      <c r="IA145" t="s">
        <v>1319</v>
      </c>
      <c r="IB145" t="s">
        <v>1601</v>
      </c>
      <c r="IC145" t="s">
        <v>1310</v>
      </c>
      <c r="ID145" t="s">
        <v>1309</v>
      </c>
      <c r="IE145" t="s">
        <v>1309</v>
      </c>
      <c r="IF145" t="s">
        <v>1309</v>
      </c>
      <c r="IG145" t="s">
        <v>1309</v>
      </c>
      <c r="IH145" t="s">
        <v>1309</v>
      </c>
      <c r="II145" t="s">
        <v>1309</v>
      </c>
      <c r="IJ145" t="s">
        <v>1309</v>
      </c>
      <c r="IK145" t="s">
        <v>1309</v>
      </c>
      <c r="IL145" t="s">
        <v>1309</v>
      </c>
      <c r="IM145" t="s">
        <v>1309</v>
      </c>
      <c r="IN145" t="s">
        <v>1309</v>
      </c>
      <c r="IO145" t="s">
        <v>1309</v>
      </c>
      <c r="IQ145" t="s">
        <v>1330</v>
      </c>
      <c r="IS145" t="s">
        <v>1331</v>
      </c>
      <c r="JF145" t="s">
        <v>1413</v>
      </c>
      <c r="JG145" t="s">
        <v>1566</v>
      </c>
      <c r="JH145" t="s">
        <v>1310</v>
      </c>
      <c r="JI145" t="s">
        <v>1309</v>
      </c>
      <c r="JJ145" t="s">
        <v>1309</v>
      </c>
      <c r="JK145" t="s">
        <v>1309</v>
      </c>
      <c r="JL145" t="s">
        <v>1310</v>
      </c>
      <c r="JM145" t="s">
        <v>1309</v>
      </c>
      <c r="JN145" t="s">
        <v>1309</v>
      </c>
      <c r="JO145" t="s">
        <v>1309</v>
      </c>
      <c r="JQ145" s="92" t="s">
        <v>1733</v>
      </c>
      <c r="JR145" s="92" t="s">
        <v>2103</v>
      </c>
      <c r="JS145" s="92">
        <v>42</v>
      </c>
      <c r="JT145" s="92" t="s">
        <v>1319</v>
      </c>
      <c r="JU145" s="92" t="s">
        <v>1789</v>
      </c>
      <c r="JV145" s="92" t="s">
        <v>1368</v>
      </c>
      <c r="JW145" s="92" t="s">
        <v>1296</v>
      </c>
      <c r="JX145" s="92" t="s">
        <v>70</v>
      </c>
      <c r="JY145" s="92" t="s">
        <v>5549</v>
      </c>
      <c r="JZ145" s="92" t="s">
        <v>1337</v>
      </c>
      <c r="KA145" s="92" t="s">
        <v>4845</v>
      </c>
      <c r="KB145" s="92" t="s">
        <v>1370</v>
      </c>
      <c r="KC145" s="92" t="s">
        <v>192</v>
      </c>
      <c r="KD145" s="92" t="s">
        <v>4848</v>
      </c>
      <c r="KE145" s="92" t="s">
        <v>1424</v>
      </c>
      <c r="KF145" s="92">
        <v>1100</v>
      </c>
      <c r="KG145" s="92" t="s">
        <v>4438</v>
      </c>
      <c r="KH145" s="92" t="s">
        <v>192</v>
      </c>
      <c r="KI145" s="92" t="s">
        <v>109</v>
      </c>
      <c r="KJ145" s="92" t="s">
        <v>109</v>
      </c>
      <c r="KK145" s="92" t="s">
        <v>109</v>
      </c>
      <c r="KL145" s="92" t="s">
        <v>1440</v>
      </c>
      <c r="KM145" s="92">
        <v>200</v>
      </c>
      <c r="KN145" s="92" t="s">
        <v>1372</v>
      </c>
      <c r="KO145" s="92" t="s">
        <v>1373</v>
      </c>
      <c r="KP145" s="92" t="s">
        <v>1401</v>
      </c>
      <c r="KQ145" s="92" t="s">
        <v>192</v>
      </c>
      <c r="KR145" s="92"/>
      <c r="KS145" s="92" t="s">
        <v>1343</v>
      </c>
      <c r="KT145" s="92" t="s">
        <v>1344</v>
      </c>
      <c r="KU145" s="92"/>
      <c r="KV145" s="92" t="s">
        <v>5554</v>
      </c>
      <c r="KW145" s="92"/>
      <c r="KX145" s="92" t="s">
        <v>1376</v>
      </c>
      <c r="KY145" s="92" t="s">
        <v>1508</v>
      </c>
      <c r="KZ145" s="92" t="s">
        <v>1378</v>
      </c>
      <c r="LA145" s="92" t="s">
        <v>109</v>
      </c>
      <c r="LB145" s="92" t="s">
        <v>109</v>
      </c>
      <c r="LC145" s="92" t="s">
        <v>4438</v>
      </c>
      <c r="LD145" s="92" t="s">
        <v>1372</v>
      </c>
      <c r="LE145" s="92" t="s">
        <v>192</v>
      </c>
      <c r="LF145" s="92" t="s">
        <v>109</v>
      </c>
    </row>
    <row r="146" spans="1:318" x14ac:dyDescent="0.25">
      <c r="A146" t="s">
        <v>2104</v>
      </c>
      <c r="B146" t="s">
        <v>2105</v>
      </c>
      <c r="C146" t="s">
        <v>1304</v>
      </c>
      <c r="D146" t="s">
        <v>1305</v>
      </c>
      <c r="E146" t="s">
        <v>1381</v>
      </c>
      <c r="G146" t="s">
        <v>1319</v>
      </c>
      <c r="H146">
        <v>3</v>
      </c>
      <c r="I146" t="s">
        <v>1358</v>
      </c>
      <c r="J146" t="s">
        <v>1813</v>
      </c>
      <c r="K146" t="s">
        <v>1309</v>
      </c>
      <c r="L146" t="s">
        <v>1310</v>
      </c>
      <c r="M146" t="s">
        <v>1309</v>
      </c>
      <c r="N146" t="s">
        <v>1309</v>
      </c>
      <c r="O146" t="s">
        <v>1310</v>
      </c>
      <c r="P146" t="s">
        <v>1310</v>
      </c>
      <c r="Q146" t="s">
        <v>1309</v>
      </c>
      <c r="R146" t="s">
        <v>1309</v>
      </c>
      <c r="S146">
        <v>2</v>
      </c>
      <c r="U146" t="s">
        <v>1311</v>
      </c>
      <c r="V146" t="s">
        <v>1312</v>
      </c>
      <c r="W146" t="s">
        <v>1312</v>
      </c>
      <c r="X146" t="s">
        <v>1312</v>
      </c>
      <c r="Y146" t="s">
        <v>1312</v>
      </c>
      <c r="Z146" t="s">
        <v>1312</v>
      </c>
      <c r="AC146">
        <v>3</v>
      </c>
      <c r="AD146">
        <v>11000</v>
      </c>
      <c r="AE146">
        <v>6000</v>
      </c>
      <c r="AF146" t="s">
        <v>1313</v>
      </c>
      <c r="AH146" t="s">
        <v>1383</v>
      </c>
      <c r="AJ146" t="s">
        <v>1315</v>
      </c>
      <c r="AL146" t="s">
        <v>1354</v>
      </c>
      <c r="BS146" t="s">
        <v>1307</v>
      </c>
      <c r="CE146" t="s">
        <v>1355</v>
      </c>
      <c r="CF146" t="s">
        <v>1309</v>
      </c>
      <c r="CG146" t="s">
        <v>1309</v>
      </c>
      <c r="CH146" t="s">
        <v>1309</v>
      </c>
      <c r="CI146" t="s">
        <v>1309</v>
      </c>
      <c r="CJ146" t="s">
        <v>1309</v>
      </c>
      <c r="CK146" t="s">
        <v>1309</v>
      </c>
      <c r="CL146" t="s">
        <v>1309</v>
      </c>
      <c r="CM146" t="s">
        <v>1309</v>
      </c>
      <c r="CN146" t="s">
        <v>1310</v>
      </c>
      <c r="CO146" t="s">
        <v>1309</v>
      </c>
      <c r="CP146" t="s">
        <v>1309</v>
      </c>
      <c r="CQ146" t="s">
        <v>1309</v>
      </c>
      <c r="CR146" t="s">
        <v>1309</v>
      </c>
      <c r="CT146" t="s">
        <v>4434</v>
      </c>
      <c r="CV146" t="s">
        <v>1357</v>
      </c>
      <c r="CW146" t="s">
        <v>1309</v>
      </c>
      <c r="CX146" t="s">
        <v>1309</v>
      </c>
      <c r="CY146" t="s">
        <v>1309</v>
      </c>
      <c r="CZ146" t="s">
        <v>1309</v>
      </c>
      <c r="DA146" t="s">
        <v>1310</v>
      </c>
      <c r="DB146" t="s">
        <v>1309</v>
      </c>
      <c r="DC146" t="s">
        <v>1309</v>
      </c>
      <c r="DE146" t="s">
        <v>1358</v>
      </c>
      <c r="DG146">
        <v>1500</v>
      </c>
      <c r="DI146">
        <v>350</v>
      </c>
      <c r="DJ146" t="s">
        <v>1358</v>
      </c>
      <c r="DK146">
        <v>2000</v>
      </c>
      <c r="DM146">
        <v>400</v>
      </c>
      <c r="DN146" t="s">
        <v>2106</v>
      </c>
      <c r="DO146" t="s">
        <v>1309</v>
      </c>
      <c r="DP146" t="s">
        <v>1309</v>
      </c>
      <c r="DQ146" t="s">
        <v>1309</v>
      </c>
      <c r="DR146" t="s">
        <v>1310</v>
      </c>
      <c r="DS146" t="s">
        <v>1310</v>
      </c>
      <c r="DT146" t="s">
        <v>1310</v>
      </c>
      <c r="DU146" t="s">
        <v>1309</v>
      </c>
      <c r="DV146" t="s">
        <v>1309</v>
      </c>
      <c r="DW146" t="s">
        <v>1309</v>
      </c>
      <c r="DY146" t="s">
        <v>1456</v>
      </c>
      <c r="DZ146">
        <v>800</v>
      </c>
      <c r="EA146" t="s">
        <v>1319</v>
      </c>
      <c r="EC146" t="s">
        <v>1457</v>
      </c>
      <c r="ED146">
        <v>800</v>
      </c>
      <c r="EE146" t="s">
        <v>1319</v>
      </c>
      <c r="EG146" t="s">
        <v>5356</v>
      </c>
      <c r="EI146" t="s">
        <v>1307</v>
      </c>
      <c r="ET146" t="s">
        <v>1307</v>
      </c>
      <c r="EV146" t="s">
        <v>1319</v>
      </c>
      <c r="EW146" t="s">
        <v>1421</v>
      </c>
      <c r="EX146" t="s">
        <v>1319</v>
      </c>
      <c r="EY146" t="s">
        <v>1307</v>
      </c>
      <c r="FA146" t="s">
        <v>2107</v>
      </c>
      <c r="FB146" t="s">
        <v>1309</v>
      </c>
      <c r="FC146" t="s">
        <v>1309</v>
      </c>
      <c r="FD146" t="s">
        <v>1309</v>
      </c>
      <c r="FE146" t="s">
        <v>1309</v>
      </c>
      <c r="FF146" t="s">
        <v>1309</v>
      </c>
      <c r="FG146" t="s">
        <v>1309</v>
      </c>
      <c r="FH146" t="s">
        <v>1309</v>
      </c>
      <c r="FI146" t="s">
        <v>1310</v>
      </c>
      <c r="FJ146" t="s">
        <v>1309</v>
      </c>
      <c r="FK146" t="s">
        <v>1309</v>
      </c>
      <c r="FL146" t="s">
        <v>1309</v>
      </c>
      <c r="FM146" t="s">
        <v>1310</v>
      </c>
      <c r="FN146" t="s">
        <v>1310</v>
      </c>
      <c r="FO146" t="s">
        <v>1309</v>
      </c>
      <c r="FP146" t="s">
        <v>1309</v>
      </c>
      <c r="FQ146" t="s">
        <v>1309</v>
      </c>
      <c r="FR146" t="s">
        <v>1309</v>
      </c>
      <c r="FT146" t="s">
        <v>1307</v>
      </c>
      <c r="GI146" t="s">
        <v>1324</v>
      </c>
      <c r="GJ146" t="s">
        <v>1324</v>
      </c>
      <c r="GT146" t="s">
        <v>1325</v>
      </c>
      <c r="GU146" t="s">
        <v>1310</v>
      </c>
      <c r="GV146" t="s">
        <v>1309</v>
      </c>
      <c r="GW146" t="s">
        <v>1309</v>
      </c>
      <c r="GX146" t="s">
        <v>1309</v>
      </c>
      <c r="GY146" t="s">
        <v>1309</v>
      </c>
      <c r="GZ146" t="s">
        <v>1309</v>
      </c>
      <c r="HA146" t="s">
        <v>1309</v>
      </c>
      <c r="HB146" t="s">
        <v>1309</v>
      </c>
      <c r="HC146" t="s">
        <v>1309</v>
      </c>
      <c r="HD146" t="s">
        <v>1309</v>
      </c>
      <c r="HE146" t="s">
        <v>1309</v>
      </c>
      <c r="HF146" t="s">
        <v>1309</v>
      </c>
      <c r="HH146" t="s">
        <v>1390</v>
      </c>
      <c r="HI146" t="s">
        <v>1390</v>
      </c>
      <c r="HJ146" t="s">
        <v>1390</v>
      </c>
      <c r="HK146" t="s">
        <v>1327</v>
      </c>
      <c r="HL146" t="s">
        <v>1364</v>
      </c>
      <c r="HM146" t="s">
        <v>1390</v>
      </c>
      <c r="IA146" t="s">
        <v>1307</v>
      </c>
      <c r="IQ146" t="s">
        <v>1330</v>
      </c>
      <c r="IS146" t="s">
        <v>1354</v>
      </c>
      <c r="JF146" t="s">
        <v>1316</v>
      </c>
      <c r="JG146" t="s">
        <v>1414</v>
      </c>
      <c r="JH146" t="s">
        <v>1309</v>
      </c>
      <c r="JI146" t="s">
        <v>1309</v>
      </c>
      <c r="JJ146" t="s">
        <v>1309</v>
      </c>
      <c r="JK146" t="s">
        <v>1309</v>
      </c>
      <c r="JL146" t="s">
        <v>1309</v>
      </c>
      <c r="JM146" t="s">
        <v>1309</v>
      </c>
      <c r="JN146" t="s">
        <v>1310</v>
      </c>
      <c r="JO146" t="s">
        <v>1309</v>
      </c>
      <c r="JQ146" s="92" t="s">
        <v>2076</v>
      </c>
      <c r="JR146" s="92" t="s">
        <v>2077</v>
      </c>
      <c r="JS146" s="92">
        <v>36</v>
      </c>
      <c r="JT146" s="92" t="s">
        <v>1319</v>
      </c>
      <c r="JU146" s="92" t="s">
        <v>1396</v>
      </c>
      <c r="JV146" s="92" t="s">
        <v>1368</v>
      </c>
      <c r="JW146" s="92" t="s">
        <v>1296</v>
      </c>
      <c r="JX146" s="92" t="s">
        <v>71</v>
      </c>
      <c r="JY146" s="92" t="s">
        <v>1397</v>
      </c>
      <c r="JZ146" s="92" t="s">
        <v>1337</v>
      </c>
      <c r="KA146" s="92" t="s">
        <v>4845</v>
      </c>
      <c r="KB146" s="92" t="s">
        <v>1399</v>
      </c>
      <c r="KC146" s="92" t="s">
        <v>109</v>
      </c>
      <c r="KD146" s="92" t="s">
        <v>4848</v>
      </c>
      <c r="KE146" s="92" t="s">
        <v>1371</v>
      </c>
      <c r="KF146" s="92">
        <v>1850</v>
      </c>
      <c r="KG146" s="92" t="s">
        <v>4438</v>
      </c>
      <c r="KH146" s="92" t="s">
        <v>192</v>
      </c>
      <c r="KI146" s="92" t="s">
        <v>109</v>
      </c>
      <c r="KJ146" s="92" t="s">
        <v>192</v>
      </c>
      <c r="KK146" s="92" t="s">
        <v>109</v>
      </c>
      <c r="KL146" s="92" t="s">
        <v>1440</v>
      </c>
      <c r="KM146" s="92">
        <v>2400</v>
      </c>
      <c r="KN146" s="92" t="s">
        <v>4438</v>
      </c>
      <c r="KO146" s="92" t="s">
        <v>1425</v>
      </c>
      <c r="KP146" s="92" t="s">
        <v>1375</v>
      </c>
      <c r="KQ146" s="92" t="s">
        <v>192</v>
      </c>
      <c r="KR146" s="92">
        <v>43</v>
      </c>
      <c r="KS146" s="92" t="s">
        <v>1466</v>
      </c>
      <c r="KT146" s="92" t="s">
        <v>1344</v>
      </c>
      <c r="KU146" s="92">
        <v>33</v>
      </c>
      <c r="KV146" s="92" t="s">
        <v>1441</v>
      </c>
      <c r="KW146" s="92" t="s">
        <v>1344</v>
      </c>
      <c r="KX146" s="92" t="s">
        <v>1376</v>
      </c>
      <c r="KY146" s="92" t="s">
        <v>1377</v>
      </c>
      <c r="KZ146" s="92" t="s">
        <v>1403</v>
      </c>
      <c r="LA146" s="92" t="s">
        <v>109</v>
      </c>
      <c r="LB146" s="92" t="s">
        <v>109</v>
      </c>
      <c r="LC146" s="92" t="s">
        <v>4438</v>
      </c>
      <c r="LD146" s="92" t="s">
        <v>4439</v>
      </c>
      <c r="LE146" s="92" t="s">
        <v>109</v>
      </c>
      <c r="LF146" s="92" t="s">
        <v>109</v>
      </c>
    </row>
    <row r="147" spans="1:318" x14ac:dyDescent="0.25">
      <c r="A147" t="s">
        <v>2108</v>
      </c>
      <c r="B147" t="s">
        <v>2109</v>
      </c>
      <c r="C147" t="s">
        <v>1304</v>
      </c>
      <c r="D147" t="s">
        <v>1305</v>
      </c>
      <c r="E147" t="s">
        <v>1948</v>
      </c>
      <c r="G147" t="s">
        <v>1319</v>
      </c>
      <c r="H147">
        <v>4</v>
      </c>
      <c r="I147" t="s">
        <v>1318</v>
      </c>
      <c r="J147" t="s">
        <v>1663</v>
      </c>
      <c r="K147" t="s">
        <v>1309</v>
      </c>
      <c r="L147" t="s">
        <v>1310</v>
      </c>
      <c r="M147" t="s">
        <v>1310</v>
      </c>
      <c r="N147" t="s">
        <v>1309</v>
      </c>
      <c r="O147" t="s">
        <v>1309</v>
      </c>
      <c r="P147" t="s">
        <v>1309</v>
      </c>
      <c r="Q147" t="s">
        <v>1309</v>
      </c>
      <c r="R147" t="s">
        <v>1309</v>
      </c>
      <c r="S147">
        <v>1</v>
      </c>
      <c r="T147">
        <v>3</v>
      </c>
      <c r="U147" t="s">
        <v>1311</v>
      </c>
      <c r="V147" t="s">
        <v>1312</v>
      </c>
      <c r="W147" t="s">
        <v>1311</v>
      </c>
      <c r="X147" t="s">
        <v>1312</v>
      </c>
      <c r="Y147" t="s">
        <v>1312</v>
      </c>
      <c r="Z147" t="s">
        <v>1312</v>
      </c>
      <c r="AC147">
        <v>3</v>
      </c>
      <c r="AD147">
        <v>7000</v>
      </c>
      <c r="AE147">
        <v>7000</v>
      </c>
      <c r="AF147" t="s">
        <v>1313</v>
      </c>
      <c r="AH147" t="s">
        <v>1383</v>
      </c>
      <c r="AJ147" t="s">
        <v>1353</v>
      </c>
      <c r="AL147" t="s">
        <v>1316</v>
      </c>
      <c r="BA147" t="s">
        <v>1316</v>
      </c>
      <c r="BS147" t="s">
        <v>1307</v>
      </c>
      <c r="CE147" t="s">
        <v>1537</v>
      </c>
      <c r="CF147" t="s">
        <v>1309</v>
      </c>
      <c r="CG147" t="s">
        <v>1309</v>
      </c>
      <c r="CH147" t="s">
        <v>1309</v>
      </c>
      <c r="CI147" t="s">
        <v>1309</v>
      </c>
      <c r="CJ147" t="s">
        <v>1309</v>
      </c>
      <c r="CK147" t="s">
        <v>1310</v>
      </c>
      <c r="CL147" t="s">
        <v>1309</v>
      </c>
      <c r="CM147" t="s">
        <v>1309</v>
      </c>
      <c r="CN147" t="s">
        <v>1310</v>
      </c>
      <c r="CO147" t="s">
        <v>1309</v>
      </c>
      <c r="CP147" t="s">
        <v>1309</v>
      </c>
      <c r="CQ147" t="s">
        <v>1309</v>
      </c>
      <c r="CR147" t="s">
        <v>1309</v>
      </c>
      <c r="CT147" t="s">
        <v>4436</v>
      </c>
      <c r="CV147" t="s">
        <v>1308</v>
      </c>
      <c r="CW147" t="s">
        <v>1310</v>
      </c>
      <c r="CX147" t="s">
        <v>1309</v>
      </c>
      <c r="CY147" t="s">
        <v>1309</v>
      </c>
      <c r="CZ147" t="s">
        <v>1309</v>
      </c>
      <c r="DA147" t="s">
        <v>1309</v>
      </c>
      <c r="DB147" t="s">
        <v>1309</v>
      </c>
      <c r="DC147" t="s">
        <v>1309</v>
      </c>
      <c r="DE147" t="s">
        <v>1358</v>
      </c>
      <c r="DF147" t="s">
        <v>1319</v>
      </c>
      <c r="DJ147" t="s">
        <v>1358</v>
      </c>
      <c r="DN147" t="s">
        <v>1320</v>
      </c>
      <c r="DO147" t="s">
        <v>1310</v>
      </c>
      <c r="DP147" t="s">
        <v>1309</v>
      </c>
      <c r="DQ147" t="s">
        <v>1309</v>
      </c>
      <c r="DR147" t="s">
        <v>1309</v>
      </c>
      <c r="DS147" t="s">
        <v>1309</v>
      </c>
      <c r="DT147" t="s">
        <v>1310</v>
      </c>
      <c r="DU147" t="s">
        <v>1309</v>
      </c>
      <c r="DV147" t="s">
        <v>1309</v>
      </c>
      <c r="DW147" t="s">
        <v>1309</v>
      </c>
      <c r="DY147" t="s">
        <v>1456</v>
      </c>
      <c r="DZ147">
        <v>800</v>
      </c>
      <c r="EA147" t="s">
        <v>1319</v>
      </c>
      <c r="EC147" t="s">
        <v>1457</v>
      </c>
      <c r="ED147">
        <v>800</v>
      </c>
      <c r="EE147" t="s">
        <v>1319</v>
      </c>
      <c r="EG147" t="s">
        <v>5356</v>
      </c>
      <c r="EI147" t="s">
        <v>1307</v>
      </c>
      <c r="ET147" t="s">
        <v>1307</v>
      </c>
      <c r="EV147" t="s">
        <v>1319</v>
      </c>
      <c r="EW147" t="s">
        <v>1414</v>
      </c>
      <c r="EX147" t="s">
        <v>1319</v>
      </c>
      <c r="EY147" t="s">
        <v>1319</v>
      </c>
      <c r="EZ147" t="s">
        <v>1319</v>
      </c>
      <c r="FA147" t="s">
        <v>2110</v>
      </c>
      <c r="FB147" t="s">
        <v>1310</v>
      </c>
      <c r="FC147" t="s">
        <v>1309</v>
      </c>
      <c r="FD147" t="s">
        <v>1309</v>
      </c>
      <c r="FE147" t="s">
        <v>1309</v>
      </c>
      <c r="FF147" t="s">
        <v>1309</v>
      </c>
      <c r="FG147" t="s">
        <v>1309</v>
      </c>
      <c r="FH147" t="s">
        <v>1309</v>
      </c>
      <c r="FI147" t="s">
        <v>1310</v>
      </c>
      <c r="FJ147" t="s">
        <v>1309</v>
      </c>
      <c r="FK147" t="s">
        <v>1309</v>
      </c>
      <c r="FL147" t="s">
        <v>1309</v>
      </c>
      <c r="FM147" t="s">
        <v>1309</v>
      </c>
      <c r="FN147" t="s">
        <v>1310</v>
      </c>
      <c r="FO147" t="s">
        <v>1309</v>
      </c>
      <c r="FP147" t="s">
        <v>1309</v>
      </c>
      <c r="FQ147" t="s">
        <v>1309</v>
      </c>
      <c r="FR147" t="s">
        <v>1309</v>
      </c>
      <c r="FT147" t="s">
        <v>1307</v>
      </c>
      <c r="GI147" t="s">
        <v>1324</v>
      </c>
      <c r="GJ147" t="s">
        <v>1324</v>
      </c>
      <c r="GT147" t="s">
        <v>1325</v>
      </c>
      <c r="GU147" t="s">
        <v>1310</v>
      </c>
      <c r="GV147" t="s">
        <v>1309</v>
      </c>
      <c r="GW147" t="s">
        <v>1309</v>
      </c>
      <c r="GX147" t="s">
        <v>1309</v>
      </c>
      <c r="GY147" t="s">
        <v>1309</v>
      </c>
      <c r="GZ147" t="s">
        <v>1309</v>
      </c>
      <c r="HA147" t="s">
        <v>1309</v>
      </c>
      <c r="HB147" t="s">
        <v>1309</v>
      </c>
      <c r="HC147" t="s">
        <v>1309</v>
      </c>
      <c r="HD147" t="s">
        <v>1309</v>
      </c>
      <c r="HE147" t="s">
        <v>1309</v>
      </c>
      <c r="HF147" t="s">
        <v>1309</v>
      </c>
      <c r="HH147" t="s">
        <v>1390</v>
      </c>
      <c r="HI147" t="s">
        <v>1390</v>
      </c>
      <c r="HJ147" t="s">
        <v>1390</v>
      </c>
      <c r="HK147" t="s">
        <v>1390</v>
      </c>
      <c r="HL147" t="s">
        <v>1364</v>
      </c>
      <c r="HM147" t="s">
        <v>1390</v>
      </c>
      <c r="IA147" t="s">
        <v>1307</v>
      </c>
      <c r="IQ147" t="s">
        <v>1330</v>
      </c>
      <c r="IS147" t="s">
        <v>1316</v>
      </c>
      <c r="JF147" t="s">
        <v>1316</v>
      </c>
      <c r="JG147" t="s">
        <v>1566</v>
      </c>
      <c r="JH147" t="s">
        <v>1310</v>
      </c>
      <c r="JI147" t="s">
        <v>1309</v>
      </c>
      <c r="JJ147" t="s">
        <v>1309</v>
      </c>
      <c r="JK147" t="s">
        <v>1309</v>
      </c>
      <c r="JL147" t="s">
        <v>1310</v>
      </c>
      <c r="JM147" t="s">
        <v>1309</v>
      </c>
      <c r="JN147" t="s">
        <v>1309</v>
      </c>
      <c r="JO147" t="s">
        <v>1309</v>
      </c>
      <c r="JQ147" s="92" t="s">
        <v>2061</v>
      </c>
      <c r="JR147" s="92" t="s">
        <v>2111</v>
      </c>
      <c r="JS147" s="92">
        <v>69</v>
      </c>
      <c r="JT147" s="92" t="s">
        <v>1319</v>
      </c>
      <c r="JU147" s="92" t="s">
        <v>1780</v>
      </c>
      <c r="JV147" s="92" t="s">
        <v>1526</v>
      </c>
      <c r="JW147" s="92" t="s">
        <v>1296</v>
      </c>
      <c r="JX147" s="92" t="s">
        <v>70</v>
      </c>
      <c r="JY147" s="92" t="s">
        <v>5549</v>
      </c>
      <c r="JZ147" s="92" t="s">
        <v>1369</v>
      </c>
      <c r="KA147" s="92" t="s">
        <v>4845</v>
      </c>
      <c r="KB147" s="92" t="s">
        <v>5476</v>
      </c>
      <c r="KC147" s="92" t="s">
        <v>109</v>
      </c>
      <c r="KD147" s="92" t="s">
        <v>4848</v>
      </c>
      <c r="KE147" s="92" t="s">
        <v>1424</v>
      </c>
      <c r="KF147" s="92">
        <v>0</v>
      </c>
      <c r="KG147" s="92" t="s">
        <v>1372</v>
      </c>
      <c r="KH147" s="92" t="s">
        <v>109</v>
      </c>
      <c r="KI147" s="92" t="s">
        <v>109</v>
      </c>
      <c r="KJ147" s="92" t="s">
        <v>109</v>
      </c>
      <c r="KK147" s="92" t="s">
        <v>109</v>
      </c>
      <c r="KL147" s="92" t="s">
        <v>1373</v>
      </c>
      <c r="KM147" s="92">
        <v>0</v>
      </c>
      <c r="KN147" s="92" t="s">
        <v>1372</v>
      </c>
      <c r="KO147" s="92" t="s">
        <v>1373</v>
      </c>
      <c r="KP147" s="92" t="s">
        <v>1401</v>
      </c>
      <c r="KQ147" s="92" t="s">
        <v>192</v>
      </c>
      <c r="KR147" s="92"/>
      <c r="KS147" s="92" t="s">
        <v>1466</v>
      </c>
      <c r="KT147" s="92" t="s">
        <v>1344</v>
      </c>
      <c r="KU147" s="92"/>
      <c r="KV147" s="92" t="s">
        <v>1441</v>
      </c>
      <c r="KW147" s="92" t="s">
        <v>1344</v>
      </c>
      <c r="KX147" s="92" t="s">
        <v>1376</v>
      </c>
      <c r="KY147" s="92" t="s">
        <v>1377</v>
      </c>
      <c r="KZ147" s="92" t="s">
        <v>1378</v>
      </c>
      <c r="LA147" s="92" t="s">
        <v>109</v>
      </c>
      <c r="LB147" s="92" t="s">
        <v>109</v>
      </c>
      <c r="LC147" s="92" t="s">
        <v>1372</v>
      </c>
      <c r="LD147" s="92" t="s">
        <v>1372</v>
      </c>
      <c r="LE147" s="92" t="s">
        <v>109</v>
      </c>
      <c r="LF147" s="92" t="s">
        <v>109</v>
      </c>
    </row>
    <row r="148" spans="1:318" x14ac:dyDescent="0.25">
      <c r="A148" t="s">
        <v>2112</v>
      </c>
      <c r="B148" t="s">
        <v>2113</v>
      </c>
      <c r="C148" t="s">
        <v>1304</v>
      </c>
      <c r="D148" t="s">
        <v>1305</v>
      </c>
      <c r="E148" t="s">
        <v>1306</v>
      </c>
      <c r="G148" t="s">
        <v>1307</v>
      </c>
      <c r="H148">
        <v>2</v>
      </c>
      <c r="I148" t="s">
        <v>1307</v>
      </c>
      <c r="J148" t="s">
        <v>1891</v>
      </c>
      <c r="K148" t="s">
        <v>1309</v>
      </c>
      <c r="L148" t="s">
        <v>1309</v>
      </c>
      <c r="M148" t="s">
        <v>1310</v>
      </c>
      <c r="N148" t="s">
        <v>1309</v>
      </c>
      <c r="O148" t="s">
        <v>1310</v>
      </c>
      <c r="P148" t="s">
        <v>1309</v>
      </c>
      <c r="Q148" t="s">
        <v>1309</v>
      </c>
      <c r="R148" t="s">
        <v>1309</v>
      </c>
      <c r="T148">
        <v>2</v>
      </c>
      <c r="U148" t="s">
        <v>1311</v>
      </c>
      <c r="V148" t="s">
        <v>1311</v>
      </c>
      <c r="W148" t="s">
        <v>1311</v>
      </c>
      <c r="X148" t="s">
        <v>1312</v>
      </c>
      <c r="Y148" t="s">
        <v>1312</v>
      </c>
      <c r="Z148" t="s">
        <v>1312</v>
      </c>
      <c r="AC148">
        <v>2</v>
      </c>
      <c r="AD148">
        <v>8000</v>
      </c>
      <c r="AE148">
        <v>4000</v>
      </c>
      <c r="AF148" t="s">
        <v>1351</v>
      </c>
      <c r="AH148" t="s">
        <v>1352</v>
      </c>
      <c r="AJ148" t="s">
        <v>1353</v>
      </c>
      <c r="AL148" t="s">
        <v>1354</v>
      </c>
      <c r="BA148" t="s">
        <v>1354</v>
      </c>
      <c r="BS148" t="s">
        <v>1307</v>
      </c>
      <c r="CE148" t="s">
        <v>1355</v>
      </c>
      <c r="CF148" t="s">
        <v>1309</v>
      </c>
      <c r="CG148" t="s">
        <v>1309</v>
      </c>
      <c r="CH148" t="s">
        <v>1309</v>
      </c>
      <c r="CI148" t="s">
        <v>1309</v>
      </c>
      <c r="CJ148" t="s">
        <v>1309</v>
      </c>
      <c r="CK148" t="s">
        <v>1309</v>
      </c>
      <c r="CL148" t="s">
        <v>1309</v>
      </c>
      <c r="CM148" t="s">
        <v>1309</v>
      </c>
      <c r="CN148" t="s">
        <v>1310</v>
      </c>
      <c r="CO148" t="s">
        <v>1309</v>
      </c>
      <c r="CP148" t="s">
        <v>1309</v>
      </c>
      <c r="CQ148" t="s">
        <v>1309</v>
      </c>
      <c r="CR148" t="s">
        <v>1309</v>
      </c>
      <c r="CT148" t="s">
        <v>4436</v>
      </c>
      <c r="CV148" t="s">
        <v>1444</v>
      </c>
      <c r="CW148" t="s">
        <v>1309</v>
      </c>
      <c r="CX148" t="s">
        <v>1310</v>
      </c>
      <c r="CY148" t="s">
        <v>1309</v>
      </c>
      <c r="CZ148" t="s">
        <v>1309</v>
      </c>
      <c r="DA148" t="s">
        <v>1309</v>
      </c>
      <c r="DB148" t="s">
        <v>1309</v>
      </c>
      <c r="DC148" t="s">
        <v>1309</v>
      </c>
      <c r="DE148" t="s">
        <v>1358</v>
      </c>
      <c r="DG148">
        <v>300</v>
      </c>
      <c r="DH148">
        <v>5000</v>
      </c>
      <c r="DI148">
        <v>400</v>
      </c>
      <c r="DJ148" t="s">
        <v>1358</v>
      </c>
      <c r="DK148">
        <v>300</v>
      </c>
      <c r="DM148">
        <v>450</v>
      </c>
      <c r="DN148" t="s">
        <v>2114</v>
      </c>
      <c r="DO148" t="s">
        <v>1310</v>
      </c>
      <c r="DP148" t="s">
        <v>1310</v>
      </c>
      <c r="DQ148" t="s">
        <v>1309</v>
      </c>
      <c r="DR148" t="s">
        <v>1310</v>
      </c>
      <c r="DS148" t="s">
        <v>1309</v>
      </c>
      <c r="DT148" t="s">
        <v>1310</v>
      </c>
      <c r="DU148" t="s">
        <v>1309</v>
      </c>
      <c r="DV148" t="s">
        <v>1309</v>
      </c>
      <c r="DW148" t="s">
        <v>1309</v>
      </c>
      <c r="DY148" t="s">
        <v>1359</v>
      </c>
      <c r="DZ148">
        <v>600</v>
      </c>
      <c r="EA148" t="s">
        <v>1386</v>
      </c>
      <c r="EC148" t="s">
        <v>1624</v>
      </c>
      <c r="ED148">
        <v>1000</v>
      </c>
      <c r="EE148" t="s">
        <v>1386</v>
      </c>
      <c r="EG148" t="s">
        <v>5356</v>
      </c>
      <c r="EI148" t="s">
        <v>1307</v>
      </c>
      <c r="ET148" t="s">
        <v>1307</v>
      </c>
      <c r="EV148" t="s">
        <v>1319</v>
      </c>
      <c r="EW148" t="s">
        <v>1361</v>
      </c>
      <c r="EX148" t="s">
        <v>1319</v>
      </c>
      <c r="EY148" t="s">
        <v>1319</v>
      </c>
      <c r="EZ148" t="s">
        <v>1319</v>
      </c>
      <c r="FA148" t="s">
        <v>2115</v>
      </c>
      <c r="FB148" t="s">
        <v>1309</v>
      </c>
      <c r="FC148" t="s">
        <v>1309</v>
      </c>
      <c r="FD148" t="s">
        <v>1309</v>
      </c>
      <c r="FE148" t="s">
        <v>1310</v>
      </c>
      <c r="FF148" t="s">
        <v>1309</v>
      </c>
      <c r="FG148" t="s">
        <v>1309</v>
      </c>
      <c r="FH148" t="s">
        <v>1310</v>
      </c>
      <c r="FI148" t="s">
        <v>1310</v>
      </c>
      <c r="FJ148" t="s">
        <v>1309</v>
      </c>
      <c r="FK148" t="s">
        <v>1309</v>
      </c>
      <c r="FL148" t="s">
        <v>1309</v>
      </c>
      <c r="FM148" t="s">
        <v>1310</v>
      </c>
      <c r="FN148" t="s">
        <v>1310</v>
      </c>
      <c r="FO148" t="s">
        <v>1310</v>
      </c>
      <c r="FP148" t="s">
        <v>1309</v>
      </c>
      <c r="FQ148" t="s">
        <v>1309</v>
      </c>
      <c r="FR148" t="s">
        <v>1309</v>
      </c>
      <c r="FT148" t="s">
        <v>1307</v>
      </c>
      <c r="GI148" t="s">
        <v>1324</v>
      </c>
      <c r="GJ148" t="s">
        <v>1324</v>
      </c>
      <c r="GT148" t="s">
        <v>1531</v>
      </c>
      <c r="GU148" t="s">
        <v>1310</v>
      </c>
      <c r="GV148" t="s">
        <v>1310</v>
      </c>
      <c r="GW148" t="s">
        <v>1309</v>
      </c>
      <c r="GX148" t="s">
        <v>1309</v>
      </c>
      <c r="GY148" t="s">
        <v>1309</v>
      </c>
      <c r="GZ148" t="s">
        <v>1309</v>
      </c>
      <c r="HA148" t="s">
        <v>1309</v>
      </c>
      <c r="HB148" t="s">
        <v>1309</v>
      </c>
      <c r="HC148" t="s">
        <v>1309</v>
      </c>
      <c r="HD148" t="s">
        <v>1309</v>
      </c>
      <c r="HE148" t="s">
        <v>1309</v>
      </c>
      <c r="HF148" t="s">
        <v>1309</v>
      </c>
      <c r="HH148" t="s">
        <v>1390</v>
      </c>
      <c r="HI148" t="s">
        <v>1326</v>
      </c>
      <c r="HJ148" t="s">
        <v>1390</v>
      </c>
      <c r="HK148" t="s">
        <v>1327</v>
      </c>
      <c r="HL148" t="s">
        <v>1364</v>
      </c>
      <c r="HM148" t="s">
        <v>1390</v>
      </c>
      <c r="IA148" t="s">
        <v>1307</v>
      </c>
      <c r="IQ148" t="s">
        <v>1330</v>
      </c>
      <c r="IS148" t="s">
        <v>1316</v>
      </c>
      <c r="JF148" t="s">
        <v>1316</v>
      </c>
      <c r="JG148" t="s">
        <v>1414</v>
      </c>
      <c r="JH148" t="s">
        <v>1309</v>
      </c>
      <c r="JI148" t="s">
        <v>1309</v>
      </c>
      <c r="JJ148" t="s">
        <v>1309</v>
      </c>
      <c r="JK148" t="s">
        <v>1309</v>
      </c>
      <c r="JL148" t="s">
        <v>1309</v>
      </c>
      <c r="JM148" t="s">
        <v>1309</v>
      </c>
      <c r="JN148" t="s">
        <v>1310</v>
      </c>
      <c r="JO148" t="s">
        <v>1309</v>
      </c>
      <c r="JQ148" s="92" t="s">
        <v>2061</v>
      </c>
      <c r="JR148" s="92" t="s">
        <v>2116</v>
      </c>
      <c r="JS148" s="92">
        <v>72</v>
      </c>
      <c r="JT148" s="92" t="s">
        <v>1319</v>
      </c>
      <c r="JU148" s="92" t="s">
        <v>1335</v>
      </c>
      <c r="JV148" s="92" t="s">
        <v>1526</v>
      </c>
      <c r="JW148" s="92" t="s">
        <v>1296</v>
      </c>
      <c r="JX148" s="92" t="s">
        <v>71</v>
      </c>
      <c r="JY148" s="92" t="s">
        <v>5549</v>
      </c>
      <c r="JZ148" s="92" t="s">
        <v>1369</v>
      </c>
      <c r="KA148" s="92" t="s">
        <v>4845</v>
      </c>
      <c r="KB148" s="92" t="s">
        <v>1476</v>
      </c>
      <c r="KC148" s="92" t="s">
        <v>109</v>
      </c>
      <c r="KD148" s="92" t="s">
        <v>4847</v>
      </c>
      <c r="KE148" s="92" t="s">
        <v>1424</v>
      </c>
      <c r="KF148" s="92">
        <v>5700</v>
      </c>
      <c r="KG148" s="92" t="s">
        <v>1400</v>
      </c>
      <c r="KH148" s="92" t="s">
        <v>192</v>
      </c>
      <c r="KI148" s="92" t="s">
        <v>192</v>
      </c>
      <c r="KJ148" s="92" t="s">
        <v>192</v>
      </c>
      <c r="KK148" s="92" t="s">
        <v>109</v>
      </c>
      <c r="KL148" s="92" t="s">
        <v>1341</v>
      </c>
      <c r="KM148" s="92">
        <v>750</v>
      </c>
      <c r="KN148" s="92" t="s">
        <v>1372</v>
      </c>
      <c r="KO148" s="92" t="s">
        <v>1374</v>
      </c>
      <c r="KP148" s="92" t="s">
        <v>1375</v>
      </c>
      <c r="KQ148" s="92" t="s">
        <v>192</v>
      </c>
      <c r="KR148" s="92"/>
      <c r="KS148" s="92" t="s">
        <v>1345</v>
      </c>
      <c r="KT148" s="92" t="s">
        <v>1402</v>
      </c>
      <c r="KU148" s="92"/>
      <c r="KV148" s="92" t="s">
        <v>1461</v>
      </c>
      <c r="KW148" s="92" t="s">
        <v>1402</v>
      </c>
      <c r="KX148" s="92" t="s">
        <v>1376</v>
      </c>
      <c r="KY148" s="92" t="s">
        <v>1377</v>
      </c>
      <c r="KZ148" s="92" t="s">
        <v>5795</v>
      </c>
      <c r="LA148" s="92" t="s">
        <v>109</v>
      </c>
      <c r="LB148" s="92" t="s">
        <v>109</v>
      </c>
      <c r="LC148" s="92" t="s">
        <v>1400</v>
      </c>
      <c r="LD148" s="92" t="s">
        <v>4438</v>
      </c>
      <c r="LE148" s="92" t="s">
        <v>192</v>
      </c>
      <c r="LF148" s="92" t="s">
        <v>109</v>
      </c>
    </row>
    <row r="149" spans="1:318" x14ac:dyDescent="0.25">
      <c r="A149" t="s">
        <v>2117</v>
      </c>
      <c r="B149" t="s">
        <v>2118</v>
      </c>
      <c r="C149" t="s">
        <v>1304</v>
      </c>
      <c r="D149" t="s">
        <v>1305</v>
      </c>
      <c r="E149" t="s">
        <v>1381</v>
      </c>
      <c r="G149" t="s">
        <v>1319</v>
      </c>
      <c r="H149">
        <v>2</v>
      </c>
      <c r="I149" t="s">
        <v>1358</v>
      </c>
      <c r="J149" t="s">
        <v>1548</v>
      </c>
      <c r="K149" t="s">
        <v>1309</v>
      </c>
      <c r="L149" t="s">
        <v>1309</v>
      </c>
      <c r="M149" t="s">
        <v>1310</v>
      </c>
      <c r="N149" t="s">
        <v>1310</v>
      </c>
      <c r="O149" t="s">
        <v>1309</v>
      </c>
      <c r="P149" t="s">
        <v>1309</v>
      </c>
      <c r="Q149" t="s">
        <v>1309</v>
      </c>
      <c r="R149" t="s">
        <v>1309</v>
      </c>
      <c r="T149">
        <v>1</v>
      </c>
      <c r="U149" t="s">
        <v>1311</v>
      </c>
      <c r="V149" t="s">
        <v>1311</v>
      </c>
      <c r="W149" t="s">
        <v>1486</v>
      </c>
      <c r="X149" t="s">
        <v>1311</v>
      </c>
      <c r="Y149" t="s">
        <v>1311</v>
      </c>
      <c r="Z149" t="s">
        <v>1312</v>
      </c>
      <c r="AA149">
        <v>1</v>
      </c>
      <c r="AB149">
        <v>1</v>
      </c>
      <c r="AC149">
        <v>2</v>
      </c>
      <c r="AD149">
        <v>6000</v>
      </c>
      <c r="AE149">
        <v>8000</v>
      </c>
      <c r="AF149" t="s">
        <v>1351</v>
      </c>
      <c r="AH149" t="s">
        <v>1383</v>
      </c>
      <c r="AJ149" t="s">
        <v>1315</v>
      </c>
      <c r="AL149" t="s">
        <v>1316</v>
      </c>
      <c r="BS149" t="s">
        <v>1307</v>
      </c>
      <c r="CE149" t="s">
        <v>1611</v>
      </c>
      <c r="CF149" t="s">
        <v>1310</v>
      </c>
      <c r="CG149" t="s">
        <v>1309</v>
      </c>
      <c r="CH149" t="s">
        <v>1309</v>
      </c>
      <c r="CI149" t="s">
        <v>1309</v>
      </c>
      <c r="CJ149" t="s">
        <v>1309</v>
      </c>
      <c r="CK149" t="s">
        <v>1309</v>
      </c>
      <c r="CL149" t="s">
        <v>1309</v>
      </c>
      <c r="CM149" t="s">
        <v>1309</v>
      </c>
      <c r="CN149" t="s">
        <v>1310</v>
      </c>
      <c r="CO149" t="s">
        <v>1310</v>
      </c>
      <c r="CP149" t="s">
        <v>1309</v>
      </c>
      <c r="CQ149" t="s">
        <v>1309</v>
      </c>
      <c r="CR149" t="s">
        <v>1309</v>
      </c>
      <c r="CT149" t="s">
        <v>4434</v>
      </c>
      <c r="CV149" t="s">
        <v>1308</v>
      </c>
      <c r="CW149" t="s">
        <v>1310</v>
      </c>
      <c r="CX149" t="s">
        <v>1309</v>
      </c>
      <c r="CY149" t="s">
        <v>1309</v>
      </c>
      <c r="CZ149" t="s">
        <v>1309</v>
      </c>
      <c r="DA149" t="s">
        <v>1309</v>
      </c>
      <c r="DB149" t="s">
        <v>1309</v>
      </c>
      <c r="DC149" t="s">
        <v>1309</v>
      </c>
      <c r="DE149" t="s">
        <v>1318</v>
      </c>
      <c r="DG149">
        <v>2300</v>
      </c>
      <c r="DI149">
        <v>250</v>
      </c>
      <c r="DJ149" t="s">
        <v>1318</v>
      </c>
      <c r="DK149">
        <v>2800</v>
      </c>
      <c r="DM149">
        <v>500</v>
      </c>
      <c r="DN149" t="s">
        <v>1584</v>
      </c>
      <c r="DO149" t="s">
        <v>1310</v>
      </c>
      <c r="DP149" t="s">
        <v>1309</v>
      </c>
      <c r="DQ149" t="s">
        <v>1309</v>
      </c>
      <c r="DR149" t="s">
        <v>1309</v>
      </c>
      <c r="DS149" t="s">
        <v>1310</v>
      </c>
      <c r="DT149" t="s">
        <v>1310</v>
      </c>
      <c r="DU149" t="s">
        <v>1309</v>
      </c>
      <c r="DV149" t="s">
        <v>1309</v>
      </c>
      <c r="DW149" t="s">
        <v>1309</v>
      </c>
      <c r="DY149" t="s">
        <v>1359</v>
      </c>
      <c r="DZ149">
        <v>300</v>
      </c>
      <c r="EA149" t="s">
        <v>1319</v>
      </c>
      <c r="EC149" t="s">
        <v>2119</v>
      </c>
      <c r="ED149">
        <v>500</v>
      </c>
      <c r="EE149" t="s">
        <v>1319</v>
      </c>
      <c r="EG149" t="s">
        <v>5356</v>
      </c>
      <c r="EI149" t="s">
        <v>1307</v>
      </c>
      <c r="ET149" t="s">
        <v>1307</v>
      </c>
      <c r="EV149" t="s">
        <v>1307</v>
      </c>
      <c r="EX149" t="s">
        <v>1307</v>
      </c>
      <c r="EY149" t="s">
        <v>1319</v>
      </c>
      <c r="FA149" t="s">
        <v>2120</v>
      </c>
      <c r="FB149" t="s">
        <v>1310</v>
      </c>
      <c r="FC149" t="s">
        <v>1310</v>
      </c>
      <c r="FD149" t="s">
        <v>1310</v>
      </c>
      <c r="FE149" t="s">
        <v>1309</v>
      </c>
      <c r="FF149" t="s">
        <v>1309</v>
      </c>
      <c r="FG149" t="s">
        <v>1309</v>
      </c>
      <c r="FH149" t="s">
        <v>1309</v>
      </c>
      <c r="FI149" t="s">
        <v>1309</v>
      </c>
      <c r="FJ149" t="s">
        <v>1309</v>
      </c>
      <c r="FK149" t="s">
        <v>1309</v>
      </c>
      <c r="FL149" t="s">
        <v>1309</v>
      </c>
      <c r="FM149" t="s">
        <v>1309</v>
      </c>
      <c r="FN149" t="s">
        <v>1309</v>
      </c>
      <c r="FO149" t="s">
        <v>1309</v>
      </c>
      <c r="FP149" t="s">
        <v>1309</v>
      </c>
      <c r="FQ149" t="s">
        <v>1309</v>
      </c>
      <c r="FR149" t="s">
        <v>1309</v>
      </c>
      <c r="FT149" t="s">
        <v>1319</v>
      </c>
      <c r="FU149" t="s">
        <v>1549</v>
      </c>
      <c r="FV149" t="s">
        <v>1310</v>
      </c>
      <c r="FW149" t="s">
        <v>1310</v>
      </c>
      <c r="FX149" t="s">
        <v>1309</v>
      </c>
      <c r="FY149" t="s">
        <v>1309</v>
      </c>
      <c r="FZ149" t="s">
        <v>1309</v>
      </c>
      <c r="GA149" t="s">
        <v>1309</v>
      </c>
      <c r="GB149" t="s">
        <v>1309</v>
      </c>
      <c r="GC149" t="s">
        <v>1309</v>
      </c>
      <c r="GD149" t="s">
        <v>1309</v>
      </c>
      <c r="GE149" t="s">
        <v>1309</v>
      </c>
      <c r="GF149" t="s">
        <v>1309</v>
      </c>
      <c r="GG149" t="s">
        <v>1309</v>
      </c>
      <c r="GI149" t="s">
        <v>1324</v>
      </c>
      <c r="GJ149" t="s">
        <v>1324</v>
      </c>
      <c r="GT149" t="s">
        <v>1325</v>
      </c>
      <c r="GU149" t="s">
        <v>1310</v>
      </c>
      <c r="GV149" t="s">
        <v>1309</v>
      </c>
      <c r="GW149" t="s">
        <v>1309</v>
      </c>
      <c r="GX149" t="s">
        <v>1309</v>
      </c>
      <c r="GY149" t="s">
        <v>1309</v>
      </c>
      <c r="GZ149" t="s">
        <v>1309</v>
      </c>
      <c r="HA149" t="s">
        <v>1309</v>
      </c>
      <c r="HB149" t="s">
        <v>1309</v>
      </c>
      <c r="HC149" t="s">
        <v>1309</v>
      </c>
      <c r="HD149" t="s">
        <v>1309</v>
      </c>
      <c r="HE149" t="s">
        <v>1309</v>
      </c>
      <c r="HF149" t="s">
        <v>1309</v>
      </c>
      <c r="HH149" t="s">
        <v>1390</v>
      </c>
      <c r="HI149" t="s">
        <v>1326</v>
      </c>
      <c r="HJ149" t="s">
        <v>1326</v>
      </c>
      <c r="HK149" t="s">
        <v>1327</v>
      </c>
      <c r="HL149" t="s">
        <v>1328</v>
      </c>
      <c r="HM149" t="s">
        <v>1326</v>
      </c>
      <c r="HN149" t="s">
        <v>1550</v>
      </c>
      <c r="HO149" t="s">
        <v>1310</v>
      </c>
      <c r="HP149" t="s">
        <v>1309</v>
      </c>
      <c r="HQ149" t="s">
        <v>1309</v>
      </c>
      <c r="HR149" t="s">
        <v>1310</v>
      </c>
      <c r="HS149" t="s">
        <v>1309</v>
      </c>
      <c r="HT149" t="s">
        <v>1309</v>
      </c>
      <c r="HU149" t="s">
        <v>1309</v>
      </c>
      <c r="HV149" t="s">
        <v>1309</v>
      </c>
      <c r="HW149" t="s">
        <v>1309</v>
      </c>
      <c r="HX149" t="s">
        <v>1309</v>
      </c>
      <c r="HY149" t="s">
        <v>1309</v>
      </c>
      <c r="IA149" t="s">
        <v>1414</v>
      </c>
      <c r="IQ149" t="s">
        <v>1330</v>
      </c>
      <c r="IS149" t="s">
        <v>1316</v>
      </c>
      <c r="JF149" t="s">
        <v>1331</v>
      </c>
      <c r="JG149" t="s">
        <v>1414</v>
      </c>
      <c r="JH149" t="s">
        <v>1309</v>
      </c>
      <c r="JI149" t="s">
        <v>1309</v>
      </c>
      <c r="JJ149" t="s">
        <v>1309</v>
      </c>
      <c r="JK149" t="s">
        <v>1309</v>
      </c>
      <c r="JL149" t="s">
        <v>1309</v>
      </c>
      <c r="JM149" t="s">
        <v>1309</v>
      </c>
      <c r="JN149" t="s">
        <v>1310</v>
      </c>
      <c r="JO149" t="s">
        <v>1309</v>
      </c>
      <c r="JQ149" s="92" t="s">
        <v>2092</v>
      </c>
      <c r="JR149" s="92" t="s">
        <v>2121</v>
      </c>
      <c r="JS149" s="92">
        <v>29</v>
      </c>
      <c r="JT149" s="92" t="s">
        <v>1319</v>
      </c>
      <c r="JU149" s="92" t="s">
        <v>1396</v>
      </c>
      <c r="JV149" s="92" t="s">
        <v>1368</v>
      </c>
      <c r="JW149" s="92" t="s">
        <v>1296</v>
      </c>
      <c r="JX149" s="92" t="s">
        <v>70</v>
      </c>
      <c r="JY149" s="92" t="s">
        <v>1397</v>
      </c>
      <c r="JZ149" s="92" t="s">
        <v>1398</v>
      </c>
      <c r="KA149" s="92" t="s">
        <v>4845</v>
      </c>
      <c r="KB149" s="92" t="s">
        <v>1439</v>
      </c>
      <c r="KC149" s="92" t="s">
        <v>192</v>
      </c>
      <c r="KD149" s="92" t="s">
        <v>4847</v>
      </c>
      <c r="KE149" s="92" t="s">
        <v>1424</v>
      </c>
      <c r="KF149" s="92">
        <v>2550</v>
      </c>
      <c r="KG149" s="92" t="s">
        <v>4439</v>
      </c>
      <c r="KH149" s="92" t="s">
        <v>192</v>
      </c>
      <c r="KI149" s="92" t="s">
        <v>109</v>
      </c>
      <c r="KJ149" s="92" t="s">
        <v>192</v>
      </c>
      <c r="KK149" s="92" t="s">
        <v>109</v>
      </c>
      <c r="KL149" s="92" t="s">
        <v>1425</v>
      </c>
      <c r="KM149" s="92">
        <v>3300</v>
      </c>
      <c r="KN149" s="92" t="s">
        <v>1400</v>
      </c>
      <c r="KO149" s="92" t="s">
        <v>1341</v>
      </c>
      <c r="KP149" s="92" t="s">
        <v>1460</v>
      </c>
      <c r="KQ149" s="92" t="s">
        <v>192</v>
      </c>
      <c r="KR149" s="92">
        <v>12</v>
      </c>
      <c r="KS149" s="92" t="s">
        <v>1343</v>
      </c>
      <c r="KT149" s="92" t="s">
        <v>1344</v>
      </c>
      <c r="KU149" s="92">
        <v>15</v>
      </c>
      <c r="KV149" s="92" t="s">
        <v>1345</v>
      </c>
      <c r="KW149" s="92" t="s">
        <v>1344</v>
      </c>
      <c r="KX149" s="92" t="s">
        <v>1376</v>
      </c>
      <c r="KY149" s="92" t="s">
        <v>1987</v>
      </c>
      <c r="KZ149" s="92" t="s">
        <v>1403</v>
      </c>
      <c r="LA149" s="92" t="s">
        <v>192</v>
      </c>
      <c r="LB149" s="92" t="s">
        <v>192</v>
      </c>
      <c r="LC149" s="92" t="s">
        <v>4438</v>
      </c>
      <c r="LD149" s="92" t="s">
        <v>4439</v>
      </c>
      <c r="LE149" s="92" t="s">
        <v>192</v>
      </c>
      <c r="LF149" s="92" t="s">
        <v>192</v>
      </c>
    </row>
    <row r="150" spans="1:318" x14ac:dyDescent="0.25">
      <c r="A150" t="s">
        <v>2122</v>
      </c>
      <c r="B150" t="s">
        <v>2123</v>
      </c>
      <c r="C150" t="s">
        <v>1304</v>
      </c>
      <c r="D150" t="s">
        <v>1305</v>
      </c>
      <c r="E150" t="s">
        <v>1306</v>
      </c>
      <c r="G150" t="s">
        <v>1307</v>
      </c>
      <c r="H150">
        <v>5</v>
      </c>
      <c r="I150" t="s">
        <v>1307</v>
      </c>
      <c r="J150" t="s">
        <v>1406</v>
      </c>
      <c r="K150" t="s">
        <v>1309</v>
      </c>
      <c r="L150" t="s">
        <v>1310</v>
      </c>
      <c r="M150" t="s">
        <v>1309</v>
      </c>
      <c r="N150" t="s">
        <v>1309</v>
      </c>
      <c r="O150" t="s">
        <v>1309</v>
      </c>
      <c r="P150" t="s">
        <v>1309</v>
      </c>
      <c r="Q150" t="s">
        <v>1309</v>
      </c>
      <c r="R150" t="s">
        <v>1309</v>
      </c>
      <c r="S150">
        <v>1</v>
      </c>
      <c r="U150" t="s">
        <v>1312</v>
      </c>
      <c r="V150" t="s">
        <v>1312</v>
      </c>
      <c r="W150" t="s">
        <v>1312</v>
      </c>
      <c r="X150" t="s">
        <v>1312</v>
      </c>
      <c r="Y150" t="s">
        <v>1312</v>
      </c>
      <c r="Z150" t="s">
        <v>1312</v>
      </c>
      <c r="AC150">
        <v>3</v>
      </c>
      <c r="AE150">
        <v>20000</v>
      </c>
      <c r="AF150" t="s">
        <v>1351</v>
      </c>
      <c r="AH150" t="s">
        <v>1383</v>
      </c>
      <c r="AJ150" t="s">
        <v>1315</v>
      </c>
      <c r="AL150" t="s">
        <v>1316</v>
      </c>
      <c r="BS150" t="s">
        <v>1307</v>
      </c>
      <c r="CE150" t="s">
        <v>2124</v>
      </c>
      <c r="CF150" t="s">
        <v>1310</v>
      </c>
      <c r="CG150" t="s">
        <v>1309</v>
      </c>
      <c r="CH150" t="s">
        <v>1309</v>
      </c>
      <c r="CI150" t="s">
        <v>1309</v>
      </c>
      <c r="CJ150" t="s">
        <v>1309</v>
      </c>
      <c r="CK150" t="s">
        <v>1309</v>
      </c>
      <c r="CL150" t="s">
        <v>1309</v>
      </c>
      <c r="CM150" t="s">
        <v>1309</v>
      </c>
      <c r="CN150" t="s">
        <v>1310</v>
      </c>
      <c r="CO150" t="s">
        <v>1310</v>
      </c>
      <c r="CP150" t="s">
        <v>1309</v>
      </c>
      <c r="CQ150" t="s">
        <v>1309</v>
      </c>
      <c r="CR150" t="s">
        <v>1309</v>
      </c>
      <c r="CT150" t="s">
        <v>4434</v>
      </c>
      <c r="CV150" t="s">
        <v>1488</v>
      </c>
      <c r="CW150" t="s">
        <v>1309</v>
      </c>
      <c r="CX150" t="s">
        <v>1309</v>
      </c>
      <c r="CY150" t="s">
        <v>1309</v>
      </c>
      <c r="CZ150" t="s">
        <v>1310</v>
      </c>
      <c r="DA150" t="s">
        <v>1310</v>
      </c>
      <c r="DB150" t="s">
        <v>1309</v>
      </c>
      <c r="DC150" t="s">
        <v>1309</v>
      </c>
      <c r="DE150" t="s">
        <v>1358</v>
      </c>
      <c r="DG150">
        <v>500</v>
      </c>
      <c r="DI150">
        <v>800</v>
      </c>
      <c r="DJ150" t="s">
        <v>1358</v>
      </c>
      <c r="DK150">
        <v>700</v>
      </c>
      <c r="DM150">
        <v>700</v>
      </c>
      <c r="DN150" t="s">
        <v>1320</v>
      </c>
      <c r="DO150" t="s">
        <v>1310</v>
      </c>
      <c r="DP150" t="s">
        <v>1309</v>
      </c>
      <c r="DQ150" t="s">
        <v>1309</v>
      </c>
      <c r="DR150" t="s">
        <v>1309</v>
      </c>
      <c r="DS150" t="s">
        <v>1309</v>
      </c>
      <c r="DT150" t="s">
        <v>1310</v>
      </c>
      <c r="DU150" t="s">
        <v>1309</v>
      </c>
      <c r="DV150" t="s">
        <v>1309</v>
      </c>
      <c r="DW150" t="s">
        <v>1309</v>
      </c>
      <c r="DY150" t="s">
        <v>1446</v>
      </c>
      <c r="DZ150">
        <v>300</v>
      </c>
      <c r="EA150" t="s">
        <v>1319</v>
      </c>
      <c r="EC150" t="s">
        <v>1624</v>
      </c>
      <c r="ED150">
        <v>800</v>
      </c>
      <c r="EE150" t="s">
        <v>1319</v>
      </c>
      <c r="EG150" t="s">
        <v>5357</v>
      </c>
      <c r="ET150" t="s">
        <v>1434</v>
      </c>
      <c r="EV150" t="s">
        <v>1319</v>
      </c>
      <c r="EW150" t="s">
        <v>1361</v>
      </c>
      <c r="EX150" t="s">
        <v>1319</v>
      </c>
      <c r="EY150" t="s">
        <v>1319</v>
      </c>
      <c r="EZ150" t="s">
        <v>1307</v>
      </c>
      <c r="FA150" t="s">
        <v>2125</v>
      </c>
      <c r="FB150" t="s">
        <v>1309</v>
      </c>
      <c r="FC150" t="s">
        <v>1309</v>
      </c>
      <c r="FD150" t="s">
        <v>1309</v>
      </c>
      <c r="FE150" t="s">
        <v>1309</v>
      </c>
      <c r="FF150" t="s">
        <v>1310</v>
      </c>
      <c r="FG150" t="s">
        <v>1310</v>
      </c>
      <c r="FH150" t="s">
        <v>1310</v>
      </c>
      <c r="FI150" t="s">
        <v>1309</v>
      </c>
      <c r="FJ150" t="s">
        <v>1309</v>
      </c>
      <c r="FK150" t="s">
        <v>1309</v>
      </c>
      <c r="FL150" t="s">
        <v>1309</v>
      </c>
      <c r="FM150" t="s">
        <v>1310</v>
      </c>
      <c r="FN150" t="s">
        <v>1309</v>
      </c>
      <c r="FO150" t="s">
        <v>1310</v>
      </c>
      <c r="FP150" t="s">
        <v>1309</v>
      </c>
      <c r="FQ150" t="s">
        <v>1309</v>
      </c>
      <c r="FR150" t="s">
        <v>1309</v>
      </c>
      <c r="FT150" t="s">
        <v>1307</v>
      </c>
      <c r="GI150" t="s">
        <v>1324</v>
      </c>
      <c r="GJ150" t="s">
        <v>1324</v>
      </c>
      <c r="GT150" t="s">
        <v>1325</v>
      </c>
      <c r="GU150" t="s">
        <v>1310</v>
      </c>
      <c r="GV150" t="s">
        <v>1309</v>
      </c>
      <c r="GW150" t="s">
        <v>1309</v>
      </c>
      <c r="GX150" t="s">
        <v>1309</v>
      </c>
      <c r="GY150" t="s">
        <v>1309</v>
      </c>
      <c r="GZ150" t="s">
        <v>1309</v>
      </c>
      <c r="HA150" t="s">
        <v>1309</v>
      </c>
      <c r="HB150" t="s">
        <v>1309</v>
      </c>
      <c r="HC150" t="s">
        <v>1309</v>
      </c>
      <c r="HD150" t="s">
        <v>1309</v>
      </c>
      <c r="HE150" t="s">
        <v>1309</v>
      </c>
      <c r="HF150" t="s">
        <v>1309</v>
      </c>
      <c r="HH150" t="s">
        <v>1390</v>
      </c>
      <c r="HI150" t="s">
        <v>1327</v>
      </c>
      <c r="HJ150" t="s">
        <v>1326</v>
      </c>
      <c r="HK150" t="s">
        <v>1327</v>
      </c>
      <c r="HL150" t="s">
        <v>1364</v>
      </c>
      <c r="HM150" t="s">
        <v>1390</v>
      </c>
      <c r="IA150" t="s">
        <v>1307</v>
      </c>
      <c r="IQ150" t="s">
        <v>1365</v>
      </c>
      <c r="IS150" t="s">
        <v>1316</v>
      </c>
      <c r="JF150" t="s">
        <v>1331</v>
      </c>
      <c r="JG150" t="s">
        <v>1523</v>
      </c>
      <c r="JH150" t="s">
        <v>1309</v>
      </c>
      <c r="JI150" t="s">
        <v>1309</v>
      </c>
      <c r="JJ150" t="s">
        <v>1309</v>
      </c>
      <c r="JK150" t="s">
        <v>1310</v>
      </c>
      <c r="JL150" t="s">
        <v>1309</v>
      </c>
      <c r="JM150" t="s">
        <v>1309</v>
      </c>
      <c r="JN150" t="s">
        <v>1309</v>
      </c>
      <c r="JO150" t="s">
        <v>1309</v>
      </c>
      <c r="JQ150" s="92" t="s">
        <v>2061</v>
      </c>
      <c r="JR150" s="92" t="s">
        <v>2116</v>
      </c>
      <c r="JS150" s="92">
        <v>44</v>
      </c>
      <c r="JT150" s="92" t="s">
        <v>1319</v>
      </c>
      <c r="JU150" s="92" t="s">
        <v>1335</v>
      </c>
      <c r="JV150" s="92" t="s">
        <v>1526</v>
      </c>
      <c r="JW150" s="92" t="s">
        <v>1296</v>
      </c>
      <c r="JX150" s="92" t="s">
        <v>71</v>
      </c>
      <c r="JY150" s="92" t="s">
        <v>5549</v>
      </c>
      <c r="JZ150" s="92" t="s">
        <v>1337</v>
      </c>
      <c r="KA150" s="92" t="s">
        <v>4846</v>
      </c>
      <c r="KB150" s="92" t="s">
        <v>1415</v>
      </c>
      <c r="KC150" s="92" t="s">
        <v>109</v>
      </c>
      <c r="KD150" s="92" t="s">
        <v>4848</v>
      </c>
      <c r="KE150" s="92" t="s">
        <v>1340</v>
      </c>
      <c r="KF150" s="92">
        <v>1300</v>
      </c>
      <c r="KG150" s="92" t="s">
        <v>1340</v>
      </c>
      <c r="KH150" s="92" t="s">
        <v>192</v>
      </c>
      <c r="KI150" s="92" t="s">
        <v>109</v>
      </c>
      <c r="KJ150" s="92" t="s">
        <v>192</v>
      </c>
      <c r="KK150" s="92" t="s">
        <v>109</v>
      </c>
      <c r="KL150" s="92" t="s">
        <v>1440</v>
      </c>
      <c r="KM150" s="92">
        <v>1400</v>
      </c>
      <c r="KN150" s="92" t="s">
        <v>1340</v>
      </c>
      <c r="KO150" s="92" t="s">
        <v>1440</v>
      </c>
      <c r="KP150" s="92" t="s">
        <v>1375</v>
      </c>
      <c r="KQ150" s="92" t="s">
        <v>192</v>
      </c>
      <c r="KR150" s="92">
        <v>23</v>
      </c>
      <c r="KS150" s="92" t="s">
        <v>1343</v>
      </c>
      <c r="KT150" s="92" t="s">
        <v>1344</v>
      </c>
      <c r="KU150" s="92">
        <v>57</v>
      </c>
      <c r="KV150" s="92" t="s">
        <v>1441</v>
      </c>
      <c r="KW150" s="92" t="s">
        <v>1344</v>
      </c>
      <c r="KX150" s="92" t="s">
        <v>1376</v>
      </c>
      <c r="KY150" s="92" t="s">
        <v>1377</v>
      </c>
      <c r="KZ150" s="92" t="s">
        <v>5795</v>
      </c>
      <c r="LA150" s="92" t="s">
        <v>109</v>
      </c>
      <c r="LB150" s="92" t="s">
        <v>109</v>
      </c>
      <c r="LC150" s="92" t="s">
        <v>5566</v>
      </c>
      <c r="LD150" s="92" t="s">
        <v>5566</v>
      </c>
      <c r="LE150" s="92"/>
      <c r="LF150" s="92"/>
    </row>
    <row r="151" spans="1:318" x14ac:dyDescent="0.25">
      <c r="A151" t="s">
        <v>2126</v>
      </c>
      <c r="B151" t="s">
        <v>2127</v>
      </c>
      <c r="C151" t="s">
        <v>1304</v>
      </c>
      <c r="D151" t="s">
        <v>1305</v>
      </c>
      <c r="E151" t="s">
        <v>1306</v>
      </c>
      <c r="G151" t="s">
        <v>1307</v>
      </c>
      <c r="H151">
        <v>3</v>
      </c>
      <c r="I151" t="s">
        <v>1307</v>
      </c>
      <c r="J151" t="s">
        <v>1663</v>
      </c>
      <c r="K151" t="s">
        <v>1309</v>
      </c>
      <c r="L151" t="s">
        <v>1310</v>
      </c>
      <c r="M151" t="s">
        <v>1310</v>
      </c>
      <c r="N151" t="s">
        <v>1309</v>
      </c>
      <c r="O151" t="s">
        <v>1309</v>
      </c>
      <c r="P151" t="s">
        <v>1309</v>
      </c>
      <c r="Q151" t="s">
        <v>1309</v>
      </c>
      <c r="R151" t="s">
        <v>1309</v>
      </c>
      <c r="S151">
        <v>1</v>
      </c>
      <c r="T151">
        <v>2</v>
      </c>
      <c r="U151" t="s">
        <v>1311</v>
      </c>
      <c r="V151" t="s">
        <v>1312</v>
      </c>
      <c r="W151" t="s">
        <v>1311</v>
      </c>
      <c r="X151" t="s">
        <v>1312</v>
      </c>
      <c r="Y151" t="s">
        <v>1312</v>
      </c>
      <c r="Z151" t="s">
        <v>1312</v>
      </c>
      <c r="AC151">
        <v>2</v>
      </c>
      <c r="AD151">
        <v>10000</v>
      </c>
      <c r="AE151">
        <v>10000</v>
      </c>
      <c r="AF151" t="s">
        <v>1351</v>
      </c>
      <c r="AH151" t="s">
        <v>1352</v>
      </c>
      <c r="AJ151" t="s">
        <v>1353</v>
      </c>
      <c r="AL151" t="s">
        <v>1316</v>
      </c>
      <c r="BA151" t="s">
        <v>1354</v>
      </c>
      <c r="BS151" t="s">
        <v>1307</v>
      </c>
      <c r="CE151" t="s">
        <v>2128</v>
      </c>
      <c r="CF151" t="s">
        <v>1309</v>
      </c>
      <c r="CG151" t="s">
        <v>1309</v>
      </c>
      <c r="CH151" t="s">
        <v>1309</v>
      </c>
      <c r="CI151" t="s">
        <v>1309</v>
      </c>
      <c r="CJ151" t="s">
        <v>1309</v>
      </c>
      <c r="CK151" t="s">
        <v>1309</v>
      </c>
      <c r="CL151" t="s">
        <v>1310</v>
      </c>
      <c r="CM151" t="s">
        <v>1309</v>
      </c>
      <c r="CN151" t="s">
        <v>1310</v>
      </c>
      <c r="CO151" t="s">
        <v>1310</v>
      </c>
      <c r="CP151" t="s">
        <v>1309</v>
      </c>
      <c r="CQ151" t="s">
        <v>1309</v>
      </c>
      <c r="CR151" t="s">
        <v>1309</v>
      </c>
      <c r="CT151" t="s">
        <v>4436</v>
      </c>
      <c r="CV151" t="s">
        <v>1444</v>
      </c>
      <c r="CW151" t="s">
        <v>1309</v>
      </c>
      <c r="CX151" t="s">
        <v>1310</v>
      </c>
      <c r="CY151" t="s">
        <v>1309</v>
      </c>
      <c r="CZ151" t="s">
        <v>1309</v>
      </c>
      <c r="DA151" t="s">
        <v>1309</v>
      </c>
      <c r="DB151" t="s">
        <v>1309</v>
      </c>
      <c r="DC151" t="s">
        <v>1309</v>
      </c>
      <c r="DE151" t="s">
        <v>1358</v>
      </c>
      <c r="DG151">
        <v>500</v>
      </c>
      <c r="DI151">
        <v>550</v>
      </c>
      <c r="DJ151" t="s">
        <v>1358</v>
      </c>
      <c r="DK151">
        <v>900</v>
      </c>
      <c r="DM151">
        <v>800</v>
      </c>
      <c r="DN151" t="s">
        <v>1432</v>
      </c>
      <c r="DO151" t="s">
        <v>1310</v>
      </c>
      <c r="DP151" t="s">
        <v>1309</v>
      </c>
      <c r="DQ151" t="s">
        <v>1309</v>
      </c>
      <c r="DR151" t="s">
        <v>1310</v>
      </c>
      <c r="DS151" t="s">
        <v>1309</v>
      </c>
      <c r="DT151" t="s">
        <v>1310</v>
      </c>
      <c r="DU151" t="s">
        <v>1309</v>
      </c>
      <c r="DV151" t="s">
        <v>1309</v>
      </c>
      <c r="DW151" t="s">
        <v>1309</v>
      </c>
      <c r="DY151" t="s">
        <v>1481</v>
      </c>
      <c r="DZ151">
        <v>400</v>
      </c>
      <c r="EA151" t="s">
        <v>1386</v>
      </c>
      <c r="EC151" t="s">
        <v>1474</v>
      </c>
      <c r="ED151">
        <v>1000</v>
      </c>
      <c r="EE151" t="s">
        <v>1386</v>
      </c>
      <c r="EG151" t="s">
        <v>5356</v>
      </c>
      <c r="EI151" t="s">
        <v>1307</v>
      </c>
      <c r="ET151" t="s">
        <v>1544</v>
      </c>
      <c r="EV151" t="s">
        <v>1319</v>
      </c>
      <c r="EW151" t="s">
        <v>1529</v>
      </c>
      <c r="EX151" t="s">
        <v>1319</v>
      </c>
      <c r="EY151" t="s">
        <v>1319</v>
      </c>
      <c r="EZ151" t="s">
        <v>1307</v>
      </c>
      <c r="FA151" t="s">
        <v>2129</v>
      </c>
      <c r="FB151" t="s">
        <v>1309</v>
      </c>
      <c r="FC151" t="s">
        <v>1309</v>
      </c>
      <c r="FD151" t="s">
        <v>1309</v>
      </c>
      <c r="FE151" t="s">
        <v>1309</v>
      </c>
      <c r="FF151" t="s">
        <v>1310</v>
      </c>
      <c r="FG151" t="s">
        <v>1309</v>
      </c>
      <c r="FH151" t="s">
        <v>1310</v>
      </c>
      <c r="FI151" t="s">
        <v>1310</v>
      </c>
      <c r="FJ151" t="s">
        <v>1309</v>
      </c>
      <c r="FK151" t="s">
        <v>1309</v>
      </c>
      <c r="FL151" t="s">
        <v>1309</v>
      </c>
      <c r="FM151" t="s">
        <v>1310</v>
      </c>
      <c r="FN151" t="s">
        <v>1310</v>
      </c>
      <c r="FO151" t="s">
        <v>1310</v>
      </c>
      <c r="FP151" t="s">
        <v>1309</v>
      </c>
      <c r="FQ151" t="s">
        <v>1309</v>
      </c>
      <c r="FR151" t="s">
        <v>1309</v>
      </c>
      <c r="FT151" t="s">
        <v>1307</v>
      </c>
      <c r="GI151" t="s">
        <v>1324</v>
      </c>
      <c r="GJ151" t="s">
        <v>1324</v>
      </c>
      <c r="GT151" t="s">
        <v>1325</v>
      </c>
      <c r="GU151" t="s">
        <v>1310</v>
      </c>
      <c r="GV151" t="s">
        <v>1309</v>
      </c>
      <c r="GW151" t="s">
        <v>1309</v>
      </c>
      <c r="GX151" t="s">
        <v>1309</v>
      </c>
      <c r="GY151" t="s">
        <v>1309</v>
      </c>
      <c r="GZ151" t="s">
        <v>1309</v>
      </c>
      <c r="HA151" t="s">
        <v>1309</v>
      </c>
      <c r="HB151" t="s">
        <v>1309</v>
      </c>
      <c r="HC151" t="s">
        <v>1309</v>
      </c>
      <c r="HD151" t="s">
        <v>1309</v>
      </c>
      <c r="HE151" t="s">
        <v>1309</v>
      </c>
      <c r="HF151" t="s">
        <v>1309</v>
      </c>
      <c r="HH151" t="s">
        <v>1390</v>
      </c>
      <c r="HI151" t="s">
        <v>1327</v>
      </c>
      <c r="HJ151" t="s">
        <v>1390</v>
      </c>
      <c r="HK151" t="s">
        <v>1327</v>
      </c>
      <c r="HL151" t="s">
        <v>1328</v>
      </c>
      <c r="HM151" t="s">
        <v>1326</v>
      </c>
      <c r="HN151" t="s">
        <v>1698</v>
      </c>
      <c r="HO151" t="s">
        <v>1309</v>
      </c>
      <c r="HP151" t="s">
        <v>1309</v>
      </c>
      <c r="HQ151" t="s">
        <v>1309</v>
      </c>
      <c r="HR151" t="s">
        <v>1309</v>
      </c>
      <c r="HS151" t="s">
        <v>1309</v>
      </c>
      <c r="HT151" t="s">
        <v>1309</v>
      </c>
      <c r="HU151" t="s">
        <v>1309</v>
      </c>
      <c r="HV151" t="s">
        <v>1309</v>
      </c>
      <c r="HW151" t="s">
        <v>1310</v>
      </c>
      <c r="HX151" t="s">
        <v>1309</v>
      </c>
      <c r="HY151" t="s">
        <v>1309</v>
      </c>
      <c r="HZ151" t="s">
        <v>2041</v>
      </c>
      <c r="IA151" t="s">
        <v>1307</v>
      </c>
      <c r="IQ151" t="s">
        <v>1365</v>
      </c>
      <c r="IS151" t="s">
        <v>1316</v>
      </c>
      <c r="JF151" t="s">
        <v>1316</v>
      </c>
      <c r="JG151" t="s">
        <v>1523</v>
      </c>
      <c r="JH151" t="s">
        <v>1309</v>
      </c>
      <c r="JI151" t="s">
        <v>1309</v>
      </c>
      <c r="JJ151" t="s">
        <v>1309</v>
      </c>
      <c r="JK151" t="s">
        <v>1310</v>
      </c>
      <c r="JL151" t="s">
        <v>1309</v>
      </c>
      <c r="JM151" t="s">
        <v>1309</v>
      </c>
      <c r="JN151" t="s">
        <v>1309</v>
      </c>
      <c r="JO151" t="s">
        <v>1309</v>
      </c>
      <c r="JQ151" s="92" t="s">
        <v>2061</v>
      </c>
      <c r="JR151" s="92" t="s">
        <v>2116</v>
      </c>
      <c r="JS151" s="92">
        <v>64</v>
      </c>
      <c r="JT151" s="92" t="s">
        <v>1319</v>
      </c>
      <c r="JU151" s="92" t="s">
        <v>1335</v>
      </c>
      <c r="JV151" s="92" t="s">
        <v>1526</v>
      </c>
      <c r="JW151" s="92" t="s">
        <v>1296</v>
      </c>
      <c r="JX151" s="92" t="s">
        <v>71</v>
      </c>
      <c r="JY151" s="92" t="s">
        <v>5549</v>
      </c>
      <c r="JZ151" s="92" t="s">
        <v>1369</v>
      </c>
      <c r="KA151" s="92" t="s">
        <v>4845</v>
      </c>
      <c r="KB151" s="92" t="s">
        <v>5476</v>
      </c>
      <c r="KC151" s="92" t="s">
        <v>109</v>
      </c>
      <c r="KD151" s="92" t="s">
        <v>4847</v>
      </c>
      <c r="KE151" s="92" t="s">
        <v>1424</v>
      </c>
      <c r="KF151" s="92">
        <v>1050</v>
      </c>
      <c r="KG151" s="92" t="s">
        <v>1372</v>
      </c>
      <c r="KH151" s="92" t="s">
        <v>192</v>
      </c>
      <c r="KI151" s="92" t="s">
        <v>109</v>
      </c>
      <c r="KJ151" s="92" t="s">
        <v>192</v>
      </c>
      <c r="KK151" s="92" t="s">
        <v>109</v>
      </c>
      <c r="KL151" s="92" t="s">
        <v>1440</v>
      </c>
      <c r="KM151" s="92">
        <v>1700</v>
      </c>
      <c r="KN151" s="92" t="s">
        <v>4438</v>
      </c>
      <c r="KO151" s="92" t="s">
        <v>1440</v>
      </c>
      <c r="KP151" s="92" t="s">
        <v>1375</v>
      </c>
      <c r="KQ151" s="92" t="s">
        <v>192</v>
      </c>
      <c r="KR151" s="92"/>
      <c r="KS151" s="92" t="s">
        <v>1343</v>
      </c>
      <c r="KT151" s="92" t="s">
        <v>1402</v>
      </c>
      <c r="KU151" s="92"/>
      <c r="KV151" s="92" t="s">
        <v>1461</v>
      </c>
      <c r="KW151" s="92" t="s">
        <v>1402</v>
      </c>
      <c r="KX151" s="92" t="s">
        <v>1376</v>
      </c>
      <c r="KY151" s="92" t="s">
        <v>1377</v>
      </c>
      <c r="KZ151" s="92" t="s">
        <v>5795</v>
      </c>
      <c r="LA151" s="92" t="s">
        <v>109</v>
      </c>
      <c r="LB151" s="92" t="s">
        <v>109</v>
      </c>
      <c r="LC151" s="92" t="s">
        <v>1372</v>
      </c>
      <c r="LD151" s="92" t="s">
        <v>4438</v>
      </c>
      <c r="LE151" s="92" t="s">
        <v>192</v>
      </c>
      <c r="LF151" s="92" t="s">
        <v>192</v>
      </c>
    </row>
    <row r="152" spans="1:318" x14ac:dyDescent="0.25">
      <c r="A152" t="s">
        <v>2130</v>
      </c>
      <c r="B152" t="s">
        <v>2131</v>
      </c>
      <c r="C152" t="s">
        <v>1304</v>
      </c>
      <c r="D152" t="s">
        <v>1305</v>
      </c>
      <c r="E152" t="s">
        <v>1381</v>
      </c>
      <c r="G152" t="s">
        <v>1319</v>
      </c>
      <c r="H152">
        <v>4</v>
      </c>
      <c r="I152" t="s">
        <v>1358</v>
      </c>
      <c r="J152" t="s">
        <v>1511</v>
      </c>
      <c r="K152" t="s">
        <v>1309</v>
      </c>
      <c r="L152" t="s">
        <v>1310</v>
      </c>
      <c r="M152" t="s">
        <v>1309</v>
      </c>
      <c r="N152" t="s">
        <v>1310</v>
      </c>
      <c r="O152" t="s">
        <v>1309</v>
      </c>
      <c r="P152" t="s">
        <v>1309</v>
      </c>
      <c r="Q152" t="s">
        <v>1309</v>
      </c>
      <c r="R152" t="s">
        <v>1309</v>
      </c>
      <c r="S152">
        <v>2</v>
      </c>
      <c r="U152" t="s">
        <v>1486</v>
      </c>
      <c r="V152" t="s">
        <v>1312</v>
      </c>
      <c r="W152" t="s">
        <v>1312</v>
      </c>
      <c r="X152" t="s">
        <v>1311</v>
      </c>
      <c r="Y152" t="s">
        <v>1312</v>
      </c>
      <c r="Z152" t="s">
        <v>1312</v>
      </c>
      <c r="AA152">
        <v>0</v>
      </c>
      <c r="AC152">
        <v>1</v>
      </c>
      <c r="AD152">
        <v>10000</v>
      </c>
      <c r="AE152">
        <v>10000</v>
      </c>
      <c r="AF152" t="s">
        <v>1313</v>
      </c>
      <c r="AH152" t="s">
        <v>1314</v>
      </c>
      <c r="AJ152" t="s">
        <v>1315</v>
      </c>
      <c r="AL152" t="s">
        <v>1316</v>
      </c>
      <c r="BS152" t="s">
        <v>1307</v>
      </c>
      <c r="CE152" t="s">
        <v>1355</v>
      </c>
      <c r="CF152" t="s">
        <v>1309</v>
      </c>
      <c r="CG152" t="s">
        <v>1309</v>
      </c>
      <c r="CH152" t="s">
        <v>1309</v>
      </c>
      <c r="CI152" t="s">
        <v>1309</v>
      </c>
      <c r="CJ152" t="s">
        <v>1309</v>
      </c>
      <c r="CK152" t="s">
        <v>1309</v>
      </c>
      <c r="CL152" t="s">
        <v>1309</v>
      </c>
      <c r="CM152" t="s">
        <v>1309</v>
      </c>
      <c r="CN152" t="s">
        <v>1310</v>
      </c>
      <c r="CO152" t="s">
        <v>1309</v>
      </c>
      <c r="CP152" t="s">
        <v>1309</v>
      </c>
      <c r="CQ152" t="s">
        <v>1309</v>
      </c>
      <c r="CR152" t="s">
        <v>1309</v>
      </c>
      <c r="CT152" t="s">
        <v>4435</v>
      </c>
      <c r="CV152" t="s">
        <v>1308</v>
      </c>
      <c r="CW152" t="s">
        <v>1310</v>
      </c>
      <c r="CX152" t="s">
        <v>1309</v>
      </c>
      <c r="CY152" t="s">
        <v>1309</v>
      </c>
      <c r="CZ152" t="s">
        <v>1309</v>
      </c>
      <c r="DA152" t="s">
        <v>1309</v>
      </c>
      <c r="DB152" t="s">
        <v>1309</v>
      </c>
      <c r="DC152" t="s">
        <v>1309</v>
      </c>
      <c r="DE152" t="s">
        <v>1358</v>
      </c>
      <c r="DF152" t="s">
        <v>1319</v>
      </c>
      <c r="DG152">
        <v>500</v>
      </c>
      <c r="DH152">
        <v>500</v>
      </c>
      <c r="DI152">
        <v>1200</v>
      </c>
      <c r="DJ152" t="s">
        <v>1358</v>
      </c>
      <c r="DK152">
        <v>500</v>
      </c>
      <c r="DL152">
        <v>500</v>
      </c>
      <c r="DM152">
        <v>1200</v>
      </c>
      <c r="DN152" t="s">
        <v>1320</v>
      </c>
      <c r="DO152" t="s">
        <v>1310</v>
      </c>
      <c r="DP152" t="s">
        <v>1309</v>
      </c>
      <c r="DQ152" t="s">
        <v>1309</v>
      </c>
      <c r="DR152" t="s">
        <v>1309</v>
      </c>
      <c r="DS152" t="s">
        <v>1309</v>
      </c>
      <c r="DT152" t="s">
        <v>1310</v>
      </c>
      <c r="DU152" t="s">
        <v>1309</v>
      </c>
      <c r="DV152" t="s">
        <v>1309</v>
      </c>
      <c r="DW152" t="s">
        <v>1309</v>
      </c>
      <c r="DY152" t="s">
        <v>1359</v>
      </c>
      <c r="DZ152">
        <v>700</v>
      </c>
      <c r="EA152" t="s">
        <v>1319</v>
      </c>
      <c r="EC152" t="s">
        <v>1457</v>
      </c>
      <c r="ED152">
        <v>800</v>
      </c>
      <c r="EE152" t="s">
        <v>1319</v>
      </c>
      <c r="EG152" t="s">
        <v>5357</v>
      </c>
      <c r="ET152" t="s">
        <v>1307</v>
      </c>
      <c r="EV152" t="s">
        <v>1307</v>
      </c>
      <c r="EX152" t="s">
        <v>1319</v>
      </c>
      <c r="EY152" t="s">
        <v>1319</v>
      </c>
      <c r="FA152" t="s">
        <v>2132</v>
      </c>
      <c r="FB152" t="s">
        <v>1309</v>
      </c>
      <c r="FC152" t="s">
        <v>1309</v>
      </c>
      <c r="FD152" t="s">
        <v>1309</v>
      </c>
      <c r="FE152" t="s">
        <v>1309</v>
      </c>
      <c r="FF152" t="s">
        <v>1309</v>
      </c>
      <c r="FG152" t="s">
        <v>1309</v>
      </c>
      <c r="FH152" t="s">
        <v>1310</v>
      </c>
      <c r="FI152" t="s">
        <v>1310</v>
      </c>
      <c r="FJ152" t="s">
        <v>1310</v>
      </c>
      <c r="FK152" t="s">
        <v>1309</v>
      </c>
      <c r="FL152" t="s">
        <v>1309</v>
      </c>
      <c r="FM152" t="s">
        <v>1309</v>
      </c>
      <c r="FN152" t="s">
        <v>1309</v>
      </c>
      <c r="FO152" t="s">
        <v>1309</v>
      </c>
      <c r="FP152" t="s">
        <v>1309</v>
      </c>
      <c r="FQ152" t="s">
        <v>1309</v>
      </c>
      <c r="FR152" t="s">
        <v>1309</v>
      </c>
      <c r="FT152" t="s">
        <v>1319</v>
      </c>
      <c r="FU152" t="s">
        <v>1649</v>
      </c>
      <c r="FV152" t="s">
        <v>1310</v>
      </c>
      <c r="FW152" t="s">
        <v>1310</v>
      </c>
      <c r="FX152" t="s">
        <v>1309</v>
      </c>
      <c r="FY152" t="s">
        <v>1309</v>
      </c>
      <c r="FZ152" t="s">
        <v>1309</v>
      </c>
      <c r="GA152" t="s">
        <v>1309</v>
      </c>
      <c r="GB152" t="s">
        <v>1309</v>
      </c>
      <c r="GC152" t="s">
        <v>1309</v>
      </c>
      <c r="GD152" t="s">
        <v>1309</v>
      </c>
      <c r="GE152" t="s">
        <v>1309</v>
      </c>
      <c r="GF152" t="s">
        <v>1309</v>
      </c>
      <c r="GG152" t="s">
        <v>1309</v>
      </c>
      <c r="GI152" t="s">
        <v>1448</v>
      </c>
      <c r="GJ152" t="s">
        <v>1448</v>
      </c>
      <c r="GT152" t="s">
        <v>1325</v>
      </c>
      <c r="GU152" t="s">
        <v>1310</v>
      </c>
      <c r="GV152" t="s">
        <v>1309</v>
      </c>
      <c r="GW152" t="s">
        <v>1309</v>
      </c>
      <c r="GX152" t="s">
        <v>1309</v>
      </c>
      <c r="GY152" t="s">
        <v>1309</v>
      </c>
      <c r="GZ152" t="s">
        <v>1309</v>
      </c>
      <c r="HA152" t="s">
        <v>1309</v>
      </c>
      <c r="HB152" t="s">
        <v>1309</v>
      </c>
      <c r="HC152" t="s">
        <v>1309</v>
      </c>
      <c r="HD152" t="s">
        <v>1309</v>
      </c>
      <c r="HE152" t="s">
        <v>1309</v>
      </c>
      <c r="HF152" t="s">
        <v>1309</v>
      </c>
      <c r="HH152" t="s">
        <v>1390</v>
      </c>
      <c r="HI152" t="s">
        <v>1390</v>
      </c>
      <c r="HJ152" t="s">
        <v>1390</v>
      </c>
      <c r="HK152" t="s">
        <v>1327</v>
      </c>
      <c r="HL152" t="s">
        <v>1328</v>
      </c>
      <c r="HM152" t="s">
        <v>1326</v>
      </c>
      <c r="HN152" t="s">
        <v>1549</v>
      </c>
      <c r="HO152" t="s">
        <v>1310</v>
      </c>
      <c r="HP152" t="s">
        <v>1310</v>
      </c>
      <c r="HQ152" t="s">
        <v>1309</v>
      </c>
      <c r="HR152" t="s">
        <v>1309</v>
      </c>
      <c r="HS152" t="s">
        <v>1309</v>
      </c>
      <c r="HT152" t="s">
        <v>1309</v>
      </c>
      <c r="HU152" t="s">
        <v>1309</v>
      </c>
      <c r="HV152" t="s">
        <v>1309</v>
      </c>
      <c r="HW152" t="s">
        <v>1309</v>
      </c>
      <c r="HX152" t="s">
        <v>1309</v>
      </c>
      <c r="HY152" t="s">
        <v>1309</v>
      </c>
      <c r="IA152" t="s">
        <v>1307</v>
      </c>
      <c r="IQ152" t="s">
        <v>1308</v>
      </c>
      <c r="IS152" t="s">
        <v>1331</v>
      </c>
      <c r="JF152" t="s">
        <v>1316</v>
      </c>
      <c r="JG152" t="s">
        <v>1393</v>
      </c>
      <c r="JH152" t="s">
        <v>1310</v>
      </c>
      <c r="JI152" t="s">
        <v>1309</v>
      </c>
      <c r="JJ152" t="s">
        <v>1309</v>
      </c>
      <c r="JK152" t="s">
        <v>1309</v>
      </c>
      <c r="JL152" t="s">
        <v>1309</v>
      </c>
      <c r="JM152" t="s">
        <v>1309</v>
      </c>
      <c r="JN152" t="s">
        <v>1309</v>
      </c>
      <c r="JO152" t="s">
        <v>1309</v>
      </c>
      <c r="JQ152" s="92" t="s">
        <v>1333</v>
      </c>
      <c r="JR152" s="92" t="s">
        <v>1334</v>
      </c>
      <c r="JS152" s="92">
        <v>32</v>
      </c>
      <c r="JT152" s="92" t="s">
        <v>1319</v>
      </c>
      <c r="JU152" s="92" t="s">
        <v>1396</v>
      </c>
      <c r="JV152" s="92" t="s">
        <v>1336</v>
      </c>
      <c r="JW152" s="92" t="s">
        <v>1296</v>
      </c>
      <c r="JX152" s="92" t="s">
        <v>71</v>
      </c>
      <c r="JY152" s="92" t="s">
        <v>1397</v>
      </c>
      <c r="JZ152" s="92" t="s">
        <v>1398</v>
      </c>
      <c r="KA152" s="92" t="s">
        <v>4845</v>
      </c>
      <c r="KB152" s="92" t="s">
        <v>1415</v>
      </c>
      <c r="KC152" s="92" t="s">
        <v>192</v>
      </c>
      <c r="KD152" s="92" t="s">
        <v>4844</v>
      </c>
      <c r="KE152" s="92" t="s">
        <v>1424</v>
      </c>
      <c r="KF152" s="92">
        <v>2200</v>
      </c>
      <c r="KG152" s="92" t="s">
        <v>4438</v>
      </c>
      <c r="KH152" s="92" t="s">
        <v>192</v>
      </c>
      <c r="KI152" s="92" t="s">
        <v>192</v>
      </c>
      <c r="KJ152" s="92" t="s">
        <v>192</v>
      </c>
      <c r="KK152" s="92" t="s">
        <v>192</v>
      </c>
      <c r="KL152" s="92" t="s">
        <v>1425</v>
      </c>
      <c r="KM152" s="92">
        <v>2200</v>
      </c>
      <c r="KN152" s="92" t="s">
        <v>4438</v>
      </c>
      <c r="KO152" s="92" t="s">
        <v>1425</v>
      </c>
      <c r="KP152" s="92" t="s">
        <v>1342</v>
      </c>
      <c r="KQ152" s="92" t="s">
        <v>192</v>
      </c>
      <c r="KR152" s="92">
        <v>32</v>
      </c>
      <c r="KS152" s="92" t="s">
        <v>1466</v>
      </c>
      <c r="KT152" s="92" t="s">
        <v>1344</v>
      </c>
      <c r="KU152" s="92">
        <v>36</v>
      </c>
      <c r="KV152" s="92" t="s">
        <v>1441</v>
      </c>
      <c r="KW152" s="92" t="s">
        <v>1344</v>
      </c>
      <c r="KX152" s="92" t="s">
        <v>1376</v>
      </c>
      <c r="KY152" s="92" t="s">
        <v>1377</v>
      </c>
      <c r="KZ152" s="92" t="s">
        <v>1403</v>
      </c>
      <c r="LA152" s="92" t="s">
        <v>109</v>
      </c>
      <c r="LB152" s="92" t="s">
        <v>109</v>
      </c>
      <c r="LC152" s="92" t="s">
        <v>4438</v>
      </c>
      <c r="LD152" s="92" t="s">
        <v>4438</v>
      </c>
      <c r="LE152" s="92" t="s">
        <v>192</v>
      </c>
      <c r="LF152" s="92" t="s">
        <v>192</v>
      </c>
    </row>
    <row r="153" spans="1:318" x14ac:dyDescent="0.25">
      <c r="A153" t="s">
        <v>2133</v>
      </c>
      <c r="B153" t="s">
        <v>2134</v>
      </c>
      <c r="C153" t="s">
        <v>1304</v>
      </c>
      <c r="D153" t="s">
        <v>1429</v>
      </c>
      <c r="E153" t="s">
        <v>1306</v>
      </c>
      <c r="G153" t="s">
        <v>1307</v>
      </c>
      <c r="H153">
        <v>1</v>
      </c>
      <c r="J153" t="s">
        <v>1308</v>
      </c>
      <c r="K153" t="s">
        <v>1309</v>
      </c>
      <c r="L153" t="s">
        <v>1309</v>
      </c>
      <c r="M153" t="s">
        <v>1309</v>
      </c>
      <c r="N153" t="s">
        <v>1309</v>
      </c>
      <c r="O153" t="s">
        <v>1309</v>
      </c>
      <c r="P153" t="s">
        <v>1309</v>
      </c>
      <c r="Q153" t="s">
        <v>1310</v>
      </c>
      <c r="R153" t="s">
        <v>1309</v>
      </c>
      <c r="U153" t="s">
        <v>1312</v>
      </c>
      <c r="V153" t="s">
        <v>1312</v>
      </c>
      <c r="W153" t="s">
        <v>1311</v>
      </c>
      <c r="X153" t="s">
        <v>1312</v>
      </c>
      <c r="Y153" t="s">
        <v>1311</v>
      </c>
      <c r="Z153" t="s">
        <v>1312</v>
      </c>
      <c r="AC153">
        <v>1</v>
      </c>
      <c r="AD153">
        <v>4000</v>
      </c>
      <c r="AE153">
        <v>3500</v>
      </c>
      <c r="AF153" t="s">
        <v>1313</v>
      </c>
      <c r="AH153" t="s">
        <v>1383</v>
      </c>
      <c r="AJ153" t="s">
        <v>1315</v>
      </c>
      <c r="AL153" t="s">
        <v>1316</v>
      </c>
      <c r="BS153" t="s">
        <v>1319</v>
      </c>
      <c r="BT153" t="s">
        <v>1604</v>
      </c>
      <c r="BU153" t="s">
        <v>1309</v>
      </c>
      <c r="BV153" t="s">
        <v>1309</v>
      </c>
      <c r="BW153" t="s">
        <v>1309</v>
      </c>
      <c r="BX153" t="s">
        <v>1309</v>
      </c>
      <c r="BY153" t="s">
        <v>1310</v>
      </c>
      <c r="BZ153" t="s">
        <v>1309</v>
      </c>
      <c r="CA153" t="s">
        <v>1309</v>
      </c>
      <c r="CB153" t="s">
        <v>1309</v>
      </c>
      <c r="CC153" t="s">
        <v>1309</v>
      </c>
      <c r="CE153" t="s">
        <v>2135</v>
      </c>
      <c r="CF153" t="s">
        <v>1309</v>
      </c>
      <c r="CG153" t="s">
        <v>1309</v>
      </c>
      <c r="CH153" t="s">
        <v>1309</v>
      </c>
      <c r="CI153" t="s">
        <v>1309</v>
      </c>
      <c r="CJ153" t="s">
        <v>1309</v>
      </c>
      <c r="CK153" t="s">
        <v>1310</v>
      </c>
      <c r="CL153" t="s">
        <v>1309</v>
      </c>
      <c r="CM153" t="s">
        <v>1309</v>
      </c>
      <c r="CN153" t="s">
        <v>1309</v>
      </c>
      <c r="CO153" t="s">
        <v>1309</v>
      </c>
      <c r="CP153" t="s">
        <v>1309</v>
      </c>
      <c r="CQ153" t="s">
        <v>1309</v>
      </c>
      <c r="CR153" t="s">
        <v>1309</v>
      </c>
      <c r="CT153" t="s">
        <v>4434</v>
      </c>
      <c r="CV153" t="s">
        <v>1308</v>
      </c>
      <c r="CW153" t="s">
        <v>1310</v>
      </c>
      <c r="CX153" t="s">
        <v>1309</v>
      </c>
      <c r="CY153" t="s">
        <v>1309</v>
      </c>
      <c r="CZ153" t="s">
        <v>1309</v>
      </c>
      <c r="DA153" t="s">
        <v>1309</v>
      </c>
      <c r="DB153" t="s">
        <v>1309</v>
      </c>
      <c r="DC153" t="s">
        <v>1309</v>
      </c>
      <c r="DE153" t="s">
        <v>1358</v>
      </c>
      <c r="DG153">
        <v>600</v>
      </c>
      <c r="DI153">
        <v>200</v>
      </c>
      <c r="DJ153" t="s">
        <v>1358</v>
      </c>
      <c r="DK153">
        <v>1200</v>
      </c>
      <c r="DM153">
        <v>200</v>
      </c>
      <c r="DN153" t="s">
        <v>1320</v>
      </c>
      <c r="DO153" t="s">
        <v>1310</v>
      </c>
      <c r="DP153" t="s">
        <v>1309</v>
      </c>
      <c r="DQ153" t="s">
        <v>1309</v>
      </c>
      <c r="DR153" t="s">
        <v>1309</v>
      </c>
      <c r="DS153" t="s">
        <v>1309</v>
      </c>
      <c r="DT153" t="s">
        <v>1310</v>
      </c>
      <c r="DU153" t="s">
        <v>1309</v>
      </c>
      <c r="DV153" t="s">
        <v>1309</v>
      </c>
      <c r="DW153" t="s">
        <v>1309</v>
      </c>
      <c r="DY153" t="s">
        <v>1456</v>
      </c>
      <c r="DZ153">
        <v>330</v>
      </c>
      <c r="EA153" t="s">
        <v>1319</v>
      </c>
      <c r="EC153" t="s">
        <v>1457</v>
      </c>
      <c r="ED153">
        <v>1500</v>
      </c>
      <c r="EE153" t="s">
        <v>1319</v>
      </c>
      <c r="EG153" t="s">
        <v>5357</v>
      </c>
      <c r="ET153" t="s">
        <v>1307</v>
      </c>
      <c r="EV153" t="s">
        <v>1307</v>
      </c>
      <c r="EX153" t="s">
        <v>1319</v>
      </c>
      <c r="EY153" t="s">
        <v>1319</v>
      </c>
      <c r="FA153" t="s">
        <v>2136</v>
      </c>
      <c r="FB153" t="s">
        <v>1309</v>
      </c>
      <c r="FC153" t="s">
        <v>1309</v>
      </c>
      <c r="FD153" t="s">
        <v>1309</v>
      </c>
      <c r="FE153" t="s">
        <v>1309</v>
      </c>
      <c r="FF153" t="s">
        <v>1309</v>
      </c>
      <c r="FG153" t="s">
        <v>1309</v>
      </c>
      <c r="FH153" t="s">
        <v>1310</v>
      </c>
      <c r="FI153" t="s">
        <v>1310</v>
      </c>
      <c r="FJ153" t="s">
        <v>1309</v>
      </c>
      <c r="FK153" t="s">
        <v>1309</v>
      </c>
      <c r="FL153" t="s">
        <v>1309</v>
      </c>
      <c r="FM153" t="s">
        <v>1309</v>
      </c>
      <c r="FN153" t="s">
        <v>1310</v>
      </c>
      <c r="FO153" t="s">
        <v>1309</v>
      </c>
      <c r="FP153" t="s">
        <v>1309</v>
      </c>
      <c r="FQ153" t="s">
        <v>1309</v>
      </c>
      <c r="FR153" t="s">
        <v>1309</v>
      </c>
      <c r="FT153" t="s">
        <v>1319</v>
      </c>
      <c r="FU153" t="s">
        <v>1649</v>
      </c>
      <c r="FV153" t="s">
        <v>1310</v>
      </c>
      <c r="FW153" t="s">
        <v>1310</v>
      </c>
      <c r="FX153" t="s">
        <v>1309</v>
      </c>
      <c r="FY153" t="s">
        <v>1309</v>
      </c>
      <c r="FZ153" t="s">
        <v>1309</v>
      </c>
      <c r="GA153" t="s">
        <v>1309</v>
      </c>
      <c r="GB153" t="s">
        <v>1309</v>
      </c>
      <c r="GC153" t="s">
        <v>1309</v>
      </c>
      <c r="GD153" t="s">
        <v>1309</v>
      </c>
      <c r="GE153" t="s">
        <v>1309</v>
      </c>
      <c r="GF153" t="s">
        <v>1309</v>
      </c>
      <c r="GG153" t="s">
        <v>1309</v>
      </c>
      <c r="GI153" t="s">
        <v>1324</v>
      </c>
      <c r="GJ153" t="s">
        <v>1324</v>
      </c>
      <c r="GT153" t="s">
        <v>1325</v>
      </c>
      <c r="GU153" t="s">
        <v>1310</v>
      </c>
      <c r="GV153" t="s">
        <v>1309</v>
      </c>
      <c r="GW153" t="s">
        <v>1309</v>
      </c>
      <c r="GX153" t="s">
        <v>1309</v>
      </c>
      <c r="GY153" t="s">
        <v>1309</v>
      </c>
      <c r="GZ153" t="s">
        <v>1309</v>
      </c>
      <c r="HA153" t="s">
        <v>1309</v>
      </c>
      <c r="HB153" t="s">
        <v>1309</v>
      </c>
      <c r="HC153" t="s">
        <v>1309</v>
      </c>
      <c r="HD153" t="s">
        <v>1309</v>
      </c>
      <c r="HE153" t="s">
        <v>1309</v>
      </c>
      <c r="HF153" t="s">
        <v>1309</v>
      </c>
      <c r="HH153" t="s">
        <v>1390</v>
      </c>
      <c r="HI153" t="s">
        <v>1390</v>
      </c>
      <c r="HJ153" t="s">
        <v>1363</v>
      </c>
      <c r="HK153" t="s">
        <v>1363</v>
      </c>
      <c r="HL153" t="s">
        <v>1692</v>
      </c>
      <c r="HM153" t="s">
        <v>1390</v>
      </c>
      <c r="HN153" t="s">
        <v>1549</v>
      </c>
      <c r="HO153" t="s">
        <v>1310</v>
      </c>
      <c r="HP153" t="s">
        <v>1310</v>
      </c>
      <c r="HQ153" t="s">
        <v>1309</v>
      </c>
      <c r="HR153" t="s">
        <v>1309</v>
      </c>
      <c r="HS153" t="s">
        <v>1309</v>
      </c>
      <c r="HT153" t="s">
        <v>1309</v>
      </c>
      <c r="HU153" t="s">
        <v>1309</v>
      </c>
      <c r="HV153" t="s">
        <v>1309</v>
      </c>
      <c r="HW153" t="s">
        <v>1309</v>
      </c>
      <c r="HX153" t="s">
        <v>1309</v>
      </c>
      <c r="HY153" t="s">
        <v>1309</v>
      </c>
      <c r="IA153" t="s">
        <v>1319</v>
      </c>
      <c r="IB153" t="s">
        <v>1579</v>
      </c>
      <c r="IC153" t="s">
        <v>1309</v>
      </c>
      <c r="ID153" t="s">
        <v>1309</v>
      </c>
      <c r="IE153" t="s">
        <v>1309</v>
      </c>
      <c r="IF153" t="s">
        <v>1309</v>
      </c>
      <c r="IG153" t="s">
        <v>1310</v>
      </c>
      <c r="IH153" t="s">
        <v>1309</v>
      </c>
      <c r="II153" t="s">
        <v>1309</v>
      </c>
      <c r="IJ153" t="s">
        <v>1309</v>
      </c>
      <c r="IK153" t="s">
        <v>1310</v>
      </c>
      <c r="IL153" t="s">
        <v>1309</v>
      </c>
      <c r="IM153" t="s">
        <v>1309</v>
      </c>
      <c r="IN153" t="s">
        <v>1309</v>
      </c>
      <c r="IO153" t="s">
        <v>1309</v>
      </c>
      <c r="IQ153" t="s">
        <v>1308</v>
      </c>
      <c r="IS153" t="s">
        <v>1354</v>
      </c>
      <c r="JF153" t="s">
        <v>1354</v>
      </c>
      <c r="JG153" t="s">
        <v>1523</v>
      </c>
      <c r="JH153" t="s">
        <v>1309</v>
      </c>
      <c r="JI153" t="s">
        <v>1309</v>
      </c>
      <c r="JJ153" t="s">
        <v>1309</v>
      </c>
      <c r="JK153" t="s">
        <v>1310</v>
      </c>
      <c r="JL153" t="s">
        <v>1309</v>
      </c>
      <c r="JM153" t="s">
        <v>1309</v>
      </c>
      <c r="JN153" t="s">
        <v>1309</v>
      </c>
      <c r="JO153" t="s">
        <v>1309</v>
      </c>
      <c r="JQ153" s="92" t="s">
        <v>1733</v>
      </c>
      <c r="JR153" s="92" t="s">
        <v>1734</v>
      </c>
      <c r="JS153" s="92">
        <v>34</v>
      </c>
      <c r="JT153" s="92" t="s">
        <v>1319</v>
      </c>
      <c r="JU153" s="92" t="s">
        <v>1396</v>
      </c>
      <c r="JV153" s="92" t="s">
        <v>1368</v>
      </c>
      <c r="JW153" s="92" t="s">
        <v>1296</v>
      </c>
      <c r="JX153" s="92" t="s">
        <v>71</v>
      </c>
      <c r="JY153" s="92" t="s">
        <v>5549</v>
      </c>
      <c r="JZ153" s="92" t="s">
        <v>1398</v>
      </c>
      <c r="KA153" s="92" t="s">
        <v>4844</v>
      </c>
      <c r="KB153" s="92" t="s">
        <v>1338</v>
      </c>
      <c r="KC153" s="92" t="s">
        <v>109</v>
      </c>
      <c r="KD153" s="92" t="s">
        <v>4844</v>
      </c>
      <c r="KE153" s="92" t="s">
        <v>5560</v>
      </c>
      <c r="KF153" s="92">
        <v>800</v>
      </c>
      <c r="KG153" s="92" t="s">
        <v>4438</v>
      </c>
      <c r="KH153" s="92" t="s">
        <v>192</v>
      </c>
      <c r="KI153" s="92" t="s">
        <v>109</v>
      </c>
      <c r="KJ153" s="92" t="s">
        <v>192</v>
      </c>
      <c r="KK153" s="92" t="s">
        <v>109</v>
      </c>
      <c r="KL153" s="92" t="s">
        <v>1374</v>
      </c>
      <c r="KM153" s="92">
        <v>1400</v>
      </c>
      <c r="KN153" s="92" t="s">
        <v>4439</v>
      </c>
      <c r="KO153" s="92" t="s">
        <v>1440</v>
      </c>
      <c r="KP153" s="92" t="s">
        <v>1460</v>
      </c>
      <c r="KQ153" s="92" t="s">
        <v>192</v>
      </c>
      <c r="KR153" s="92">
        <v>41</v>
      </c>
      <c r="KS153" s="92" t="s">
        <v>1343</v>
      </c>
      <c r="KT153" s="92" t="s">
        <v>1344</v>
      </c>
      <c r="KU153" s="92">
        <v>107</v>
      </c>
      <c r="KV153" s="92" t="s">
        <v>1461</v>
      </c>
      <c r="KW153" s="92" t="s">
        <v>1344</v>
      </c>
      <c r="KX153" s="92" t="s">
        <v>1376</v>
      </c>
      <c r="KY153" s="92" t="s">
        <v>1377</v>
      </c>
      <c r="KZ153" s="92" t="s">
        <v>5795</v>
      </c>
      <c r="LA153" s="92" t="s">
        <v>109</v>
      </c>
      <c r="LB153" s="92" t="s">
        <v>109</v>
      </c>
      <c r="LC153" s="92" t="s">
        <v>4438</v>
      </c>
      <c r="LD153" s="92" t="s">
        <v>4439</v>
      </c>
      <c r="LE153" s="92" t="s">
        <v>192</v>
      </c>
      <c r="LF153" s="92" t="s">
        <v>192</v>
      </c>
    </row>
    <row r="154" spans="1:318" x14ac:dyDescent="0.25">
      <c r="A154" t="s">
        <v>2137</v>
      </c>
      <c r="B154" t="s">
        <v>2138</v>
      </c>
      <c r="C154" t="s">
        <v>1304</v>
      </c>
      <c r="D154" t="s">
        <v>1305</v>
      </c>
      <c r="E154" t="s">
        <v>1381</v>
      </c>
      <c r="G154" t="s">
        <v>1319</v>
      </c>
      <c r="H154">
        <v>2</v>
      </c>
      <c r="I154" t="s">
        <v>2096</v>
      </c>
      <c r="J154" t="s">
        <v>1382</v>
      </c>
      <c r="K154" t="s">
        <v>1309</v>
      </c>
      <c r="L154" t="s">
        <v>1310</v>
      </c>
      <c r="M154" t="s">
        <v>1309</v>
      </c>
      <c r="N154" t="s">
        <v>1309</v>
      </c>
      <c r="O154" t="s">
        <v>1309</v>
      </c>
      <c r="P154" t="s">
        <v>1310</v>
      </c>
      <c r="Q154" t="s">
        <v>1309</v>
      </c>
      <c r="R154" t="s">
        <v>1309</v>
      </c>
      <c r="S154">
        <v>1</v>
      </c>
      <c r="U154" t="s">
        <v>1312</v>
      </c>
      <c r="V154" t="s">
        <v>1312</v>
      </c>
      <c r="W154" t="s">
        <v>1312</v>
      </c>
      <c r="X154" t="s">
        <v>1312</v>
      </c>
      <c r="Y154" t="s">
        <v>1312</v>
      </c>
      <c r="Z154" t="s">
        <v>1312</v>
      </c>
      <c r="AC154">
        <v>0</v>
      </c>
      <c r="AE154">
        <v>4000</v>
      </c>
      <c r="AF154" t="s">
        <v>1313</v>
      </c>
      <c r="AH154" t="s">
        <v>1383</v>
      </c>
      <c r="AJ154" t="s">
        <v>1315</v>
      </c>
      <c r="AL154" t="s">
        <v>1354</v>
      </c>
      <c r="BS154" t="s">
        <v>1307</v>
      </c>
      <c r="CE154" t="s">
        <v>1414</v>
      </c>
      <c r="CF154" t="s">
        <v>1309</v>
      </c>
      <c r="CG154" t="s">
        <v>1309</v>
      </c>
      <c r="CH154" t="s">
        <v>1309</v>
      </c>
      <c r="CI154" t="s">
        <v>1309</v>
      </c>
      <c r="CJ154" t="s">
        <v>1309</v>
      </c>
      <c r="CK154" t="s">
        <v>1309</v>
      </c>
      <c r="CL154" t="s">
        <v>1309</v>
      </c>
      <c r="CM154" t="s">
        <v>1309</v>
      </c>
      <c r="CN154" t="s">
        <v>1309</v>
      </c>
      <c r="CO154" t="s">
        <v>1309</v>
      </c>
      <c r="CP154" t="s">
        <v>1309</v>
      </c>
      <c r="CQ154" t="s">
        <v>1310</v>
      </c>
      <c r="CR154" t="s">
        <v>1309</v>
      </c>
      <c r="CT154" t="s">
        <v>4435</v>
      </c>
      <c r="CV154" t="s">
        <v>1308</v>
      </c>
      <c r="CW154" t="s">
        <v>1310</v>
      </c>
      <c r="CX154" t="s">
        <v>1309</v>
      </c>
      <c r="CY154" t="s">
        <v>1309</v>
      </c>
      <c r="CZ154" t="s">
        <v>1309</v>
      </c>
      <c r="DA154" t="s">
        <v>1309</v>
      </c>
      <c r="DB154" t="s">
        <v>1309</v>
      </c>
      <c r="DC154" t="s">
        <v>1309</v>
      </c>
      <c r="DE154" t="s">
        <v>1358</v>
      </c>
      <c r="DF154" t="s">
        <v>1319</v>
      </c>
      <c r="DG154">
        <v>150</v>
      </c>
      <c r="DH154">
        <v>1500</v>
      </c>
      <c r="DI154">
        <v>400</v>
      </c>
      <c r="DJ154" t="s">
        <v>1358</v>
      </c>
      <c r="DK154">
        <v>150</v>
      </c>
      <c r="DL154">
        <v>1500</v>
      </c>
      <c r="DM154">
        <v>400</v>
      </c>
      <c r="DN154" t="s">
        <v>1385</v>
      </c>
      <c r="DO154" t="s">
        <v>1309</v>
      </c>
      <c r="DP154" t="s">
        <v>1309</v>
      </c>
      <c r="DQ154" t="s">
        <v>1309</v>
      </c>
      <c r="DR154" t="s">
        <v>1310</v>
      </c>
      <c r="DS154" t="s">
        <v>1309</v>
      </c>
      <c r="DT154" t="s">
        <v>1310</v>
      </c>
      <c r="DU154" t="s">
        <v>1309</v>
      </c>
      <c r="DV154" t="s">
        <v>1309</v>
      </c>
      <c r="DW154" t="s">
        <v>1309</v>
      </c>
      <c r="DY154" t="s">
        <v>1456</v>
      </c>
      <c r="DZ154">
        <v>800</v>
      </c>
      <c r="EA154" t="s">
        <v>1319</v>
      </c>
      <c r="EC154" t="s">
        <v>1457</v>
      </c>
      <c r="ED154">
        <v>800</v>
      </c>
      <c r="EE154" t="s">
        <v>1319</v>
      </c>
      <c r="EG154" t="s">
        <v>5356</v>
      </c>
      <c r="EI154" t="s">
        <v>1307</v>
      </c>
      <c r="ET154" t="s">
        <v>1307</v>
      </c>
      <c r="EV154" t="s">
        <v>1307</v>
      </c>
      <c r="EX154" t="s">
        <v>1319</v>
      </c>
      <c r="EY154" t="s">
        <v>1319</v>
      </c>
      <c r="FA154" t="s">
        <v>2139</v>
      </c>
      <c r="FB154" t="s">
        <v>1309</v>
      </c>
      <c r="FC154" t="s">
        <v>1309</v>
      </c>
      <c r="FD154" t="s">
        <v>1309</v>
      </c>
      <c r="FE154" t="s">
        <v>1309</v>
      </c>
      <c r="FF154" t="s">
        <v>1309</v>
      </c>
      <c r="FG154" t="s">
        <v>1310</v>
      </c>
      <c r="FH154" t="s">
        <v>1310</v>
      </c>
      <c r="FI154" t="s">
        <v>1309</v>
      </c>
      <c r="FJ154" t="s">
        <v>1310</v>
      </c>
      <c r="FK154" t="s">
        <v>1309</v>
      </c>
      <c r="FL154" t="s">
        <v>1309</v>
      </c>
      <c r="FM154" t="s">
        <v>1309</v>
      </c>
      <c r="FN154" t="s">
        <v>1309</v>
      </c>
      <c r="FO154" t="s">
        <v>1309</v>
      </c>
      <c r="FP154" t="s">
        <v>1309</v>
      </c>
      <c r="FQ154" t="s">
        <v>1309</v>
      </c>
      <c r="FR154" t="s">
        <v>1309</v>
      </c>
      <c r="FT154" t="s">
        <v>1319</v>
      </c>
      <c r="FU154" t="s">
        <v>1435</v>
      </c>
      <c r="FV154" t="s">
        <v>1310</v>
      </c>
      <c r="FW154" t="s">
        <v>1309</v>
      </c>
      <c r="FX154" t="s">
        <v>1309</v>
      </c>
      <c r="FY154" t="s">
        <v>1309</v>
      </c>
      <c r="FZ154" t="s">
        <v>1309</v>
      </c>
      <c r="GA154" t="s">
        <v>1309</v>
      </c>
      <c r="GB154" t="s">
        <v>1309</v>
      </c>
      <c r="GC154" t="s">
        <v>1309</v>
      </c>
      <c r="GD154" t="s">
        <v>1309</v>
      </c>
      <c r="GE154" t="s">
        <v>1309</v>
      </c>
      <c r="GF154" t="s">
        <v>1309</v>
      </c>
      <c r="GG154" t="s">
        <v>1309</v>
      </c>
      <c r="GI154" t="s">
        <v>1324</v>
      </c>
      <c r="GJ154" t="s">
        <v>1324</v>
      </c>
      <c r="GT154" t="s">
        <v>1325</v>
      </c>
      <c r="GU154" t="s">
        <v>1310</v>
      </c>
      <c r="GV154" t="s">
        <v>1309</v>
      </c>
      <c r="GW154" t="s">
        <v>1309</v>
      </c>
      <c r="GX154" t="s">
        <v>1309</v>
      </c>
      <c r="GY154" t="s">
        <v>1309</v>
      </c>
      <c r="GZ154" t="s">
        <v>1309</v>
      </c>
      <c r="HA154" t="s">
        <v>1309</v>
      </c>
      <c r="HB154" t="s">
        <v>1309</v>
      </c>
      <c r="HC154" t="s">
        <v>1309</v>
      </c>
      <c r="HD154" t="s">
        <v>1309</v>
      </c>
      <c r="HE154" t="s">
        <v>1309</v>
      </c>
      <c r="HF154" t="s">
        <v>1309</v>
      </c>
      <c r="HH154" t="s">
        <v>1363</v>
      </c>
      <c r="HI154" t="s">
        <v>1363</v>
      </c>
      <c r="HJ154" t="s">
        <v>1390</v>
      </c>
      <c r="HK154" t="s">
        <v>1327</v>
      </c>
      <c r="HL154" t="s">
        <v>1437</v>
      </c>
      <c r="HM154" t="s">
        <v>1390</v>
      </c>
      <c r="HN154" t="s">
        <v>1726</v>
      </c>
      <c r="HO154" t="s">
        <v>1310</v>
      </c>
      <c r="HP154" t="s">
        <v>1310</v>
      </c>
      <c r="HQ154" t="s">
        <v>1309</v>
      </c>
      <c r="HR154" t="s">
        <v>1309</v>
      </c>
      <c r="HS154" t="s">
        <v>1310</v>
      </c>
      <c r="HT154" t="s">
        <v>1309</v>
      </c>
      <c r="HU154" t="s">
        <v>1309</v>
      </c>
      <c r="HV154" t="s">
        <v>1309</v>
      </c>
      <c r="HW154" t="s">
        <v>1309</v>
      </c>
      <c r="HX154" t="s">
        <v>1309</v>
      </c>
      <c r="HY154" t="s">
        <v>1309</v>
      </c>
      <c r="IA154" t="s">
        <v>1307</v>
      </c>
      <c r="IQ154" t="s">
        <v>1330</v>
      </c>
      <c r="IS154" t="s">
        <v>1316</v>
      </c>
      <c r="JF154" t="s">
        <v>1354</v>
      </c>
      <c r="JG154" t="s">
        <v>1523</v>
      </c>
      <c r="JH154" t="s">
        <v>1309</v>
      </c>
      <c r="JI154" t="s">
        <v>1309</v>
      </c>
      <c r="JJ154" t="s">
        <v>1309</v>
      </c>
      <c r="JK154" t="s">
        <v>1310</v>
      </c>
      <c r="JL154" t="s">
        <v>1309</v>
      </c>
      <c r="JM154" t="s">
        <v>1309</v>
      </c>
      <c r="JN154" t="s">
        <v>1309</v>
      </c>
      <c r="JO154" t="s">
        <v>1309</v>
      </c>
      <c r="JQ154" s="92" t="s">
        <v>1333</v>
      </c>
      <c r="JR154" s="92" t="s">
        <v>1334</v>
      </c>
      <c r="JS154" s="92">
        <v>34</v>
      </c>
      <c r="JT154" s="92" t="s">
        <v>1319</v>
      </c>
      <c r="JU154" s="92" t="s">
        <v>1396</v>
      </c>
      <c r="JV154" s="92" t="s">
        <v>1336</v>
      </c>
      <c r="JW154" s="92" t="s">
        <v>1296</v>
      </c>
      <c r="JX154" s="92" t="s">
        <v>71</v>
      </c>
      <c r="JY154" s="92" t="s">
        <v>5549</v>
      </c>
      <c r="JZ154" s="92" t="s">
        <v>1398</v>
      </c>
      <c r="KA154" s="92" t="s">
        <v>4845</v>
      </c>
      <c r="KB154" s="92" t="s">
        <v>1399</v>
      </c>
      <c r="KC154" s="92" t="s">
        <v>109</v>
      </c>
      <c r="KD154" s="92" t="s">
        <v>1309</v>
      </c>
      <c r="KE154" s="92" t="s">
        <v>1340</v>
      </c>
      <c r="KF154" s="92">
        <v>2050</v>
      </c>
      <c r="KG154" s="92" t="s">
        <v>1340</v>
      </c>
      <c r="KH154" s="92" t="s">
        <v>192</v>
      </c>
      <c r="KI154" s="92" t="s">
        <v>192</v>
      </c>
      <c r="KJ154" s="92" t="s">
        <v>192</v>
      </c>
      <c r="KK154" s="92" t="s">
        <v>192</v>
      </c>
      <c r="KL154" s="92" t="s">
        <v>1425</v>
      </c>
      <c r="KM154" s="92">
        <v>2050</v>
      </c>
      <c r="KN154" s="92" t="s">
        <v>1340</v>
      </c>
      <c r="KO154" s="92" t="s">
        <v>1425</v>
      </c>
      <c r="KP154" s="92" t="s">
        <v>1342</v>
      </c>
      <c r="KQ154" s="92" t="s">
        <v>192</v>
      </c>
      <c r="KR154" s="92">
        <v>39</v>
      </c>
      <c r="KS154" s="92" t="s">
        <v>1466</v>
      </c>
      <c r="KT154" s="92" t="s">
        <v>1344</v>
      </c>
      <c r="KU154" s="92">
        <v>39</v>
      </c>
      <c r="KV154" s="92" t="s">
        <v>1441</v>
      </c>
      <c r="KW154" s="92" t="s">
        <v>1344</v>
      </c>
      <c r="KX154" s="92" t="s">
        <v>1376</v>
      </c>
      <c r="KY154" s="92" t="s">
        <v>1377</v>
      </c>
      <c r="KZ154" s="92" t="s">
        <v>1403</v>
      </c>
      <c r="LA154" s="92" t="s">
        <v>109</v>
      </c>
      <c r="LB154" s="92" t="s">
        <v>109</v>
      </c>
      <c r="LC154" s="92" t="s">
        <v>5566</v>
      </c>
      <c r="LD154" s="92" t="s">
        <v>5566</v>
      </c>
      <c r="LE154" s="92"/>
      <c r="LF154" s="92"/>
    </row>
    <row r="155" spans="1:318" x14ac:dyDescent="0.25">
      <c r="A155" t="s">
        <v>2140</v>
      </c>
      <c r="B155" t="s">
        <v>2141</v>
      </c>
      <c r="C155" t="s">
        <v>1304</v>
      </c>
      <c r="D155" t="s">
        <v>1305</v>
      </c>
      <c r="E155" t="s">
        <v>1381</v>
      </c>
      <c r="G155" t="s">
        <v>1319</v>
      </c>
      <c r="H155">
        <v>1</v>
      </c>
      <c r="J155" t="s">
        <v>1430</v>
      </c>
      <c r="K155" t="s">
        <v>1309</v>
      </c>
      <c r="L155" t="s">
        <v>1309</v>
      </c>
      <c r="M155" t="s">
        <v>1310</v>
      </c>
      <c r="N155" t="s">
        <v>1309</v>
      </c>
      <c r="O155" t="s">
        <v>1309</v>
      </c>
      <c r="P155" t="s">
        <v>1309</v>
      </c>
      <c r="Q155" t="s">
        <v>1309</v>
      </c>
      <c r="R155" t="s">
        <v>1309</v>
      </c>
      <c r="T155">
        <v>1</v>
      </c>
      <c r="U155" t="s">
        <v>1311</v>
      </c>
      <c r="V155" t="s">
        <v>1312</v>
      </c>
      <c r="W155" t="s">
        <v>1311</v>
      </c>
      <c r="X155" t="s">
        <v>1311</v>
      </c>
      <c r="Y155" t="s">
        <v>1312</v>
      </c>
      <c r="Z155" t="s">
        <v>1312</v>
      </c>
      <c r="AC155">
        <v>1</v>
      </c>
      <c r="AD155">
        <v>6000</v>
      </c>
      <c r="AE155">
        <v>3000</v>
      </c>
      <c r="AF155" t="s">
        <v>1313</v>
      </c>
      <c r="AH155" t="s">
        <v>1383</v>
      </c>
      <c r="AJ155" t="s">
        <v>1353</v>
      </c>
      <c r="AL155" t="s">
        <v>1316</v>
      </c>
      <c r="BA155" t="s">
        <v>1316</v>
      </c>
      <c r="BS155" t="s">
        <v>1307</v>
      </c>
      <c r="CE155" t="s">
        <v>2142</v>
      </c>
      <c r="CF155" t="s">
        <v>1310</v>
      </c>
      <c r="CG155" t="s">
        <v>1309</v>
      </c>
      <c r="CH155" t="s">
        <v>1309</v>
      </c>
      <c r="CI155" t="s">
        <v>1309</v>
      </c>
      <c r="CJ155" t="s">
        <v>1309</v>
      </c>
      <c r="CK155" t="s">
        <v>1310</v>
      </c>
      <c r="CL155" t="s">
        <v>1309</v>
      </c>
      <c r="CM155" t="s">
        <v>1309</v>
      </c>
      <c r="CN155" t="s">
        <v>1310</v>
      </c>
      <c r="CO155" t="s">
        <v>1309</v>
      </c>
      <c r="CP155" t="s">
        <v>1309</v>
      </c>
      <c r="CQ155" t="s">
        <v>1309</v>
      </c>
      <c r="CR155" t="s">
        <v>1309</v>
      </c>
      <c r="CT155" t="s">
        <v>4434</v>
      </c>
      <c r="CV155" t="s">
        <v>1308</v>
      </c>
      <c r="CW155" t="s">
        <v>1310</v>
      </c>
      <c r="CX155" t="s">
        <v>1309</v>
      </c>
      <c r="CY155" t="s">
        <v>1309</v>
      </c>
      <c r="CZ155" t="s">
        <v>1309</v>
      </c>
      <c r="DA155" t="s">
        <v>1309</v>
      </c>
      <c r="DB155" t="s">
        <v>1309</v>
      </c>
      <c r="DC155" t="s">
        <v>1309</v>
      </c>
      <c r="DE155" t="s">
        <v>1358</v>
      </c>
      <c r="DG155">
        <v>1500</v>
      </c>
      <c r="DI155">
        <v>300</v>
      </c>
      <c r="DJ155" t="s">
        <v>1358</v>
      </c>
      <c r="DK155">
        <v>2000</v>
      </c>
      <c r="DM155">
        <v>300</v>
      </c>
      <c r="DN155" t="s">
        <v>1584</v>
      </c>
      <c r="DO155" t="s">
        <v>1310</v>
      </c>
      <c r="DP155" t="s">
        <v>1309</v>
      </c>
      <c r="DQ155" t="s">
        <v>1309</v>
      </c>
      <c r="DR155" t="s">
        <v>1309</v>
      </c>
      <c r="DS155" t="s">
        <v>1310</v>
      </c>
      <c r="DT155" t="s">
        <v>1310</v>
      </c>
      <c r="DU155" t="s">
        <v>1309</v>
      </c>
      <c r="DV155" t="s">
        <v>1309</v>
      </c>
      <c r="DW155" t="s">
        <v>1309</v>
      </c>
      <c r="DY155" t="s">
        <v>1408</v>
      </c>
      <c r="DZ155">
        <v>400</v>
      </c>
      <c r="EA155" t="s">
        <v>1386</v>
      </c>
      <c r="EC155" t="s">
        <v>1420</v>
      </c>
      <c r="ED155">
        <v>600</v>
      </c>
      <c r="EE155" t="s">
        <v>1386</v>
      </c>
      <c r="EG155" t="s">
        <v>5356</v>
      </c>
      <c r="EI155" t="s">
        <v>1307</v>
      </c>
      <c r="ET155" t="s">
        <v>1434</v>
      </c>
      <c r="EV155" t="s">
        <v>1319</v>
      </c>
      <c r="EW155" t="s">
        <v>1361</v>
      </c>
      <c r="EX155" t="s">
        <v>1319</v>
      </c>
      <c r="EY155" t="s">
        <v>1319</v>
      </c>
      <c r="FA155" t="s">
        <v>2143</v>
      </c>
      <c r="FB155" t="s">
        <v>1310</v>
      </c>
      <c r="FC155" t="s">
        <v>1309</v>
      </c>
      <c r="FD155" t="s">
        <v>1310</v>
      </c>
      <c r="FE155" t="s">
        <v>1310</v>
      </c>
      <c r="FF155" t="s">
        <v>1309</v>
      </c>
      <c r="FG155" t="s">
        <v>1309</v>
      </c>
      <c r="FH155" t="s">
        <v>1309</v>
      </c>
      <c r="FI155" t="s">
        <v>1309</v>
      </c>
      <c r="FJ155" t="s">
        <v>1309</v>
      </c>
      <c r="FK155" t="s">
        <v>1309</v>
      </c>
      <c r="FL155" t="s">
        <v>1309</v>
      </c>
      <c r="FM155" t="s">
        <v>1309</v>
      </c>
      <c r="FN155" t="s">
        <v>1310</v>
      </c>
      <c r="FO155" t="s">
        <v>1309</v>
      </c>
      <c r="FP155" t="s">
        <v>1309</v>
      </c>
      <c r="FQ155" t="s">
        <v>1309</v>
      </c>
      <c r="FR155" t="s">
        <v>1309</v>
      </c>
      <c r="FT155" t="s">
        <v>1307</v>
      </c>
      <c r="GI155" t="s">
        <v>1436</v>
      </c>
      <c r="GJ155" t="s">
        <v>1324</v>
      </c>
      <c r="GK155" t="s">
        <v>1307</v>
      </c>
      <c r="GT155" t="s">
        <v>1325</v>
      </c>
      <c r="GU155" t="s">
        <v>1310</v>
      </c>
      <c r="GV155" t="s">
        <v>1309</v>
      </c>
      <c r="GW155" t="s">
        <v>1309</v>
      </c>
      <c r="GX155" t="s">
        <v>1309</v>
      </c>
      <c r="GY155" t="s">
        <v>1309</v>
      </c>
      <c r="GZ155" t="s">
        <v>1309</v>
      </c>
      <c r="HA155" t="s">
        <v>1309</v>
      </c>
      <c r="HB155" t="s">
        <v>1309</v>
      </c>
      <c r="HC155" t="s">
        <v>1309</v>
      </c>
      <c r="HD155" t="s">
        <v>1309</v>
      </c>
      <c r="HE155" t="s">
        <v>1309</v>
      </c>
      <c r="HF155" t="s">
        <v>1309</v>
      </c>
      <c r="HH155" t="s">
        <v>1390</v>
      </c>
      <c r="HI155" t="s">
        <v>1326</v>
      </c>
      <c r="HJ155" t="s">
        <v>1390</v>
      </c>
      <c r="HK155" t="s">
        <v>1327</v>
      </c>
      <c r="HL155" t="s">
        <v>1364</v>
      </c>
      <c r="HM155" t="s">
        <v>1390</v>
      </c>
      <c r="IA155" t="s">
        <v>1319</v>
      </c>
      <c r="IB155" t="s">
        <v>1579</v>
      </c>
      <c r="IC155" t="s">
        <v>1309</v>
      </c>
      <c r="ID155" t="s">
        <v>1309</v>
      </c>
      <c r="IE155" t="s">
        <v>1309</v>
      </c>
      <c r="IF155" t="s">
        <v>1309</v>
      </c>
      <c r="IG155" t="s">
        <v>1310</v>
      </c>
      <c r="IH155" t="s">
        <v>1309</v>
      </c>
      <c r="II155" t="s">
        <v>1309</v>
      </c>
      <c r="IJ155" t="s">
        <v>1309</v>
      </c>
      <c r="IK155" t="s">
        <v>1310</v>
      </c>
      <c r="IL155" t="s">
        <v>1309</v>
      </c>
      <c r="IM155" t="s">
        <v>1309</v>
      </c>
      <c r="IN155" t="s">
        <v>1309</v>
      </c>
      <c r="IO155" t="s">
        <v>1309</v>
      </c>
      <c r="IQ155" t="s">
        <v>1330</v>
      </c>
      <c r="IS155" t="s">
        <v>1316</v>
      </c>
      <c r="JF155" t="s">
        <v>1316</v>
      </c>
      <c r="JG155" t="s">
        <v>1523</v>
      </c>
      <c r="JH155" t="s">
        <v>1309</v>
      </c>
      <c r="JI155" t="s">
        <v>1309</v>
      </c>
      <c r="JJ155" t="s">
        <v>1309</v>
      </c>
      <c r="JK155" t="s">
        <v>1310</v>
      </c>
      <c r="JL155" t="s">
        <v>1309</v>
      </c>
      <c r="JM155" t="s">
        <v>1309</v>
      </c>
      <c r="JN155" t="s">
        <v>1309</v>
      </c>
      <c r="JO155" t="s">
        <v>1309</v>
      </c>
      <c r="JQ155" s="92" t="s">
        <v>2092</v>
      </c>
      <c r="JR155" s="92" t="s">
        <v>2093</v>
      </c>
      <c r="JS155" s="92">
        <v>67</v>
      </c>
      <c r="JT155" s="92" t="s">
        <v>1319</v>
      </c>
      <c r="JU155" s="92" t="s">
        <v>1575</v>
      </c>
      <c r="JV155" s="92" t="s">
        <v>1368</v>
      </c>
      <c r="JW155" s="92" t="s">
        <v>1296</v>
      </c>
      <c r="JX155" s="92" t="s">
        <v>71</v>
      </c>
      <c r="JY155" s="92" t="s">
        <v>1397</v>
      </c>
      <c r="JZ155" s="92" t="s">
        <v>1369</v>
      </c>
      <c r="KA155" s="92" t="s">
        <v>4844</v>
      </c>
      <c r="KB155" s="92" t="s">
        <v>1476</v>
      </c>
      <c r="KC155" s="92" t="s">
        <v>109</v>
      </c>
      <c r="KD155" s="92" t="s">
        <v>4844</v>
      </c>
      <c r="KE155" s="92" t="s">
        <v>1424</v>
      </c>
      <c r="KF155" s="92">
        <v>1800</v>
      </c>
      <c r="KG155" s="92" t="s">
        <v>4439</v>
      </c>
      <c r="KH155" s="92" t="s">
        <v>192</v>
      </c>
      <c r="KI155" s="92" t="s">
        <v>109</v>
      </c>
      <c r="KJ155" s="92" t="s">
        <v>192</v>
      </c>
      <c r="KK155" s="92" t="s">
        <v>109</v>
      </c>
      <c r="KL155" s="92" t="s">
        <v>1440</v>
      </c>
      <c r="KM155" s="92">
        <v>2300</v>
      </c>
      <c r="KN155" s="92" t="s">
        <v>4439</v>
      </c>
      <c r="KO155" s="92" t="s">
        <v>1425</v>
      </c>
      <c r="KP155" s="92" t="s">
        <v>1460</v>
      </c>
      <c r="KQ155" s="92" t="s">
        <v>192</v>
      </c>
      <c r="KR155" s="92">
        <v>22</v>
      </c>
      <c r="KS155" s="92" t="s">
        <v>1343</v>
      </c>
      <c r="KT155" s="92" t="s">
        <v>1402</v>
      </c>
      <c r="KU155" s="92">
        <v>26</v>
      </c>
      <c r="KV155" s="92" t="s">
        <v>1345</v>
      </c>
      <c r="KW155" s="92" t="s">
        <v>1402</v>
      </c>
      <c r="KX155" s="92" t="s">
        <v>1346</v>
      </c>
      <c r="KY155" s="92" t="s">
        <v>1377</v>
      </c>
      <c r="KZ155" s="92" t="s">
        <v>1403</v>
      </c>
      <c r="LA155" s="92" t="s">
        <v>109</v>
      </c>
      <c r="LB155" s="92" t="s">
        <v>109</v>
      </c>
      <c r="LC155" s="92" t="s">
        <v>4439</v>
      </c>
      <c r="LD155" s="92" t="s">
        <v>4439</v>
      </c>
      <c r="LE155" s="92" t="s">
        <v>109</v>
      </c>
      <c r="LF155" s="92" t="s">
        <v>109</v>
      </c>
    </row>
    <row r="156" spans="1:318" x14ac:dyDescent="0.25">
      <c r="A156" t="s">
        <v>2144</v>
      </c>
      <c r="B156" t="s">
        <v>2145</v>
      </c>
      <c r="C156" t="s">
        <v>1304</v>
      </c>
      <c r="D156" t="s">
        <v>1305</v>
      </c>
      <c r="E156" t="s">
        <v>1381</v>
      </c>
      <c r="G156" t="s">
        <v>1319</v>
      </c>
      <c r="H156">
        <v>2</v>
      </c>
      <c r="I156" t="s">
        <v>1358</v>
      </c>
      <c r="J156" t="s">
        <v>1430</v>
      </c>
      <c r="K156" t="s">
        <v>1309</v>
      </c>
      <c r="L156" t="s">
        <v>1309</v>
      </c>
      <c r="M156" t="s">
        <v>1310</v>
      </c>
      <c r="N156" t="s">
        <v>1309</v>
      </c>
      <c r="O156" t="s">
        <v>1309</v>
      </c>
      <c r="P156" t="s">
        <v>1309</v>
      </c>
      <c r="Q156" t="s">
        <v>1309</v>
      </c>
      <c r="R156" t="s">
        <v>1309</v>
      </c>
      <c r="T156">
        <v>2</v>
      </c>
      <c r="U156" t="s">
        <v>1311</v>
      </c>
      <c r="V156" t="s">
        <v>1312</v>
      </c>
      <c r="W156" t="s">
        <v>1311</v>
      </c>
      <c r="X156" t="s">
        <v>1311</v>
      </c>
      <c r="Y156" t="s">
        <v>1312</v>
      </c>
      <c r="Z156" t="s">
        <v>1312</v>
      </c>
      <c r="AC156">
        <v>2</v>
      </c>
      <c r="AD156">
        <v>8000</v>
      </c>
      <c r="AE156">
        <v>6000</v>
      </c>
      <c r="AF156" t="s">
        <v>1351</v>
      </c>
      <c r="AH156" t="s">
        <v>1383</v>
      </c>
      <c r="AJ156" t="s">
        <v>1353</v>
      </c>
      <c r="AL156" t="s">
        <v>1316</v>
      </c>
      <c r="BA156" t="s">
        <v>1316</v>
      </c>
      <c r="BS156" t="s">
        <v>1307</v>
      </c>
      <c r="CE156" t="s">
        <v>1695</v>
      </c>
      <c r="CF156" t="s">
        <v>1309</v>
      </c>
      <c r="CG156" t="s">
        <v>1309</v>
      </c>
      <c r="CH156" t="s">
        <v>1309</v>
      </c>
      <c r="CI156" t="s">
        <v>1309</v>
      </c>
      <c r="CJ156" t="s">
        <v>1309</v>
      </c>
      <c r="CK156" t="s">
        <v>1309</v>
      </c>
      <c r="CL156" t="s">
        <v>1310</v>
      </c>
      <c r="CM156" t="s">
        <v>1309</v>
      </c>
      <c r="CN156" t="s">
        <v>1310</v>
      </c>
      <c r="CO156" t="s">
        <v>1309</v>
      </c>
      <c r="CP156" t="s">
        <v>1309</v>
      </c>
      <c r="CQ156" t="s">
        <v>1309</v>
      </c>
      <c r="CR156" t="s">
        <v>1309</v>
      </c>
      <c r="CT156" t="s">
        <v>4436</v>
      </c>
      <c r="CV156" t="s">
        <v>1308</v>
      </c>
      <c r="CW156" t="s">
        <v>1310</v>
      </c>
      <c r="CX156" t="s">
        <v>1309</v>
      </c>
      <c r="CY156" t="s">
        <v>1309</v>
      </c>
      <c r="CZ156" t="s">
        <v>1309</v>
      </c>
      <c r="DA156" t="s">
        <v>1309</v>
      </c>
      <c r="DB156" t="s">
        <v>1309</v>
      </c>
      <c r="DC156" t="s">
        <v>1309</v>
      </c>
      <c r="DE156" t="s">
        <v>1358</v>
      </c>
      <c r="DF156" t="s">
        <v>1319</v>
      </c>
      <c r="DG156">
        <v>400</v>
      </c>
      <c r="DH156">
        <v>2500</v>
      </c>
      <c r="DI156">
        <v>300</v>
      </c>
      <c r="DJ156" t="s">
        <v>1358</v>
      </c>
      <c r="DK156">
        <v>300</v>
      </c>
      <c r="DL156">
        <v>3000</v>
      </c>
      <c r="DM156">
        <v>250</v>
      </c>
      <c r="DN156" t="s">
        <v>2146</v>
      </c>
      <c r="DO156" t="s">
        <v>1310</v>
      </c>
      <c r="DP156" t="s">
        <v>1309</v>
      </c>
      <c r="DQ156" t="s">
        <v>1309</v>
      </c>
      <c r="DR156" t="s">
        <v>1309</v>
      </c>
      <c r="DS156" t="s">
        <v>1310</v>
      </c>
      <c r="DT156" t="s">
        <v>1310</v>
      </c>
      <c r="DU156" t="s">
        <v>1309</v>
      </c>
      <c r="DV156" t="s">
        <v>1309</v>
      </c>
      <c r="DW156" t="s">
        <v>1309</v>
      </c>
      <c r="DY156" t="s">
        <v>1433</v>
      </c>
      <c r="DZ156">
        <v>300</v>
      </c>
      <c r="EA156" t="s">
        <v>1386</v>
      </c>
      <c r="EC156" t="s">
        <v>1322</v>
      </c>
      <c r="ED156">
        <v>500</v>
      </c>
      <c r="EE156" t="s">
        <v>1386</v>
      </c>
      <c r="EG156" t="s">
        <v>5356</v>
      </c>
      <c r="EI156" t="s">
        <v>1307</v>
      </c>
      <c r="ET156" t="s">
        <v>1434</v>
      </c>
      <c r="EV156" t="s">
        <v>1319</v>
      </c>
      <c r="EW156" t="s">
        <v>1361</v>
      </c>
      <c r="EX156" t="s">
        <v>1307</v>
      </c>
      <c r="EY156" t="s">
        <v>1307</v>
      </c>
      <c r="EZ156" t="s">
        <v>1307</v>
      </c>
      <c r="FT156" t="s">
        <v>1307</v>
      </c>
      <c r="GI156" t="s">
        <v>1324</v>
      </c>
      <c r="GJ156" t="s">
        <v>1324</v>
      </c>
      <c r="GT156" t="s">
        <v>1325</v>
      </c>
      <c r="GU156" t="s">
        <v>1310</v>
      </c>
      <c r="GV156" t="s">
        <v>1309</v>
      </c>
      <c r="GW156" t="s">
        <v>1309</v>
      </c>
      <c r="GX156" t="s">
        <v>1309</v>
      </c>
      <c r="GY156" t="s">
        <v>1309</v>
      </c>
      <c r="GZ156" t="s">
        <v>1309</v>
      </c>
      <c r="HA156" t="s">
        <v>1309</v>
      </c>
      <c r="HB156" t="s">
        <v>1309</v>
      </c>
      <c r="HC156" t="s">
        <v>1309</v>
      </c>
      <c r="HD156" t="s">
        <v>1309</v>
      </c>
      <c r="HE156" t="s">
        <v>1309</v>
      </c>
      <c r="HF156" t="s">
        <v>1309</v>
      </c>
      <c r="HH156" t="s">
        <v>1390</v>
      </c>
      <c r="HI156" t="s">
        <v>1390</v>
      </c>
      <c r="HJ156" t="s">
        <v>1390</v>
      </c>
      <c r="HK156" t="s">
        <v>1327</v>
      </c>
      <c r="HL156" t="s">
        <v>1364</v>
      </c>
      <c r="HM156" t="s">
        <v>1390</v>
      </c>
      <c r="IA156" t="s">
        <v>1319</v>
      </c>
      <c r="IB156" t="s">
        <v>2147</v>
      </c>
      <c r="IC156" t="s">
        <v>1309</v>
      </c>
      <c r="ID156" t="s">
        <v>1309</v>
      </c>
      <c r="IE156" t="s">
        <v>1309</v>
      </c>
      <c r="IF156" t="s">
        <v>1309</v>
      </c>
      <c r="IG156" t="s">
        <v>1310</v>
      </c>
      <c r="IH156" t="s">
        <v>1309</v>
      </c>
      <c r="II156" t="s">
        <v>1310</v>
      </c>
      <c r="IJ156" t="s">
        <v>1309</v>
      </c>
      <c r="IK156" t="s">
        <v>1309</v>
      </c>
      <c r="IL156" t="s">
        <v>1310</v>
      </c>
      <c r="IM156" t="s">
        <v>1309</v>
      </c>
      <c r="IN156" t="s">
        <v>1309</v>
      </c>
      <c r="IO156" t="s">
        <v>1309</v>
      </c>
      <c r="IQ156" t="s">
        <v>1308</v>
      </c>
      <c r="IS156" t="s">
        <v>1316</v>
      </c>
      <c r="JF156" t="s">
        <v>1316</v>
      </c>
      <c r="JG156" t="s">
        <v>2148</v>
      </c>
      <c r="JH156" t="s">
        <v>1309</v>
      </c>
      <c r="JI156" t="s">
        <v>1310</v>
      </c>
      <c r="JJ156" t="s">
        <v>1309</v>
      </c>
      <c r="JK156" t="s">
        <v>1309</v>
      </c>
      <c r="JL156" t="s">
        <v>1310</v>
      </c>
      <c r="JM156" t="s">
        <v>1309</v>
      </c>
      <c r="JN156" t="s">
        <v>1309</v>
      </c>
      <c r="JO156" t="s">
        <v>1309</v>
      </c>
      <c r="JQ156" s="92" t="s">
        <v>2092</v>
      </c>
      <c r="JR156" s="92" t="s">
        <v>2149</v>
      </c>
      <c r="JS156" s="92">
        <v>68</v>
      </c>
      <c r="JT156" s="92" t="s">
        <v>1319</v>
      </c>
      <c r="JU156" s="92" t="s">
        <v>1575</v>
      </c>
      <c r="JV156" s="92" t="s">
        <v>1368</v>
      </c>
      <c r="JW156" s="92" t="s">
        <v>1296</v>
      </c>
      <c r="JX156" s="92" t="s">
        <v>70</v>
      </c>
      <c r="JY156" s="92" t="s">
        <v>1397</v>
      </c>
      <c r="JZ156" s="92" t="s">
        <v>1369</v>
      </c>
      <c r="KA156" s="92" t="s">
        <v>4845</v>
      </c>
      <c r="KB156" s="92" t="s">
        <v>1476</v>
      </c>
      <c r="KC156" s="92" t="s">
        <v>109</v>
      </c>
      <c r="KD156" s="92" t="s">
        <v>4847</v>
      </c>
      <c r="KE156" s="92" t="s">
        <v>1424</v>
      </c>
      <c r="KF156" s="92">
        <v>3200</v>
      </c>
      <c r="KG156" s="92" t="s">
        <v>4439</v>
      </c>
      <c r="KH156" s="92" t="s">
        <v>192</v>
      </c>
      <c r="KI156" s="92" t="s">
        <v>192</v>
      </c>
      <c r="KJ156" s="92" t="s">
        <v>192</v>
      </c>
      <c r="KK156" s="92" t="s">
        <v>192</v>
      </c>
      <c r="KL156" s="92" t="s">
        <v>1341</v>
      </c>
      <c r="KM156" s="92">
        <v>3550</v>
      </c>
      <c r="KN156" s="92" t="s">
        <v>4439</v>
      </c>
      <c r="KO156" s="92" t="s">
        <v>1341</v>
      </c>
      <c r="KP156" s="92" t="s">
        <v>1401</v>
      </c>
      <c r="KQ156" s="92" t="s">
        <v>192</v>
      </c>
      <c r="KR156" s="92"/>
      <c r="KS156" s="92" t="s">
        <v>1343</v>
      </c>
      <c r="KT156" s="92" t="s">
        <v>1402</v>
      </c>
      <c r="KU156" s="92"/>
      <c r="KV156" s="92" t="s">
        <v>1345</v>
      </c>
      <c r="KW156" s="92" t="s">
        <v>1402</v>
      </c>
      <c r="KX156" s="92" t="s">
        <v>1346</v>
      </c>
      <c r="KY156" s="92" t="s">
        <v>1347</v>
      </c>
      <c r="KZ156" s="92" t="s">
        <v>1403</v>
      </c>
      <c r="LA156" s="92" t="s">
        <v>109</v>
      </c>
      <c r="LB156" s="92" t="s">
        <v>109</v>
      </c>
      <c r="LC156" s="92" t="s">
        <v>4439</v>
      </c>
      <c r="LD156" s="92" t="s">
        <v>4439</v>
      </c>
      <c r="LE156" s="92" t="s">
        <v>192</v>
      </c>
      <c r="LF156" s="92" t="s">
        <v>192</v>
      </c>
    </row>
    <row r="157" spans="1:318" x14ac:dyDescent="0.25">
      <c r="A157" t="s">
        <v>2150</v>
      </c>
      <c r="B157" t="s">
        <v>2151</v>
      </c>
      <c r="C157" t="s">
        <v>1304</v>
      </c>
      <c r="D157" t="s">
        <v>1305</v>
      </c>
      <c r="E157" t="s">
        <v>1381</v>
      </c>
      <c r="G157" t="s">
        <v>1319</v>
      </c>
      <c r="H157">
        <v>6</v>
      </c>
      <c r="I157" t="s">
        <v>1358</v>
      </c>
      <c r="J157" t="s">
        <v>1614</v>
      </c>
      <c r="K157" t="s">
        <v>1309</v>
      </c>
      <c r="L157" t="s">
        <v>1310</v>
      </c>
      <c r="M157" t="s">
        <v>1310</v>
      </c>
      <c r="N157" t="s">
        <v>1309</v>
      </c>
      <c r="O157" t="s">
        <v>1310</v>
      </c>
      <c r="P157" t="s">
        <v>1309</v>
      </c>
      <c r="Q157" t="s">
        <v>1309</v>
      </c>
      <c r="R157" t="s">
        <v>1309</v>
      </c>
      <c r="S157">
        <v>2</v>
      </c>
      <c r="T157">
        <v>1</v>
      </c>
      <c r="U157" t="s">
        <v>1311</v>
      </c>
      <c r="V157" t="s">
        <v>1311</v>
      </c>
      <c r="W157" t="s">
        <v>1311</v>
      </c>
      <c r="X157" t="s">
        <v>1311</v>
      </c>
      <c r="Y157" t="s">
        <v>1312</v>
      </c>
      <c r="Z157" t="s">
        <v>1312</v>
      </c>
      <c r="AC157">
        <v>1</v>
      </c>
      <c r="AD157">
        <v>7500</v>
      </c>
      <c r="AE157">
        <v>7500</v>
      </c>
      <c r="AF157" t="s">
        <v>1313</v>
      </c>
      <c r="AH157" t="s">
        <v>1383</v>
      </c>
      <c r="AJ157" t="s">
        <v>1315</v>
      </c>
      <c r="AL157" t="s">
        <v>1316</v>
      </c>
      <c r="BS157" t="s">
        <v>1307</v>
      </c>
      <c r="CE157" t="s">
        <v>1698</v>
      </c>
      <c r="CF157" t="s">
        <v>1309</v>
      </c>
      <c r="CG157" t="s">
        <v>1309</v>
      </c>
      <c r="CH157" t="s">
        <v>1309</v>
      </c>
      <c r="CI157" t="s">
        <v>1309</v>
      </c>
      <c r="CJ157" t="s">
        <v>1309</v>
      </c>
      <c r="CK157" t="s">
        <v>1309</v>
      </c>
      <c r="CL157" t="s">
        <v>1309</v>
      </c>
      <c r="CM157" t="s">
        <v>1309</v>
      </c>
      <c r="CN157" t="s">
        <v>1309</v>
      </c>
      <c r="CO157" t="s">
        <v>1309</v>
      </c>
      <c r="CP157" t="s">
        <v>1310</v>
      </c>
      <c r="CQ157" t="s">
        <v>1309</v>
      </c>
      <c r="CR157" t="s">
        <v>1309</v>
      </c>
      <c r="CS157" t="s">
        <v>2152</v>
      </c>
      <c r="CT157" t="s">
        <v>4434</v>
      </c>
      <c r="CV157" t="s">
        <v>1308</v>
      </c>
      <c r="CW157" t="s">
        <v>1310</v>
      </c>
      <c r="CX157" t="s">
        <v>1309</v>
      </c>
      <c r="CY157" t="s">
        <v>1309</v>
      </c>
      <c r="CZ157" t="s">
        <v>1309</v>
      </c>
      <c r="DA157" t="s">
        <v>1309</v>
      </c>
      <c r="DB157" t="s">
        <v>1309</v>
      </c>
      <c r="DC157" t="s">
        <v>1309</v>
      </c>
      <c r="DE157" t="s">
        <v>1358</v>
      </c>
      <c r="DG157">
        <v>3000</v>
      </c>
      <c r="DI157">
        <v>1300</v>
      </c>
      <c r="DJ157" t="s">
        <v>1358</v>
      </c>
      <c r="DK157">
        <v>3800</v>
      </c>
      <c r="DM157">
        <v>1500</v>
      </c>
      <c r="DN157" t="s">
        <v>1564</v>
      </c>
      <c r="DO157" t="s">
        <v>1309</v>
      </c>
      <c r="DP157" t="s">
        <v>1309</v>
      </c>
      <c r="DQ157" t="s">
        <v>1309</v>
      </c>
      <c r="DR157" t="s">
        <v>1310</v>
      </c>
      <c r="DS157" t="s">
        <v>1310</v>
      </c>
      <c r="DT157" t="s">
        <v>1310</v>
      </c>
      <c r="DU157" t="s">
        <v>1309</v>
      </c>
      <c r="DV157" t="s">
        <v>1309</v>
      </c>
      <c r="DW157" t="s">
        <v>1309</v>
      </c>
      <c r="DY157" t="s">
        <v>1359</v>
      </c>
      <c r="DZ157">
        <v>380</v>
      </c>
      <c r="EA157" t="s">
        <v>1319</v>
      </c>
      <c r="EC157" t="s">
        <v>1474</v>
      </c>
      <c r="ED157">
        <v>1000</v>
      </c>
      <c r="EE157" t="s">
        <v>1319</v>
      </c>
      <c r="EG157" t="s">
        <v>5356</v>
      </c>
      <c r="EI157" t="s">
        <v>1307</v>
      </c>
      <c r="ET157" t="s">
        <v>1307</v>
      </c>
      <c r="EV157" t="s">
        <v>1307</v>
      </c>
      <c r="EX157" t="s">
        <v>1319</v>
      </c>
      <c r="EY157" t="s">
        <v>1319</v>
      </c>
      <c r="FA157" t="s">
        <v>1323</v>
      </c>
      <c r="FB157" t="s">
        <v>1310</v>
      </c>
      <c r="FC157" t="s">
        <v>1309</v>
      </c>
      <c r="FD157" t="s">
        <v>1309</v>
      </c>
      <c r="FE157" t="s">
        <v>1309</v>
      </c>
      <c r="FF157" t="s">
        <v>1309</v>
      </c>
      <c r="FG157" t="s">
        <v>1309</v>
      </c>
      <c r="FH157" t="s">
        <v>1309</v>
      </c>
      <c r="FI157" t="s">
        <v>1309</v>
      </c>
      <c r="FJ157" t="s">
        <v>1309</v>
      </c>
      <c r="FK157" t="s">
        <v>1309</v>
      </c>
      <c r="FL157" t="s">
        <v>1309</v>
      </c>
      <c r="FM157" t="s">
        <v>1309</v>
      </c>
      <c r="FN157" t="s">
        <v>1309</v>
      </c>
      <c r="FO157" t="s">
        <v>1309</v>
      </c>
      <c r="FP157" t="s">
        <v>1309</v>
      </c>
      <c r="FQ157" t="s">
        <v>1309</v>
      </c>
      <c r="FR157" t="s">
        <v>1309</v>
      </c>
      <c r="FT157" t="s">
        <v>1319</v>
      </c>
      <c r="FU157" t="s">
        <v>1649</v>
      </c>
      <c r="FV157" t="s">
        <v>1310</v>
      </c>
      <c r="FW157" t="s">
        <v>1310</v>
      </c>
      <c r="FX157" t="s">
        <v>1309</v>
      </c>
      <c r="FY157" t="s">
        <v>1309</v>
      </c>
      <c r="FZ157" t="s">
        <v>1309</v>
      </c>
      <c r="GA157" t="s">
        <v>1309</v>
      </c>
      <c r="GB157" t="s">
        <v>1309</v>
      </c>
      <c r="GC157" t="s">
        <v>1309</v>
      </c>
      <c r="GD157" t="s">
        <v>1309</v>
      </c>
      <c r="GE157" t="s">
        <v>1309</v>
      </c>
      <c r="GF157" t="s">
        <v>1309</v>
      </c>
      <c r="GG157" t="s">
        <v>1309</v>
      </c>
      <c r="GI157" t="s">
        <v>1324</v>
      </c>
      <c r="GJ157" t="s">
        <v>1324</v>
      </c>
      <c r="GT157" t="s">
        <v>1325</v>
      </c>
      <c r="GU157" t="s">
        <v>1310</v>
      </c>
      <c r="GV157" t="s">
        <v>1309</v>
      </c>
      <c r="GW157" t="s">
        <v>1309</v>
      </c>
      <c r="GX157" t="s">
        <v>1309</v>
      </c>
      <c r="GY157" t="s">
        <v>1309</v>
      </c>
      <c r="GZ157" t="s">
        <v>1309</v>
      </c>
      <c r="HA157" t="s">
        <v>1309</v>
      </c>
      <c r="HB157" t="s">
        <v>1309</v>
      </c>
      <c r="HC157" t="s">
        <v>1309</v>
      </c>
      <c r="HD157" t="s">
        <v>1309</v>
      </c>
      <c r="HE157" t="s">
        <v>1309</v>
      </c>
      <c r="HF157" t="s">
        <v>1309</v>
      </c>
      <c r="HH157" t="s">
        <v>1390</v>
      </c>
      <c r="HI157" t="s">
        <v>1390</v>
      </c>
      <c r="HJ157" t="s">
        <v>1390</v>
      </c>
      <c r="HK157" t="s">
        <v>1327</v>
      </c>
      <c r="HL157" t="s">
        <v>1328</v>
      </c>
      <c r="HM157" t="s">
        <v>1390</v>
      </c>
      <c r="HN157" t="s">
        <v>1459</v>
      </c>
      <c r="HO157" t="s">
        <v>1310</v>
      </c>
      <c r="HP157" t="s">
        <v>1310</v>
      </c>
      <c r="HQ157" t="s">
        <v>1309</v>
      </c>
      <c r="HR157" t="s">
        <v>1310</v>
      </c>
      <c r="HS157" t="s">
        <v>1309</v>
      </c>
      <c r="HT157" t="s">
        <v>1309</v>
      </c>
      <c r="HU157" t="s">
        <v>1309</v>
      </c>
      <c r="HV157" t="s">
        <v>1309</v>
      </c>
      <c r="HW157" t="s">
        <v>1309</v>
      </c>
      <c r="HX157" t="s">
        <v>1309</v>
      </c>
      <c r="HY157" t="s">
        <v>1309</v>
      </c>
      <c r="IA157" t="s">
        <v>1307</v>
      </c>
      <c r="IQ157" t="s">
        <v>1330</v>
      </c>
      <c r="IS157" t="s">
        <v>1316</v>
      </c>
      <c r="JF157" t="s">
        <v>1331</v>
      </c>
      <c r="JG157" t="s">
        <v>1414</v>
      </c>
      <c r="JH157" t="s">
        <v>1309</v>
      </c>
      <c r="JI157" t="s">
        <v>1309</v>
      </c>
      <c r="JJ157" t="s">
        <v>1309</v>
      </c>
      <c r="JK157" t="s">
        <v>1309</v>
      </c>
      <c r="JL157" t="s">
        <v>1309</v>
      </c>
      <c r="JM157" t="s">
        <v>1309</v>
      </c>
      <c r="JN157" t="s">
        <v>1310</v>
      </c>
      <c r="JO157" t="s">
        <v>1309</v>
      </c>
      <c r="JQ157" s="92" t="s">
        <v>1394</v>
      </c>
      <c r="JR157" s="92" t="s">
        <v>1496</v>
      </c>
      <c r="JS157" s="92">
        <v>29</v>
      </c>
      <c r="JT157" s="92" t="s">
        <v>1319</v>
      </c>
      <c r="JU157" s="92" t="s">
        <v>1396</v>
      </c>
      <c r="JV157" s="92" t="s">
        <v>1336</v>
      </c>
      <c r="JW157" s="92" t="s">
        <v>1296</v>
      </c>
      <c r="JX157" s="92" t="s">
        <v>71</v>
      </c>
      <c r="JY157" s="92" t="s">
        <v>1397</v>
      </c>
      <c r="JZ157" s="92" t="s">
        <v>1398</v>
      </c>
      <c r="KA157" s="92" t="s">
        <v>4846</v>
      </c>
      <c r="KB157" s="92" t="s">
        <v>1370</v>
      </c>
      <c r="KC157" s="92" t="s">
        <v>109</v>
      </c>
      <c r="KD157" s="92" t="s">
        <v>4844</v>
      </c>
      <c r="KE157" s="92" t="s">
        <v>1424</v>
      </c>
      <c r="KF157" s="92">
        <v>4300</v>
      </c>
      <c r="KG157" s="92" t="s">
        <v>1400</v>
      </c>
      <c r="KH157" s="92" t="s">
        <v>192</v>
      </c>
      <c r="KI157" s="92" t="s">
        <v>109</v>
      </c>
      <c r="KJ157" s="92" t="s">
        <v>192</v>
      </c>
      <c r="KK157" s="92" t="s">
        <v>109</v>
      </c>
      <c r="KL157" s="92" t="s">
        <v>1341</v>
      </c>
      <c r="KM157" s="92">
        <v>5300</v>
      </c>
      <c r="KN157" s="92" t="s">
        <v>1400</v>
      </c>
      <c r="KO157" s="92" t="s">
        <v>1341</v>
      </c>
      <c r="KP157" s="92" t="s">
        <v>1460</v>
      </c>
      <c r="KQ157" s="92" t="s">
        <v>192</v>
      </c>
      <c r="KR157" s="92">
        <v>9</v>
      </c>
      <c r="KS157" s="92" t="s">
        <v>1343</v>
      </c>
      <c r="KT157" s="92" t="s">
        <v>1344</v>
      </c>
      <c r="KU157" s="92">
        <v>19</v>
      </c>
      <c r="KV157" s="92" t="s">
        <v>1461</v>
      </c>
      <c r="KW157" s="92" t="s">
        <v>1344</v>
      </c>
      <c r="KX157" s="92" t="s">
        <v>1376</v>
      </c>
      <c r="KY157" s="92" t="s">
        <v>1377</v>
      </c>
      <c r="KZ157" s="92" t="s">
        <v>1403</v>
      </c>
      <c r="LA157" s="92" t="s">
        <v>109</v>
      </c>
      <c r="LB157" s="92" t="s">
        <v>109</v>
      </c>
      <c r="LC157" s="92" t="s">
        <v>4439</v>
      </c>
      <c r="LD157" s="92" t="s">
        <v>4439</v>
      </c>
      <c r="LE157" s="92" t="s">
        <v>192</v>
      </c>
      <c r="LF157" s="92" t="s">
        <v>192</v>
      </c>
    </row>
    <row r="158" spans="1:318" x14ac:dyDescent="0.25">
      <c r="A158" t="s">
        <v>2153</v>
      </c>
      <c r="B158" t="s">
        <v>2154</v>
      </c>
      <c r="C158" t="s">
        <v>1304</v>
      </c>
      <c r="D158" t="s">
        <v>1305</v>
      </c>
      <c r="E158" t="s">
        <v>1381</v>
      </c>
      <c r="G158" t="s">
        <v>1319</v>
      </c>
      <c r="H158">
        <v>2</v>
      </c>
      <c r="I158" t="s">
        <v>1358</v>
      </c>
      <c r="J158" t="s">
        <v>1382</v>
      </c>
      <c r="K158" t="s">
        <v>1309</v>
      </c>
      <c r="L158" t="s">
        <v>1310</v>
      </c>
      <c r="M158" t="s">
        <v>1309</v>
      </c>
      <c r="N158" t="s">
        <v>1309</v>
      </c>
      <c r="O158" t="s">
        <v>1309</v>
      </c>
      <c r="P158" t="s">
        <v>1310</v>
      </c>
      <c r="Q158" t="s">
        <v>1309</v>
      </c>
      <c r="R158" t="s">
        <v>1309</v>
      </c>
      <c r="S158">
        <v>1</v>
      </c>
      <c r="U158" t="s">
        <v>1312</v>
      </c>
      <c r="V158" t="s">
        <v>1312</v>
      </c>
      <c r="W158" t="s">
        <v>1311</v>
      </c>
      <c r="X158" t="s">
        <v>1312</v>
      </c>
      <c r="Y158" t="s">
        <v>1312</v>
      </c>
      <c r="Z158" t="s">
        <v>1312</v>
      </c>
      <c r="AC158">
        <v>1</v>
      </c>
      <c r="AD158">
        <v>15000</v>
      </c>
      <c r="AE158">
        <v>12000</v>
      </c>
      <c r="AF158" t="s">
        <v>1313</v>
      </c>
      <c r="AH158" t="s">
        <v>1383</v>
      </c>
      <c r="AJ158" t="s">
        <v>1315</v>
      </c>
      <c r="AL158" t="s">
        <v>1316</v>
      </c>
      <c r="BS158" t="s">
        <v>1307</v>
      </c>
      <c r="CE158" t="s">
        <v>1695</v>
      </c>
      <c r="CF158" t="s">
        <v>1309</v>
      </c>
      <c r="CG158" t="s">
        <v>1309</v>
      </c>
      <c r="CH158" t="s">
        <v>1309</v>
      </c>
      <c r="CI158" t="s">
        <v>1309</v>
      </c>
      <c r="CJ158" t="s">
        <v>1309</v>
      </c>
      <c r="CK158" t="s">
        <v>1309</v>
      </c>
      <c r="CL158" t="s">
        <v>1310</v>
      </c>
      <c r="CM158" t="s">
        <v>1309</v>
      </c>
      <c r="CN158" t="s">
        <v>1310</v>
      </c>
      <c r="CO158" t="s">
        <v>1309</v>
      </c>
      <c r="CP158" t="s">
        <v>1309</v>
      </c>
      <c r="CQ158" t="s">
        <v>1309</v>
      </c>
      <c r="CR158" t="s">
        <v>1309</v>
      </c>
      <c r="CT158" t="s">
        <v>4435</v>
      </c>
      <c r="CV158" t="s">
        <v>1308</v>
      </c>
      <c r="CW158" t="s">
        <v>1310</v>
      </c>
      <c r="CX158" t="s">
        <v>1309</v>
      </c>
      <c r="CY158" t="s">
        <v>1309</v>
      </c>
      <c r="CZ158" t="s">
        <v>1309</v>
      </c>
      <c r="DA158" t="s">
        <v>1309</v>
      </c>
      <c r="DB158" t="s">
        <v>1309</v>
      </c>
      <c r="DC158" t="s">
        <v>1309</v>
      </c>
      <c r="DE158" t="s">
        <v>1358</v>
      </c>
      <c r="DF158" t="s">
        <v>1319</v>
      </c>
      <c r="DG158">
        <v>100</v>
      </c>
      <c r="DH158">
        <v>1900</v>
      </c>
      <c r="DI158">
        <v>600</v>
      </c>
      <c r="DJ158" t="s">
        <v>1358</v>
      </c>
      <c r="DK158">
        <v>100</v>
      </c>
      <c r="DL158">
        <v>2800</v>
      </c>
      <c r="DM158">
        <v>600</v>
      </c>
      <c r="DN158" t="s">
        <v>1584</v>
      </c>
      <c r="DO158" t="s">
        <v>1310</v>
      </c>
      <c r="DP158" t="s">
        <v>1309</v>
      </c>
      <c r="DQ158" t="s">
        <v>1309</v>
      </c>
      <c r="DR158" t="s">
        <v>1309</v>
      </c>
      <c r="DS158" t="s">
        <v>1310</v>
      </c>
      <c r="DT158" t="s">
        <v>1310</v>
      </c>
      <c r="DU158" t="s">
        <v>1309</v>
      </c>
      <c r="DV158" t="s">
        <v>1309</v>
      </c>
      <c r="DW158" t="s">
        <v>1309</v>
      </c>
      <c r="DY158" t="s">
        <v>1490</v>
      </c>
      <c r="DZ158">
        <v>480</v>
      </c>
      <c r="EA158" t="s">
        <v>1386</v>
      </c>
      <c r="EC158" t="s">
        <v>1420</v>
      </c>
      <c r="ED158">
        <v>800</v>
      </c>
      <c r="EE158" t="s">
        <v>1386</v>
      </c>
      <c r="EG158" t="s">
        <v>5356</v>
      </c>
      <c r="EI158" t="s">
        <v>1307</v>
      </c>
      <c r="ET158" t="s">
        <v>1307</v>
      </c>
      <c r="EV158" t="s">
        <v>1307</v>
      </c>
      <c r="EX158" t="s">
        <v>1319</v>
      </c>
      <c r="EY158" t="s">
        <v>1307</v>
      </c>
      <c r="FA158" t="s">
        <v>1902</v>
      </c>
      <c r="FB158" t="s">
        <v>1309</v>
      </c>
      <c r="FC158" t="s">
        <v>1309</v>
      </c>
      <c r="FD158" t="s">
        <v>1309</v>
      </c>
      <c r="FE158" t="s">
        <v>1309</v>
      </c>
      <c r="FF158" t="s">
        <v>1309</v>
      </c>
      <c r="FG158" t="s">
        <v>1309</v>
      </c>
      <c r="FH158" t="s">
        <v>1309</v>
      </c>
      <c r="FI158" t="s">
        <v>1310</v>
      </c>
      <c r="FJ158" t="s">
        <v>1309</v>
      </c>
      <c r="FK158" t="s">
        <v>1309</v>
      </c>
      <c r="FL158" t="s">
        <v>1309</v>
      </c>
      <c r="FM158" t="s">
        <v>1309</v>
      </c>
      <c r="FN158" t="s">
        <v>1310</v>
      </c>
      <c r="FO158" t="s">
        <v>1309</v>
      </c>
      <c r="FP158" t="s">
        <v>1309</v>
      </c>
      <c r="FQ158" t="s">
        <v>1309</v>
      </c>
      <c r="FR158" t="s">
        <v>1309</v>
      </c>
      <c r="FT158" t="s">
        <v>1319</v>
      </c>
      <c r="FU158" t="s">
        <v>1649</v>
      </c>
      <c r="FV158" t="s">
        <v>1310</v>
      </c>
      <c r="FW158" t="s">
        <v>1310</v>
      </c>
      <c r="FX158" t="s">
        <v>1309</v>
      </c>
      <c r="FY158" t="s">
        <v>1309</v>
      </c>
      <c r="FZ158" t="s">
        <v>1309</v>
      </c>
      <c r="GA158" t="s">
        <v>1309</v>
      </c>
      <c r="GB158" t="s">
        <v>1309</v>
      </c>
      <c r="GC158" t="s">
        <v>1309</v>
      </c>
      <c r="GD158" t="s">
        <v>1309</v>
      </c>
      <c r="GE158" t="s">
        <v>1309</v>
      </c>
      <c r="GF158" t="s">
        <v>1309</v>
      </c>
      <c r="GG158" t="s">
        <v>1309</v>
      </c>
      <c r="GI158" t="s">
        <v>1324</v>
      </c>
      <c r="GJ158" t="s">
        <v>1324</v>
      </c>
      <c r="GT158" t="s">
        <v>1325</v>
      </c>
      <c r="GU158" t="s">
        <v>1310</v>
      </c>
      <c r="GV158" t="s">
        <v>1309</v>
      </c>
      <c r="GW158" t="s">
        <v>1309</v>
      </c>
      <c r="GX158" t="s">
        <v>1309</v>
      </c>
      <c r="GY158" t="s">
        <v>1309</v>
      </c>
      <c r="GZ158" t="s">
        <v>1309</v>
      </c>
      <c r="HA158" t="s">
        <v>1309</v>
      </c>
      <c r="HB158" t="s">
        <v>1309</v>
      </c>
      <c r="HC158" t="s">
        <v>1309</v>
      </c>
      <c r="HD158" t="s">
        <v>1309</v>
      </c>
      <c r="HE158" t="s">
        <v>1309</v>
      </c>
      <c r="HF158" t="s">
        <v>1309</v>
      </c>
      <c r="HH158" t="s">
        <v>1326</v>
      </c>
      <c r="HI158" t="s">
        <v>1327</v>
      </c>
      <c r="HJ158" t="s">
        <v>1390</v>
      </c>
      <c r="HK158" t="s">
        <v>1327</v>
      </c>
      <c r="HL158" t="s">
        <v>1328</v>
      </c>
      <c r="HM158" t="s">
        <v>1390</v>
      </c>
      <c r="HN158" t="s">
        <v>1549</v>
      </c>
      <c r="HO158" t="s">
        <v>1310</v>
      </c>
      <c r="HP158" t="s">
        <v>1310</v>
      </c>
      <c r="HQ158" t="s">
        <v>1309</v>
      </c>
      <c r="HR158" t="s">
        <v>1309</v>
      </c>
      <c r="HS158" t="s">
        <v>1309</v>
      </c>
      <c r="HT158" t="s">
        <v>1309</v>
      </c>
      <c r="HU158" t="s">
        <v>1309</v>
      </c>
      <c r="HV158" t="s">
        <v>1309</v>
      </c>
      <c r="HW158" t="s">
        <v>1309</v>
      </c>
      <c r="HX158" t="s">
        <v>1309</v>
      </c>
      <c r="HY158" t="s">
        <v>1309</v>
      </c>
      <c r="IA158" t="s">
        <v>1319</v>
      </c>
      <c r="IB158" t="s">
        <v>1870</v>
      </c>
      <c r="IC158" t="s">
        <v>1309</v>
      </c>
      <c r="ID158" t="s">
        <v>1309</v>
      </c>
      <c r="IE158" t="s">
        <v>1309</v>
      </c>
      <c r="IF158" t="s">
        <v>1310</v>
      </c>
      <c r="IG158" t="s">
        <v>1310</v>
      </c>
      <c r="IH158" t="s">
        <v>1309</v>
      </c>
      <c r="II158" t="s">
        <v>1309</v>
      </c>
      <c r="IJ158" t="s">
        <v>1309</v>
      </c>
      <c r="IK158" t="s">
        <v>1309</v>
      </c>
      <c r="IL158" t="s">
        <v>1309</v>
      </c>
      <c r="IM158" t="s">
        <v>1309</v>
      </c>
      <c r="IN158" t="s">
        <v>1309</v>
      </c>
      <c r="IO158" t="s">
        <v>1309</v>
      </c>
      <c r="IQ158" t="s">
        <v>1330</v>
      </c>
      <c r="IS158" t="s">
        <v>1331</v>
      </c>
      <c r="JF158" t="s">
        <v>1331</v>
      </c>
      <c r="JG158" t="s">
        <v>1904</v>
      </c>
      <c r="JH158" t="s">
        <v>1309</v>
      </c>
      <c r="JI158" t="s">
        <v>1309</v>
      </c>
      <c r="JJ158" t="s">
        <v>1309</v>
      </c>
      <c r="JK158" t="s">
        <v>1310</v>
      </c>
      <c r="JL158" t="s">
        <v>1309</v>
      </c>
      <c r="JM158" t="s">
        <v>1310</v>
      </c>
      <c r="JN158" t="s">
        <v>1309</v>
      </c>
      <c r="JO158" t="s">
        <v>1309</v>
      </c>
      <c r="JP158" t="s">
        <v>1915</v>
      </c>
      <c r="JQ158" s="92" t="s">
        <v>1333</v>
      </c>
      <c r="JR158" s="92" t="s">
        <v>1334</v>
      </c>
      <c r="JS158" s="92">
        <v>40</v>
      </c>
      <c r="JT158" s="92" t="s">
        <v>1319</v>
      </c>
      <c r="JU158" s="92" t="s">
        <v>1396</v>
      </c>
      <c r="JV158" s="92" t="s">
        <v>1336</v>
      </c>
      <c r="JW158" s="92" t="s">
        <v>1296</v>
      </c>
      <c r="JX158" s="92" t="s">
        <v>71</v>
      </c>
      <c r="JY158" s="92" t="s">
        <v>1397</v>
      </c>
      <c r="JZ158" s="92" t="s">
        <v>1337</v>
      </c>
      <c r="KA158" s="92" t="s">
        <v>4845</v>
      </c>
      <c r="KB158" s="92" t="s">
        <v>1399</v>
      </c>
      <c r="KC158" s="92" t="s">
        <v>109</v>
      </c>
      <c r="KD158" s="92" t="s">
        <v>4844</v>
      </c>
      <c r="KE158" s="92" t="s">
        <v>1371</v>
      </c>
      <c r="KF158" s="92">
        <v>2600</v>
      </c>
      <c r="KG158" s="92" t="s">
        <v>4438</v>
      </c>
      <c r="KH158" s="92" t="s">
        <v>192</v>
      </c>
      <c r="KI158" s="92" t="s">
        <v>192</v>
      </c>
      <c r="KJ158" s="92" t="s">
        <v>192</v>
      </c>
      <c r="KK158" s="92" t="s">
        <v>192</v>
      </c>
      <c r="KL158" s="92" t="s">
        <v>1425</v>
      </c>
      <c r="KM158" s="92">
        <v>3500</v>
      </c>
      <c r="KN158" s="92" t="s">
        <v>4438</v>
      </c>
      <c r="KO158" s="92" t="s">
        <v>1341</v>
      </c>
      <c r="KP158" s="92" t="s">
        <v>1342</v>
      </c>
      <c r="KQ158" s="92" t="s">
        <v>192</v>
      </c>
      <c r="KR158" s="92">
        <v>18</v>
      </c>
      <c r="KS158" s="92" t="s">
        <v>1343</v>
      </c>
      <c r="KT158" s="92" t="s">
        <v>1402</v>
      </c>
      <c r="KU158" s="92">
        <v>23</v>
      </c>
      <c r="KV158" s="92" t="s">
        <v>1441</v>
      </c>
      <c r="KW158" s="92" t="s">
        <v>1402</v>
      </c>
      <c r="KX158" s="92" t="s">
        <v>1346</v>
      </c>
      <c r="KY158" s="92" t="s">
        <v>1377</v>
      </c>
      <c r="KZ158" s="92" t="s">
        <v>1403</v>
      </c>
      <c r="LA158" s="92" t="s">
        <v>109</v>
      </c>
      <c r="LB158" s="92" t="s">
        <v>109</v>
      </c>
      <c r="LC158" s="92" t="s">
        <v>4438</v>
      </c>
      <c r="LD158" s="92" t="s">
        <v>4438</v>
      </c>
      <c r="LE158" s="92" t="s">
        <v>109</v>
      </c>
      <c r="LF158" s="92" t="s">
        <v>192</v>
      </c>
    </row>
    <row r="159" spans="1:318" x14ac:dyDescent="0.25">
      <c r="A159" t="s">
        <v>2155</v>
      </c>
      <c r="B159" t="s">
        <v>2156</v>
      </c>
      <c r="C159" t="s">
        <v>1304</v>
      </c>
      <c r="D159" t="s">
        <v>1305</v>
      </c>
      <c r="E159" t="s">
        <v>1381</v>
      </c>
      <c r="G159" t="s">
        <v>1319</v>
      </c>
      <c r="H159">
        <v>3</v>
      </c>
      <c r="I159" t="s">
        <v>1307</v>
      </c>
      <c r="J159" t="s">
        <v>1891</v>
      </c>
      <c r="K159" t="s">
        <v>1309</v>
      </c>
      <c r="L159" t="s">
        <v>1309</v>
      </c>
      <c r="M159" t="s">
        <v>1310</v>
      </c>
      <c r="N159" t="s">
        <v>1309</v>
      </c>
      <c r="O159" t="s">
        <v>1310</v>
      </c>
      <c r="P159" t="s">
        <v>1309</v>
      </c>
      <c r="Q159" t="s">
        <v>1309</v>
      </c>
      <c r="R159" t="s">
        <v>1309</v>
      </c>
      <c r="T159">
        <v>1</v>
      </c>
      <c r="U159" t="s">
        <v>1311</v>
      </c>
      <c r="V159" t="s">
        <v>1312</v>
      </c>
      <c r="W159" t="s">
        <v>1486</v>
      </c>
      <c r="X159" t="s">
        <v>1486</v>
      </c>
      <c r="Y159" t="s">
        <v>1311</v>
      </c>
      <c r="Z159" t="s">
        <v>1312</v>
      </c>
      <c r="AC159">
        <v>2</v>
      </c>
      <c r="AD159">
        <v>5000</v>
      </c>
      <c r="AF159" t="s">
        <v>1351</v>
      </c>
      <c r="AH159" t="s">
        <v>1383</v>
      </c>
      <c r="AJ159" t="s">
        <v>1315</v>
      </c>
      <c r="AL159" t="s">
        <v>1316</v>
      </c>
      <c r="BS159" t="s">
        <v>1307</v>
      </c>
      <c r="CE159" t="s">
        <v>1355</v>
      </c>
      <c r="CF159" t="s">
        <v>1309</v>
      </c>
      <c r="CG159" t="s">
        <v>1309</v>
      </c>
      <c r="CH159" t="s">
        <v>1309</v>
      </c>
      <c r="CI159" t="s">
        <v>1309</v>
      </c>
      <c r="CJ159" t="s">
        <v>1309</v>
      </c>
      <c r="CK159" t="s">
        <v>1309</v>
      </c>
      <c r="CL159" t="s">
        <v>1309</v>
      </c>
      <c r="CM159" t="s">
        <v>1309</v>
      </c>
      <c r="CN159" t="s">
        <v>1310</v>
      </c>
      <c r="CO159" t="s">
        <v>1309</v>
      </c>
      <c r="CP159" t="s">
        <v>1309</v>
      </c>
      <c r="CQ159" t="s">
        <v>1309</v>
      </c>
      <c r="CR159" t="s">
        <v>1309</v>
      </c>
      <c r="CT159" t="s">
        <v>4436</v>
      </c>
      <c r="CV159" t="s">
        <v>1308</v>
      </c>
      <c r="CW159" t="s">
        <v>1310</v>
      </c>
      <c r="CX159" t="s">
        <v>1309</v>
      </c>
      <c r="CY159" t="s">
        <v>1309</v>
      </c>
      <c r="CZ159" t="s">
        <v>1309</v>
      </c>
      <c r="DA159" t="s">
        <v>1309</v>
      </c>
      <c r="DB159" t="s">
        <v>1309</v>
      </c>
      <c r="DC159" t="s">
        <v>1309</v>
      </c>
      <c r="DE159" t="s">
        <v>1358</v>
      </c>
      <c r="DF159" t="s">
        <v>1319</v>
      </c>
      <c r="DI159">
        <v>600</v>
      </c>
      <c r="DJ159" t="s">
        <v>1358</v>
      </c>
      <c r="DM159">
        <v>700</v>
      </c>
      <c r="DN159" t="s">
        <v>1320</v>
      </c>
      <c r="DO159" t="s">
        <v>1310</v>
      </c>
      <c r="DP159" t="s">
        <v>1309</v>
      </c>
      <c r="DQ159" t="s">
        <v>1309</v>
      </c>
      <c r="DR159" t="s">
        <v>1309</v>
      </c>
      <c r="DS159" t="s">
        <v>1309</v>
      </c>
      <c r="DT159" t="s">
        <v>1310</v>
      </c>
      <c r="DU159" t="s">
        <v>1309</v>
      </c>
      <c r="DV159" t="s">
        <v>1309</v>
      </c>
      <c r="DW159" t="s">
        <v>1309</v>
      </c>
      <c r="DY159" t="s">
        <v>1456</v>
      </c>
      <c r="DZ159">
        <v>800</v>
      </c>
      <c r="EA159" t="s">
        <v>1319</v>
      </c>
      <c r="EC159" t="s">
        <v>1854</v>
      </c>
      <c r="ED159">
        <v>800</v>
      </c>
      <c r="EE159" t="s">
        <v>1319</v>
      </c>
      <c r="EG159" t="s">
        <v>5356</v>
      </c>
      <c r="EI159" t="s">
        <v>1307</v>
      </c>
      <c r="ET159" t="s">
        <v>1307</v>
      </c>
      <c r="EV159" t="s">
        <v>1307</v>
      </c>
      <c r="EX159" t="s">
        <v>1319</v>
      </c>
      <c r="EY159" t="s">
        <v>1319</v>
      </c>
      <c r="EZ159" t="s">
        <v>1307</v>
      </c>
      <c r="FA159" t="s">
        <v>2157</v>
      </c>
      <c r="FB159" t="s">
        <v>1309</v>
      </c>
      <c r="FC159" t="s">
        <v>1309</v>
      </c>
      <c r="FD159" t="s">
        <v>1309</v>
      </c>
      <c r="FE159" t="s">
        <v>1309</v>
      </c>
      <c r="FF159" t="s">
        <v>1309</v>
      </c>
      <c r="FG159" t="s">
        <v>1310</v>
      </c>
      <c r="FH159" t="s">
        <v>1310</v>
      </c>
      <c r="FI159" t="s">
        <v>1309</v>
      </c>
      <c r="FJ159" t="s">
        <v>1309</v>
      </c>
      <c r="FK159" t="s">
        <v>1310</v>
      </c>
      <c r="FL159" t="s">
        <v>1309</v>
      </c>
      <c r="FM159" t="s">
        <v>1309</v>
      </c>
      <c r="FN159" t="s">
        <v>1309</v>
      </c>
      <c r="FO159" t="s">
        <v>1309</v>
      </c>
      <c r="FP159" t="s">
        <v>1309</v>
      </c>
      <c r="FQ159" t="s">
        <v>1309</v>
      </c>
      <c r="FR159" t="s">
        <v>1309</v>
      </c>
      <c r="FT159" t="s">
        <v>1319</v>
      </c>
      <c r="FU159" t="s">
        <v>1649</v>
      </c>
      <c r="FV159" t="s">
        <v>1310</v>
      </c>
      <c r="FW159" t="s">
        <v>1310</v>
      </c>
      <c r="FX159" t="s">
        <v>1309</v>
      </c>
      <c r="FY159" t="s">
        <v>1309</v>
      </c>
      <c r="FZ159" t="s">
        <v>1309</v>
      </c>
      <c r="GA159" t="s">
        <v>1309</v>
      </c>
      <c r="GB159" t="s">
        <v>1309</v>
      </c>
      <c r="GC159" t="s">
        <v>1309</v>
      </c>
      <c r="GD159" t="s">
        <v>1309</v>
      </c>
      <c r="GE159" t="s">
        <v>1309</v>
      </c>
      <c r="GF159" t="s">
        <v>1309</v>
      </c>
      <c r="GG159" t="s">
        <v>1309</v>
      </c>
      <c r="GI159" t="s">
        <v>1324</v>
      </c>
      <c r="GJ159" t="s">
        <v>1324</v>
      </c>
      <c r="GT159" t="s">
        <v>1325</v>
      </c>
      <c r="GU159" t="s">
        <v>1310</v>
      </c>
      <c r="GV159" t="s">
        <v>1309</v>
      </c>
      <c r="GW159" t="s">
        <v>1309</v>
      </c>
      <c r="GX159" t="s">
        <v>1309</v>
      </c>
      <c r="GY159" t="s">
        <v>1309</v>
      </c>
      <c r="GZ159" t="s">
        <v>1309</v>
      </c>
      <c r="HA159" t="s">
        <v>1309</v>
      </c>
      <c r="HB159" t="s">
        <v>1309</v>
      </c>
      <c r="HC159" t="s">
        <v>1309</v>
      </c>
      <c r="HD159" t="s">
        <v>1309</v>
      </c>
      <c r="HE159" t="s">
        <v>1309</v>
      </c>
      <c r="HF159" t="s">
        <v>1309</v>
      </c>
      <c r="HH159" t="s">
        <v>1326</v>
      </c>
      <c r="HI159" t="s">
        <v>1326</v>
      </c>
      <c r="HJ159" t="s">
        <v>1326</v>
      </c>
      <c r="HK159" t="s">
        <v>1327</v>
      </c>
      <c r="HL159" t="s">
        <v>1692</v>
      </c>
      <c r="HM159" t="s">
        <v>1326</v>
      </c>
      <c r="HN159" t="s">
        <v>1549</v>
      </c>
      <c r="HO159" t="s">
        <v>1310</v>
      </c>
      <c r="HP159" t="s">
        <v>1310</v>
      </c>
      <c r="HQ159" t="s">
        <v>1309</v>
      </c>
      <c r="HR159" t="s">
        <v>1309</v>
      </c>
      <c r="HS159" t="s">
        <v>1309</v>
      </c>
      <c r="HT159" t="s">
        <v>1309</v>
      </c>
      <c r="HU159" t="s">
        <v>1309</v>
      </c>
      <c r="HV159" t="s">
        <v>1309</v>
      </c>
      <c r="HW159" t="s">
        <v>1309</v>
      </c>
      <c r="HX159" t="s">
        <v>1309</v>
      </c>
      <c r="HY159" t="s">
        <v>1309</v>
      </c>
      <c r="IA159" t="s">
        <v>1307</v>
      </c>
      <c r="IQ159" t="s">
        <v>1308</v>
      </c>
      <c r="IS159" t="s">
        <v>1331</v>
      </c>
      <c r="JF159" t="s">
        <v>1331</v>
      </c>
      <c r="JG159" t="s">
        <v>1332</v>
      </c>
      <c r="JH159" t="s">
        <v>1309</v>
      </c>
      <c r="JI159" t="s">
        <v>1309</v>
      </c>
      <c r="JJ159" t="s">
        <v>1309</v>
      </c>
      <c r="JK159" t="s">
        <v>1309</v>
      </c>
      <c r="JL159" t="s">
        <v>1310</v>
      </c>
      <c r="JM159" t="s">
        <v>1309</v>
      </c>
      <c r="JN159" t="s">
        <v>1309</v>
      </c>
      <c r="JO159" t="s">
        <v>1309</v>
      </c>
      <c r="JQ159" s="92" t="s">
        <v>2158</v>
      </c>
      <c r="JR159" s="92" t="s">
        <v>1698</v>
      </c>
      <c r="JS159" s="92">
        <v>48</v>
      </c>
      <c r="JT159" s="92" t="s">
        <v>1319</v>
      </c>
      <c r="JU159" s="92" t="s">
        <v>1575</v>
      </c>
      <c r="JV159" s="92" t="s">
        <v>1526</v>
      </c>
      <c r="JW159" s="92" t="s">
        <v>1296</v>
      </c>
      <c r="JX159" s="92" t="s">
        <v>70</v>
      </c>
      <c r="JY159" s="92" t="s">
        <v>5549</v>
      </c>
      <c r="JZ159" s="92" t="s">
        <v>1337</v>
      </c>
      <c r="KA159" s="92" t="s">
        <v>4845</v>
      </c>
      <c r="KB159" s="92" t="s">
        <v>1439</v>
      </c>
      <c r="KC159" s="92" t="s">
        <v>192</v>
      </c>
      <c r="KD159" s="92" t="s">
        <v>4847</v>
      </c>
      <c r="KE159" s="92" t="s">
        <v>5560</v>
      </c>
      <c r="KF159" s="92">
        <v>600</v>
      </c>
      <c r="KG159" s="92" t="s">
        <v>4438</v>
      </c>
      <c r="KH159" s="92" t="s">
        <v>109</v>
      </c>
      <c r="KI159" s="92" t="s">
        <v>109</v>
      </c>
      <c r="KJ159" s="92" t="s">
        <v>109</v>
      </c>
      <c r="KK159" s="92" t="s">
        <v>109</v>
      </c>
      <c r="KL159" s="92" t="s">
        <v>1374</v>
      </c>
      <c r="KM159" s="92">
        <v>700</v>
      </c>
      <c r="KN159" s="92" t="s">
        <v>4438</v>
      </c>
      <c r="KO159" s="92" t="s">
        <v>1374</v>
      </c>
      <c r="KP159" s="92" t="s">
        <v>1401</v>
      </c>
      <c r="KQ159" s="92" t="s">
        <v>192</v>
      </c>
      <c r="KR159" s="92"/>
      <c r="KS159" s="92" t="s">
        <v>1466</v>
      </c>
      <c r="KT159" s="92" t="s">
        <v>1344</v>
      </c>
      <c r="KU159" s="92"/>
      <c r="KV159" s="92" t="s">
        <v>1441</v>
      </c>
      <c r="KW159" s="92" t="s">
        <v>1344</v>
      </c>
      <c r="KX159" s="92" t="s">
        <v>1376</v>
      </c>
      <c r="KY159" s="92" t="s">
        <v>1377</v>
      </c>
      <c r="KZ159" s="92" t="s">
        <v>1378</v>
      </c>
      <c r="LA159" s="92" t="s">
        <v>109</v>
      </c>
      <c r="LB159" s="92" t="s">
        <v>109</v>
      </c>
      <c r="LC159" s="92" t="s">
        <v>5566</v>
      </c>
      <c r="LD159" s="92" t="s">
        <v>5566</v>
      </c>
      <c r="LE159" s="92"/>
      <c r="LF159" s="92"/>
    </row>
    <row r="160" spans="1:318" x14ac:dyDescent="0.25">
      <c r="A160" t="s">
        <v>2159</v>
      </c>
      <c r="B160" t="s">
        <v>2160</v>
      </c>
      <c r="C160" t="s">
        <v>1304</v>
      </c>
      <c r="D160" t="s">
        <v>1305</v>
      </c>
      <c r="E160" t="s">
        <v>1381</v>
      </c>
      <c r="G160" t="s">
        <v>1319</v>
      </c>
      <c r="H160">
        <v>2</v>
      </c>
      <c r="I160" t="s">
        <v>1358</v>
      </c>
      <c r="J160" t="s">
        <v>1382</v>
      </c>
      <c r="K160" t="s">
        <v>1309</v>
      </c>
      <c r="L160" t="s">
        <v>1310</v>
      </c>
      <c r="M160" t="s">
        <v>1309</v>
      </c>
      <c r="N160" t="s">
        <v>1309</v>
      </c>
      <c r="O160" t="s">
        <v>1309</v>
      </c>
      <c r="P160" t="s">
        <v>1310</v>
      </c>
      <c r="Q160" t="s">
        <v>1309</v>
      </c>
      <c r="R160" t="s">
        <v>1309</v>
      </c>
      <c r="S160">
        <v>1</v>
      </c>
      <c r="U160" t="s">
        <v>1312</v>
      </c>
      <c r="V160" t="s">
        <v>1312</v>
      </c>
      <c r="W160" t="s">
        <v>1312</v>
      </c>
      <c r="X160" t="s">
        <v>1312</v>
      </c>
      <c r="Y160" t="s">
        <v>1312</v>
      </c>
      <c r="Z160" t="s">
        <v>1312</v>
      </c>
      <c r="AC160">
        <v>1</v>
      </c>
      <c r="AD160">
        <v>25000</v>
      </c>
      <c r="AE160">
        <v>20000</v>
      </c>
      <c r="AF160" t="s">
        <v>1313</v>
      </c>
      <c r="AH160" t="s">
        <v>1383</v>
      </c>
      <c r="AJ160" t="s">
        <v>1315</v>
      </c>
      <c r="AL160" t="s">
        <v>1316</v>
      </c>
      <c r="BS160" t="s">
        <v>1307</v>
      </c>
      <c r="CE160" t="s">
        <v>1355</v>
      </c>
      <c r="CF160" t="s">
        <v>1309</v>
      </c>
      <c r="CG160" t="s">
        <v>1309</v>
      </c>
      <c r="CH160" t="s">
        <v>1309</v>
      </c>
      <c r="CI160" t="s">
        <v>1309</v>
      </c>
      <c r="CJ160" t="s">
        <v>1309</v>
      </c>
      <c r="CK160" t="s">
        <v>1309</v>
      </c>
      <c r="CL160" t="s">
        <v>1309</v>
      </c>
      <c r="CM160" t="s">
        <v>1309</v>
      </c>
      <c r="CN160" t="s">
        <v>1310</v>
      </c>
      <c r="CO160" t="s">
        <v>1309</v>
      </c>
      <c r="CP160" t="s">
        <v>1309</v>
      </c>
      <c r="CQ160" t="s">
        <v>1309</v>
      </c>
      <c r="CR160" t="s">
        <v>1309</v>
      </c>
      <c r="CT160" t="s">
        <v>4435</v>
      </c>
      <c r="CV160" t="s">
        <v>1308</v>
      </c>
      <c r="CW160" t="s">
        <v>1310</v>
      </c>
      <c r="CX160" t="s">
        <v>1309</v>
      </c>
      <c r="CY160" t="s">
        <v>1309</v>
      </c>
      <c r="CZ160" t="s">
        <v>1309</v>
      </c>
      <c r="DA160" t="s">
        <v>1309</v>
      </c>
      <c r="DB160" t="s">
        <v>1309</v>
      </c>
      <c r="DC160" t="s">
        <v>1309</v>
      </c>
      <c r="DE160" t="s">
        <v>1358</v>
      </c>
      <c r="DF160" t="s">
        <v>1319</v>
      </c>
      <c r="DG160">
        <v>350</v>
      </c>
      <c r="DH160">
        <v>1200</v>
      </c>
      <c r="DI160">
        <v>500</v>
      </c>
      <c r="DJ160" t="s">
        <v>1358</v>
      </c>
      <c r="DK160">
        <v>50</v>
      </c>
      <c r="DL160">
        <v>3200</v>
      </c>
      <c r="DM160">
        <v>400</v>
      </c>
      <c r="DN160" t="s">
        <v>1320</v>
      </c>
      <c r="DO160" t="s">
        <v>1310</v>
      </c>
      <c r="DP160" t="s">
        <v>1309</v>
      </c>
      <c r="DQ160" t="s">
        <v>1309</v>
      </c>
      <c r="DR160" t="s">
        <v>1309</v>
      </c>
      <c r="DS160" t="s">
        <v>1309</v>
      </c>
      <c r="DT160" t="s">
        <v>1310</v>
      </c>
      <c r="DU160" t="s">
        <v>1309</v>
      </c>
      <c r="DV160" t="s">
        <v>1309</v>
      </c>
      <c r="DW160" t="s">
        <v>1309</v>
      </c>
      <c r="DY160" t="s">
        <v>1456</v>
      </c>
      <c r="DZ160">
        <v>350</v>
      </c>
      <c r="EA160" t="s">
        <v>1386</v>
      </c>
      <c r="EC160" t="s">
        <v>1457</v>
      </c>
      <c r="ED160">
        <v>500</v>
      </c>
      <c r="EE160" t="s">
        <v>1386</v>
      </c>
      <c r="EG160" t="s">
        <v>5357</v>
      </c>
      <c r="ET160" t="s">
        <v>1307</v>
      </c>
      <c r="EV160" t="s">
        <v>1307</v>
      </c>
      <c r="EX160" t="s">
        <v>1319</v>
      </c>
      <c r="EY160" t="s">
        <v>1319</v>
      </c>
      <c r="FA160" t="s">
        <v>2161</v>
      </c>
      <c r="FB160" t="s">
        <v>1309</v>
      </c>
      <c r="FC160" t="s">
        <v>1309</v>
      </c>
      <c r="FD160" t="s">
        <v>1309</v>
      </c>
      <c r="FE160" t="s">
        <v>1309</v>
      </c>
      <c r="FF160" t="s">
        <v>1309</v>
      </c>
      <c r="FG160" t="s">
        <v>1309</v>
      </c>
      <c r="FH160" t="s">
        <v>1310</v>
      </c>
      <c r="FI160" t="s">
        <v>1310</v>
      </c>
      <c r="FJ160" t="s">
        <v>1309</v>
      </c>
      <c r="FK160" t="s">
        <v>1309</v>
      </c>
      <c r="FL160" t="s">
        <v>1309</v>
      </c>
      <c r="FM160" t="s">
        <v>1310</v>
      </c>
      <c r="FN160" t="s">
        <v>1310</v>
      </c>
      <c r="FO160" t="s">
        <v>1309</v>
      </c>
      <c r="FP160" t="s">
        <v>1309</v>
      </c>
      <c r="FQ160" t="s">
        <v>1309</v>
      </c>
      <c r="FR160" t="s">
        <v>1309</v>
      </c>
      <c r="FT160" t="s">
        <v>1319</v>
      </c>
      <c r="FU160" t="s">
        <v>1649</v>
      </c>
      <c r="FV160" t="s">
        <v>1310</v>
      </c>
      <c r="FW160" t="s">
        <v>1310</v>
      </c>
      <c r="FX160" t="s">
        <v>1309</v>
      </c>
      <c r="FY160" t="s">
        <v>1309</v>
      </c>
      <c r="FZ160" t="s">
        <v>1309</v>
      </c>
      <c r="GA160" t="s">
        <v>1309</v>
      </c>
      <c r="GB160" t="s">
        <v>1309</v>
      </c>
      <c r="GC160" t="s">
        <v>1309</v>
      </c>
      <c r="GD160" t="s">
        <v>1309</v>
      </c>
      <c r="GE160" t="s">
        <v>1309</v>
      </c>
      <c r="GF160" t="s">
        <v>1309</v>
      </c>
      <c r="GG160" t="s">
        <v>1309</v>
      </c>
      <c r="GI160" t="s">
        <v>1324</v>
      </c>
      <c r="GJ160" t="s">
        <v>1436</v>
      </c>
      <c r="GK160" t="s">
        <v>1319</v>
      </c>
      <c r="GL160" t="s">
        <v>1619</v>
      </c>
      <c r="GM160" t="s">
        <v>1310</v>
      </c>
      <c r="GN160" t="s">
        <v>1309</v>
      </c>
      <c r="GO160" t="s">
        <v>1309</v>
      </c>
      <c r="GP160" t="s">
        <v>1309</v>
      </c>
      <c r="GQ160" t="s">
        <v>1309</v>
      </c>
      <c r="GR160" t="s">
        <v>1309</v>
      </c>
      <c r="GT160" t="s">
        <v>1325</v>
      </c>
      <c r="GU160" t="s">
        <v>1310</v>
      </c>
      <c r="GV160" t="s">
        <v>1309</v>
      </c>
      <c r="GW160" t="s">
        <v>1309</v>
      </c>
      <c r="GX160" t="s">
        <v>1309</v>
      </c>
      <c r="GY160" t="s">
        <v>1309</v>
      </c>
      <c r="GZ160" t="s">
        <v>1309</v>
      </c>
      <c r="HA160" t="s">
        <v>1309</v>
      </c>
      <c r="HB160" t="s">
        <v>1309</v>
      </c>
      <c r="HC160" t="s">
        <v>1309</v>
      </c>
      <c r="HD160" t="s">
        <v>1309</v>
      </c>
      <c r="HE160" t="s">
        <v>1309</v>
      </c>
      <c r="HF160" t="s">
        <v>1309</v>
      </c>
      <c r="HH160" t="s">
        <v>1390</v>
      </c>
      <c r="HI160" t="s">
        <v>1326</v>
      </c>
      <c r="HJ160" t="s">
        <v>1326</v>
      </c>
      <c r="HK160" t="s">
        <v>1390</v>
      </c>
      <c r="HL160" t="s">
        <v>1328</v>
      </c>
      <c r="HM160" t="s">
        <v>1390</v>
      </c>
      <c r="HN160" t="s">
        <v>1726</v>
      </c>
      <c r="HO160" t="s">
        <v>1310</v>
      </c>
      <c r="HP160" t="s">
        <v>1310</v>
      </c>
      <c r="HQ160" t="s">
        <v>1309</v>
      </c>
      <c r="HR160" t="s">
        <v>1309</v>
      </c>
      <c r="HS160" t="s">
        <v>1310</v>
      </c>
      <c r="HT160" t="s">
        <v>1309</v>
      </c>
      <c r="HU160" t="s">
        <v>1309</v>
      </c>
      <c r="HV160" t="s">
        <v>1309</v>
      </c>
      <c r="HW160" t="s">
        <v>1309</v>
      </c>
      <c r="HX160" t="s">
        <v>1309</v>
      </c>
      <c r="HY160" t="s">
        <v>1309</v>
      </c>
      <c r="IA160" t="s">
        <v>1319</v>
      </c>
      <c r="IB160" t="s">
        <v>2162</v>
      </c>
      <c r="IC160" t="s">
        <v>1309</v>
      </c>
      <c r="ID160" t="s">
        <v>1309</v>
      </c>
      <c r="IE160" t="s">
        <v>1309</v>
      </c>
      <c r="IF160" t="s">
        <v>1310</v>
      </c>
      <c r="IG160" t="s">
        <v>1309</v>
      </c>
      <c r="IH160" t="s">
        <v>1309</v>
      </c>
      <c r="II160" t="s">
        <v>1309</v>
      </c>
      <c r="IJ160" t="s">
        <v>1309</v>
      </c>
      <c r="IK160" t="s">
        <v>1309</v>
      </c>
      <c r="IL160" t="s">
        <v>1309</v>
      </c>
      <c r="IM160" t="s">
        <v>1309</v>
      </c>
      <c r="IN160" t="s">
        <v>1309</v>
      </c>
      <c r="IO160" t="s">
        <v>1309</v>
      </c>
      <c r="IQ160" t="s">
        <v>1330</v>
      </c>
      <c r="IS160" t="s">
        <v>1316</v>
      </c>
      <c r="JF160" t="s">
        <v>1413</v>
      </c>
      <c r="JG160" t="s">
        <v>1332</v>
      </c>
      <c r="JH160" t="s">
        <v>1309</v>
      </c>
      <c r="JI160" t="s">
        <v>1309</v>
      </c>
      <c r="JJ160" t="s">
        <v>1309</v>
      </c>
      <c r="JK160" t="s">
        <v>1309</v>
      </c>
      <c r="JL160" t="s">
        <v>1310</v>
      </c>
      <c r="JM160" t="s">
        <v>1309</v>
      </c>
      <c r="JN160" t="s">
        <v>1309</v>
      </c>
      <c r="JO160" t="s">
        <v>1309</v>
      </c>
      <c r="JQ160" s="92" t="s">
        <v>1333</v>
      </c>
      <c r="JR160" s="92" t="s">
        <v>1334</v>
      </c>
      <c r="JS160" s="92">
        <v>45</v>
      </c>
      <c r="JT160" s="92" t="s">
        <v>1319</v>
      </c>
      <c r="JU160" s="92" t="s">
        <v>1396</v>
      </c>
      <c r="JV160" s="92" t="s">
        <v>1336</v>
      </c>
      <c r="JW160" s="92" t="s">
        <v>1296</v>
      </c>
      <c r="JX160" s="92" t="s">
        <v>71</v>
      </c>
      <c r="JY160" s="92" t="s">
        <v>1397</v>
      </c>
      <c r="JZ160" s="92" t="s">
        <v>1337</v>
      </c>
      <c r="KA160" s="92" t="s">
        <v>4845</v>
      </c>
      <c r="KB160" s="92" t="s">
        <v>1399</v>
      </c>
      <c r="KC160" s="92" t="s">
        <v>109</v>
      </c>
      <c r="KD160" s="92" t="s">
        <v>4844</v>
      </c>
      <c r="KE160" s="92" t="s">
        <v>1416</v>
      </c>
      <c r="KF160" s="92">
        <v>2050</v>
      </c>
      <c r="KG160" s="92" t="s">
        <v>1372</v>
      </c>
      <c r="KH160" s="92" t="s">
        <v>192</v>
      </c>
      <c r="KI160" s="92" t="s">
        <v>192</v>
      </c>
      <c r="KJ160" s="92" t="s">
        <v>192</v>
      </c>
      <c r="KK160" s="92" t="s">
        <v>192</v>
      </c>
      <c r="KL160" s="92" t="s">
        <v>1425</v>
      </c>
      <c r="KM160" s="92">
        <v>3650</v>
      </c>
      <c r="KN160" s="92" t="s">
        <v>4438</v>
      </c>
      <c r="KO160" s="92" t="s">
        <v>1341</v>
      </c>
      <c r="KP160" s="92" t="s">
        <v>1342</v>
      </c>
      <c r="KQ160" s="92" t="s">
        <v>192</v>
      </c>
      <c r="KR160" s="92">
        <v>17</v>
      </c>
      <c r="KS160" s="92" t="s">
        <v>1343</v>
      </c>
      <c r="KT160" s="92" t="s">
        <v>1402</v>
      </c>
      <c r="KU160" s="92">
        <v>14</v>
      </c>
      <c r="KV160" s="92" t="s">
        <v>1345</v>
      </c>
      <c r="KW160" s="92" t="s">
        <v>1402</v>
      </c>
      <c r="KX160" s="92" t="s">
        <v>1376</v>
      </c>
      <c r="KY160" s="92" t="s">
        <v>1377</v>
      </c>
      <c r="KZ160" s="92" t="s">
        <v>1403</v>
      </c>
      <c r="LA160" s="92" t="s">
        <v>109</v>
      </c>
      <c r="LB160" s="92" t="s">
        <v>109</v>
      </c>
      <c r="LC160" s="92" t="s">
        <v>1372</v>
      </c>
      <c r="LD160" s="92" t="s">
        <v>4438</v>
      </c>
      <c r="LE160" s="92" t="s">
        <v>109</v>
      </c>
      <c r="LF160" s="92" t="s">
        <v>109</v>
      </c>
    </row>
    <row r="161" spans="1:318" x14ac:dyDescent="0.25">
      <c r="A161" t="s">
        <v>2163</v>
      </c>
      <c r="B161" t="s">
        <v>2164</v>
      </c>
      <c r="C161" t="s">
        <v>1304</v>
      </c>
      <c r="D161" t="s">
        <v>1305</v>
      </c>
      <c r="E161" t="s">
        <v>1381</v>
      </c>
      <c r="G161" t="s">
        <v>1319</v>
      </c>
      <c r="H161">
        <v>3</v>
      </c>
      <c r="I161" t="s">
        <v>1358</v>
      </c>
      <c r="J161" t="s">
        <v>2165</v>
      </c>
      <c r="K161" t="s">
        <v>1309</v>
      </c>
      <c r="L161" t="s">
        <v>1309</v>
      </c>
      <c r="M161" t="s">
        <v>1310</v>
      </c>
      <c r="N161" t="s">
        <v>1310</v>
      </c>
      <c r="O161" t="s">
        <v>1310</v>
      </c>
      <c r="P161" t="s">
        <v>1309</v>
      </c>
      <c r="Q161" t="s">
        <v>1309</v>
      </c>
      <c r="R161" t="s">
        <v>1309</v>
      </c>
      <c r="T161">
        <v>1</v>
      </c>
      <c r="U161" t="s">
        <v>1312</v>
      </c>
      <c r="V161" t="s">
        <v>1312</v>
      </c>
      <c r="W161" t="s">
        <v>1455</v>
      </c>
      <c r="X161" t="s">
        <v>1311</v>
      </c>
      <c r="Y161" t="s">
        <v>1311</v>
      </c>
      <c r="Z161" t="s">
        <v>1312</v>
      </c>
      <c r="AA161">
        <v>0</v>
      </c>
      <c r="AC161">
        <v>3</v>
      </c>
      <c r="AD161">
        <v>10000</v>
      </c>
      <c r="AE161">
        <v>8000</v>
      </c>
      <c r="AF161" t="s">
        <v>1313</v>
      </c>
      <c r="AH161" t="s">
        <v>1383</v>
      </c>
      <c r="AJ161" t="s">
        <v>1353</v>
      </c>
      <c r="AL161" t="s">
        <v>1316</v>
      </c>
      <c r="BA161" t="s">
        <v>1316</v>
      </c>
      <c r="BS161" t="s">
        <v>1307</v>
      </c>
      <c r="CE161" t="s">
        <v>1431</v>
      </c>
      <c r="CF161" t="s">
        <v>1309</v>
      </c>
      <c r="CG161" t="s">
        <v>1309</v>
      </c>
      <c r="CH161" t="s">
        <v>1309</v>
      </c>
      <c r="CI161" t="s">
        <v>1310</v>
      </c>
      <c r="CJ161" t="s">
        <v>1309</v>
      </c>
      <c r="CK161" t="s">
        <v>1309</v>
      </c>
      <c r="CL161" t="s">
        <v>1309</v>
      </c>
      <c r="CM161" t="s">
        <v>1309</v>
      </c>
      <c r="CN161" t="s">
        <v>1310</v>
      </c>
      <c r="CO161" t="s">
        <v>1309</v>
      </c>
      <c r="CP161" t="s">
        <v>1309</v>
      </c>
      <c r="CQ161" t="s">
        <v>1309</v>
      </c>
      <c r="CR161" t="s">
        <v>1309</v>
      </c>
      <c r="CT161" t="s">
        <v>4434</v>
      </c>
      <c r="CV161" t="s">
        <v>1308</v>
      </c>
      <c r="CW161" t="s">
        <v>1310</v>
      </c>
      <c r="CX161" t="s">
        <v>1309</v>
      </c>
      <c r="CY161" t="s">
        <v>1309</v>
      </c>
      <c r="CZ161" t="s">
        <v>1309</v>
      </c>
      <c r="DA161" t="s">
        <v>1309</v>
      </c>
      <c r="DB161" t="s">
        <v>1309</v>
      </c>
      <c r="DC161" t="s">
        <v>1309</v>
      </c>
      <c r="DE161" t="s">
        <v>1358</v>
      </c>
      <c r="DG161">
        <v>1000</v>
      </c>
      <c r="DI161">
        <v>300</v>
      </c>
      <c r="DJ161" t="s">
        <v>1358</v>
      </c>
      <c r="DK161">
        <v>1350</v>
      </c>
      <c r="DM161">
        <v>350</v>
      </c>
      <c r="DN161" t="s">
        <v>1320</v>
      </c>
      <c r="DO161" t="s">
        <v>1310</v>
      </c>
      <c r="DP161" t="s">
        <v>1309</v>
      </c>
      <c r="DQ161" t="s">
        <v>1309</v>
      </c>
      <c r="DR161" t="s">
        <v>1309</v>
      </c>
      <c r="DS161" t="s">
        <v>1309</v>
      </c>
      <c r="DT161" t="s">
        <v>1310</v>
      </c>
      <c r="DU161" t="s">
        <v>1309</v>
      </c>
      <c r="DV161" t="s">
        <v>1309</v>
      </c>
      <c r="DW161" t="s">
        <v>1309</v>
      </c>
      <c r="DY161" t="s">
        <v>1419</v>
      </c>
      <c r="DZ161">
        <v>300</v>
      </c>
      <c r="EA161" t="s">
        <v>1319</v>
      </c>
      <c r="EC161" t="s">
        <v>1457</v>
      </c>
      <c r="ED161">
        <v>950</v>
      </c>
      <c r="EE161" t="s">
        <v>1386</v>
      </c>
      <c r="EG161" t="s">
        <v>5356</v>
      </c>
      <c r="EI161" t="s">
        <v>1307</v>
      </c>
      <c r="ET161" t="s">
        <v>1307</v>
      </c>
      <c r="EV161" t="s">
        <v>1319</v>
      </c>
      <c r="EW161" t="s">
        <v>1529</v>
      </c>
      <c r="EX161" t="s">
        <v>1319</v>
      </c>
      <c r="EY161" t="s">
        <v>1319</v>
      </c>
      <c r="FA161" t="s">
        <v>1912</v>
      </c>
      <c r="FB161" t="s">
        <v>1310</v>
      </c>
      <c r="FC161" t="s">
        <v>1309</v>
      </c>
      <c r="FD161" t="s">
        <v>1309</v>
      </c>
      <c r="FE161" t="s">
        <v>1309</v>
      </c>
      <c r="FF161" t="s">
        <v>1309</v>
      </c>
      <c r="FG161" t="s">
        <v>1309</v>
      </c>
      <c r="FH161" t="s">
        <v>1309</v>
      </c>
      <c r="FI161" t="s">
        <v>1309</v>
      </c>
      <c r="FJ161" t="s">
        <v>1309</v>
      </c>
      <c r="FK161" t="s">
        <v>1309</v>
      </c>
      <c r="FL161" t="s">
        <v>1309</v>
      </c>
      <c r="FM161" t="s">
        <v>1310</v>
      </c>
      <c r="FN161" t="s">
        <v>1309</v>
      </c>
      <c r="FO161" t="s">
        <v>1310</v>
      </c>
      <c r="FP161" t="s">
        <v>1309</v>
      </c>
      <c r="FQ161" t="s">
        <v>1309</v>
      </c>
      <c r="FR161" t="s">
        <v>1309</v>
      </c>
      <c r="FT161" t="s">
        <v>1307</v>
      </c>
      <c r="GI161" t="s">
        <v>1324</v>
      </c>
      <c r="GJ161" t="s">
        <v>1324</v>
      </c>
      <c r="GT161" t="s">
        <v>1325</v>
      </c>
      <c r="GU161" t="s">
        <v>1310</v>
      </c>
      <c r="GV161" t="s">
        <v>1309</v>
      </c>
      <c r="GW161" t="s">
        <v>1309</v>
      </c>
      <c r="GX161" t="s">
        <v>1309</v>
      </c>
      <c r="GY161" t="s">
        <v>1309</v>
      </c>
      <c r="GZ161" t="s">
        <v>1309</v>
      </c>
      <c r="HA161" t="s">
        <v>1309</v>
      </c>
      <c r="HB161" t="s">
        <v>1309</v>
      </c>
      <c r="HC161" t="s">
        <v>1309</v>
      </c>
      <c r="HD161" t="s">
        <v>1309</v>
      </c>
      <c r="HE161" t="s">
        <v>1309</v>
      </c>
      <c r="HF161" t="s">
        <v>1309</v>
      </c>
      <c r="HH161" t="s">
        <v>1390</v>
      </c>
      <c r="HI161" t="s">
        <v>1390</v>
      </c>
      <c r="HJ161" t="s">
        <v>1390</v>
      </c>
      <c r="HK161" t="s">
        <v>1390</v>
      </c>
      <c r="HL161" t="s">
        <v>1364</v>
      </c>
      <c r="HM161" t="s">
        <v>1363</v>
      </c>
      <c r="IA161" t="s">
        <v>1307</v>
      </c>
      <c r="IQ161" t="s">
        <v>1330</v>
      </c>
      <c r="IS161" t="s">
        <v>1316</v>
      </c>
      <c r="JF161" t="s">
        <v>1354</v>
      </c>
      <c r="JG161" t="s">
        <v>1523</v>
      </c>
      <c r="JH161" t="s">
        <v>1309</v>
      </c>
      <c r="JI161" t="s">
        <v>1309</v>
      </c>
      <c r="JJ161" t="s">
        <v>1309</v>
      </c>
      <c r="JK161" t="s">
        <v>1310</v>
      </c>
      <c r="JL161" t="s">
        <v>1309</v>
      </c>
      <c r="JM161" t="s">
        <v>1309</v>
      </c>
      <c r="JN161" t="s">
        <v>1309</v>
      </c>
      <c r="JO161" t="s">
        <v>1309</v>
      </c>
      <c r="JQ161" s="92" t="s">
        <v>2092</v>
      </c>
      <c r="JR161" s="92" t="s">
        <v>2093</v>
      </c>
      <c r="JS161" s="92">
        <v>52</v>
      </c>
      <c r="JT161" s="92" t="s">
        <v>1319</v>
      </c>
      <c r="JU161" s="92" t="s">
        <v>1396</v>
      </c>
      <c r="JV161" s="92" t="s">
        <v>1368</v>
      </c>
      <c r="JW161" s="92" t="s">
        <v>1296</v>
      </c>
      <c r="JX161" s="92" t="s">
        <v>71</v>
      </c>
      <c r="JY161" s="92" t="s">
        <v>1397</v>
      </c>
      <c r="JZ161" s="92" t="s">
        <v>1337</v>
      </c>
      <c r="KA161" s="92" t="s">
        <v>4845</v>
      </c>
      <c r="KB161" s="92" t="s">
        <v>1439</v>
      </c>
      <c r="KC161" s="92" t="s">
        <v>192</v>
      </c>
      <c r="KD161" s="92" t="s">
        <v>4848</v>
      </c>
      <c r="KE161" s="92" t="s">
        <v>1424</v>
      </c>
      <c r="KF161" s="92">
        <v>1300</v>
      </c>
      <c r="KG161" s="92" t="s">
        <v>4438</v>
      </c>
      <c r="KH161" s="92" t="s">
        <v>192</v>
      </c>
      <c r="KI161" s="92" t="s">
        <v>109</v>
      </c>
      <c r="KJ161" s="92" t="s">
        <v>192</v>
      </c>
      <c r="KK161" s="92" t="s">
        <v>109</v>
      </c>
      <c r="KL161" s="92" t="s">
        <v>1440</v>
      </c>
      <c r="KM161" s="92">
        <v>1700</v>
      </c>
      <c r="KN161" s="92" t="s">
        <v>4438</v>
      </c>
      <c r="KO161" s="92" t="s">
        <v>1440</v>
      </c>
      <c r="KP161" s="92" t="s">
        <v>1460</v>
      </c>
      <c r="KQ161" s="92" t="s">
        <v>192</v>
      </c>
      <c r="KR161" s="92">
        <v>23</v>
      </c>
      <c r="KS161" s="92" t="s">
        <v>1343</v>
      </c>
      <c r="KT161" s="92" t="s">
        <v>1344</v>
      </c>
      <c r="KU161" s="92">
        <v>56</v>
      </c>
      <c r="KV161" s="92" t="s">
        <v>1461</v>
      </c>
      <c r="KW161" s="92" t="s">
        <v>1402</v>
      </c>
      <c r="KX161" s="92" t="s">
        <v>1376</v>
      </c>
      <c r="KY161" s="92" t="s">
        <v>1377</v>
      </c>
      <c r="KZ161" s="92" t="s">
        <v>1403</v>
      </c>
      <c r="LA161" s="92" t="s">
        <v>109</v>
      </c>
      <c r="LB161" s="92" t="s">
        <v>109</v>
      </c>
      <c r="LC161" s="92" t="s">
        <v>4438</v>
      </c>
      <c r="LD161" s="92" t="s">
        <v>4438</v>
      </c>
      <c r="LE161" s="92" t="s">
        <v>109</v>
      </c>
      <c r="LF161" s="92" t="s">
        <v>109</v>
      </c>
    </row>
    <row r="162" spans="1:318" x14ac:dyDescent="0.25">
      <c r="A162" t="s">
        <v>2166</v>
      </c>
      <c r="B162" t="s">
        <v>2167</v>
      </c>
      <c r="C162" t="s">
        <v>1304</v>
      </c>
      <c r="D162" t="s">
        <v>1429</v>
      </c>
      <c r="E162" t="s">
        <v>1381</v>
      </c>
      <c r="G162" t="s">
        <v>1319</v>
      </c>
      <c r="H162">
        <v>2</v>
      </c>
      <c r="I162" t="s">
        <v>1358</v>
      </c>
      <c r="J162" t="s">
        <v>1479</v>
      </c>
      <c r="K162" t="s">
        <v>1309</v>
      </c>
      <c r="L162" t="s">
        <v>1309</v>
      </c>
      <c r="M162" t="s">
        <v>1309</v>
      </c>
      <c r="N162" t="s">
        <v>1309</v>
      </c>
      <c r="O162" t="s">
        <v>1310</v>
      </c>
      <c r="P162" t="s">
        <v>1309</v>
      </c>
      <c r="Q162" t="s">
        <v>1309</v>
      </c>
      <c r="R162" t="s">
        <v>1309</v>
      </c>
      <c r="U162" t="s">
        <v>1312</v>
      </c>
      <c r="V162" t="s">
        <v>1312</v>
      </c>
      <c r="W162" t="s">
        <v>1312</v>
      </c>
      <c r="X162" t="s">
        <v>1311</v>
      </c>
      <c r="Y162" t="s">
        <v>1312</v>
      </c>
      <c r="Z162" t="s">
        <v>1312</v>
      </c>
      <c r="AC162">
        <v>2</v>
      </c>
      <c r="AD162">
        <v>6000</v>
      </c>
      <c r="AE162">
        <v>12000</v>
      </c>
      <c r="AF162" t="s">
        <v>1313</v>
      </c>
      <c r="AH162" t="s">
        <v>1314</v>
      </c>
      <c r="AJ162" t="s">
        <v>1315</v>
      </c>
      <c r="AL162" t="s">
        <v>1316</v>
      </c>
      <c r="BS162" t="s">
        <v>1307</v>
      </c>
      <c r="CE162" t="s">
        <v>2168</v>
      </c>
      <c r="CF162" t="s">
        <v>1309</v>
      </c>
      <c r="CG162" t="s">
        <v>1309</v>
      </c>
      <c r="CH162" t="s">
        <v>1309</v>
      </c>
      <c r="CI162" t="s">
        <v>1309</v>
      </c>
      <c r="CJ162" t="s">
        <v>1310</v>
      </c>
      <c r="CK162" t="s">
        <v>1310</v>
      </c>
      <c r="CL162" t="s">
        <v>1309</v>
      </c>
      <c r="CM162" t="s">
        <v>1309</v>
      </c>
      <c r="CN162" t="s">
        <v>1309</v>
      </c>
      <c r="CO162" t="s">
        <v>1309</v>
      </c>
      <c r="CP162" t="s">
        <v>1309</v>
      </c>
      <c r="CQ162" t="s">
        <v>1309</v>
      </c>
      <c r="CR162" t="s">
        <v>1309</v>
      </c>
      <c r="CT162" t="s">
        <v>4435</v>
      </c>
      <c r="CV162" t="s">
        <v>1357</v>
      </c>
      <c r="CW162" t="s">
        <v>1309</v>
      </c>
      <c r="CX162" t="s">
        <v>1309</v>
      </c>
      <c r="CY162" t="s">
        <v>1309</v>
      </c>
      <c r="CZ162" t="s">
        <v>1309</v>
      </c>
      <c r="DA162" t="s">
        <v>1310</v>
      </c>
      <c r="DB162" t="s">
        <v>1309</v>
      </c>
      <c r="DC162" t="s">
        <v>1309</v>
      </c>
      <c r="DE162" t="s">
        <v>1358</v>
      </c>
      <c r="DF162" t="s">
        <v>1319</v>
      </c>
      <c r="DG162">
        <v>150</v>
      </c>
      <c r="DI162">
        <v>450</v>
      </c>
      <c r="DJ162" t="s">
        <v>1358</v>
      </c>
      <c r="DK162">
        <v>150</v>
      </c>
      <c r="DL162">
        <v>2000</v>
      </c>
      <c r="DM162">
        <v>450</v>
      </c>
      <c r="DN162" t="s">
        <v>1320</v>
      </c>
      <c r="DO162" t="s">
        <v>1310</v>
      </c>
      <c r="DP162" t="s">
        <v>1309</v>
      </c>
      <c r="DQ162" t="s">
        <v>1309</v>
      </c>
      <c r="DR162" t="s">
        <v>1309</v>
      </c>
      <c r="DS162" t="s">
        <v>1309</v>
      </c>
      <c r="DT162" t="s">
        <v>1310</v>
      </c>
      <c r="DU162" t="s">
        <v>1309</v>
      </c>
      <c r="DV162" t="s">
        <v>1309</v>
      </c>
      <c r="DW162" t="s">
        <v>1309</v>
      </c>
      <c r="DY162" t="s">
        <v>1456</v>
      </c>
      <c r="DZ162">
        <v>470</v>
      </c>
      <c r="EA162" t="s">
        <v>1319</v>
      </c>
      <c r="EC162" t="s">
        <v>1457</v>
      </c>
      <c r="ED162">
        <v>500</v>
      </c>
      <c r="EE162" t="s">
        <v>1319</v>
      </c>
      <c r="EG162" t="s">
        <v>5356</v>
      </c>
      <c r="EI162" t="s">
        <v>1307</v>
      </c>
      <c r="ET162" t="s">
        <v>1307</v>
      </c>
      <c r="EV162" t="s">
        <v>1319</v>
      </c>
      <c r="EW162" t="s">
        <v>1409</v>
      </c>
      <c r="EX162" t="s">
        <v>1319</v>
      </c>
      <c r="EY162" t="s">
        <v>1319</v>
      </c>
      <c r="FA162" t="s">
        <v>1902</v>
      </c>
      <c r="FB162" t="s">
        <v>1309</v>
      </c>
      <c r="FC162" t="s">
        <v>1309</v>
      </c>
      <c r="FD162" t="s">
        <v>1309</v>
      </c>
      <c r="FE162" t="s">
        <v>1309</v>
      </c>
      <c r="FF162" t="s">
        <v>1309</v>
      </c>
      <c r="FG162" t="s">
        <v>1309</v>
      </c>
      <c r="FH162" t="s">
        <v>1309</v>
      </c>
      <c r="FI162" t="s">
        <v>1310</v>
      </c>
      <c r="FJ162" t="s">
        <v>1309</v>
      </c>
      <c r="FK162" t="s">
        <v>1309</v>
      </c>
      <c r="FL162" t="s">
        <v>1309</v>
      </c>
      <c r="FM162" t="s">
        <v>1309</v>
      </c>
      <c r="FN162" t="s">
        <v>1310</v>
      </c>
      <c r="FO162" t="s">
        <v>1309</v>
      </c>
      <c r="FP162" t="s">
        <v>1309</v>
      </c>
      <c r="FQ162" t="s">
        <v>1309</v>
      </c>
      <c r="FR162" t="s">
        <v>1309</v>
      </c>
      <c r="FT162" t="s">
        <v>1319</v>
      </c>
      <c r="FU162" t="s">
        <v>1626</v>
      </c>
      <c r="FV162" t="s">
        <v>1309</v>
      </c>
      <c r="FW162" t="s">
        <v>1310</v>
      </c>
      <c r="FX162" t="s">
        <v>1309</v>
      </c>
      <c r="FY162" t="s">
        <v>1309</v>
      </c>
      <c r="FZ162" t="s">
        <v>1309</v>
      </c>
      <c r="GA162" t="s">
        <v>1309</v>
      </c>
      <c r="GB162" t="s">
        <v>1309</v>
      </c>
      <c r="GC162" t="s">
        <v>1309</v>
      </c>
      <c r="GD162" t="s">
        <v>1309</v>
      </c>
      <c r="GE162" t="s">
        <v>1309</v>
      </c>
      <c r="GF162" t="s">
        <v>1309</v>
      </c>
      <c r="GG162" t="s">
        <v>1309</v>
      </c>
      <c r="GI162" t="s">
        <v>1436</v>
      </c>
      <c r="GJ162" t="s">
        <v>1436</v>
      </c>
      <c r="GK162" t="s">
        <v>1319</v>
      </c>
      <c r="GL162" t="s">
        <v>2169</v>
      </c>
      <c r="GM162" t="s">
        <v>1310</v>
      </c>
      <c r="GN162" t="s">
        <v>1310</v>
      </c>
      <c r="GO162" t="s">
        <v>1309</v>
      </c>
      <c r="GP162" t="s">
        <v>1309</v>
      </c>
      <c r="GQ162" t="s">
        <v>1309</v>
      </c>
      <c r="GR162" t="s">
        <v>1309</v>
      </c>
      <c r="GT162" t="s">
        <v>1325</v>
      </c>
      <c r="GU162" t="s">
        <v>1310</v>
      </c>
      <c r="GV162" t="s">
        <v>1309</v>
      </c>
      <c r="GW162" t="s">
        <v>1309</v>
      </c>
      <c r="GX162" t="s">
        <v>1309</v>
      </c>
      <c r="GY162" t="s">
        <v>1309</v>
      </c>
      <c r="GZ162" t="s">
        <v>1309</v>
      </c>
      <c r="HA162" t="s">
        <v>1309</v>
      </c>
      <c r="HB162" t="s">
        <v>1309</v>
      </c>
      <c r="HC162" t="s">
        <v>1309</v>
      </c>
      <c r="HD162" t="s">
        <v>1309</v>
      </c>
      <c r="HE162" t="s">
        <v>1309</v>
      </c>
      <c r="HF162" t="s">
        <v>1309</v>
      </c>
      <c r="HH162" t="s">
        <v>1390</v>
      </c>
      <c r="HI162" t="s">
        <v>1326</v>
      </c>
      <c r="HJ162" t="s">
        <v>1326</v>
      </c>
      <c r="HK162" t="s">
        <v>1390</v>
      </c>
      <c r="HL162" t="s">
        <v>1437</v>
      </c>
      <c r="HM162" t="s">
        <v>1390</v>
      </c>
      <c r="HN162" t="s">
        <v>1626</v>
      </c>
      <c r="HO162" t="s">
        <v>1310</v>
      </c>
      <c r="HP162" t="s">
        <v>1309</v>
      </c>
      <c r="HQ162" t="s">
        <v>1309</v>
      </c>
      <c r="HR162" t="s">
        <v>1309</v>
      </c>
      <c r="HS162" t="s">
        <v>1309</v>
      </c>
      <c r="HT162" t="s">
        <v>1309</v>
      </c>
      <c r="HU162" t="s">
        <v>1309</v>
      </c>
      <c r="HV162" t="s">
        <v>1309</v>
      </c>
      <c r="HW162" t="s">
        <v>1309</v>
      </c>
      <c r="HX162" t="s">
        <v>1309</v>
      </c>
      <c r="HY162" t="s">
        <v>1309</v>
      </c>
      <c r="IA162" t="s">
        <v>1307</v>
      </c>
      <c r="IQ162" t="s">
        <v>1330</v>
      </c>
      <c r="IS162" t="s">
        <v>1316</v>
      </c>
      <c r="JF162" t="s">
        <v>1413</v>
      </c>
      <c r="JG162" t="s">
        <v>1523</v>
      </c>
      <c r="JH162" t="s">
        <v>1309</v>
      </c>
      <c r="JI162" t="s">
        <v>1309</v>
      </c>
      <c r="JJ162" t="s">
        <v>1309</v>
      </c>
      <c r="JK162" t="s">
        <v>1310</v>
      </c>
      <c r="JL162" t="s">
        <v>1309</v>
      </c>
      <c r="JM162" t="s">
        <v>1309</v>
      </c>
      <c r="JN162" t="s">
        <v>1309</v>
      </c>
      <c r="JO162" t="s">
        <v>1309</v>
      </c>
      <c r="JQ162" s="92" t="s">
        <v>1333</v>
      </c>
      <c r="JR162" s="92" t="s">
        <v>1334</v>
      </c>
      <c r="JS162" s="92">
        <v>41</v>
      </c>
      <c r="JT162" s="92" t="s">
        <v>1319</v>
      </c>
      <c r="JU162" s="92" t="s">
        <v>1396</v>
      </c>
      <c r="JV162" s="92" t="s">
        <v>1336</v>
      </c>
      <c r="JW162" s="92" t="s">
        <v>1296</v>
      </c>
      <c r="JX162" s="92" t="s">
        <v>71</v>
      </c>
      <c r="JY162" s="92" t="s">
        <v>1397</v>
      </c>
      <c r="JZ162" s="92" t="s">
        <v>1337</v>
      </c>
      <c r="KA162" s="92" t="s">
        <v>4845</v>
      </c>
      <c r="KB162" s="92" t="s">
        <v>1338</v>
      </c>
      <c r="KC162" s="92" t="s">
        <v>109</v>
      </c>
      <c r="KD162" s="92" t="s">
        <v>4847</v>
      </c>
      <c r="KE162" s="92" t="s">
        <v>1424</v>
      </c>
      <c r="KF162" s="92">
        <v>600</v>
      </c>
      <c r="KG162" s="92" t="s">
        <v>1372</v>
      </c>
      <c r="KH162" s="92" t="s">
        <v>192</v>
      </c>
      <c r="KI162" s="92" t="s">
        <v>109</v>
      </c>
      <c r="KJ162" s="92" t="s">
        <v>192</v>
      </c>
      <c r="KK162" s="92" t="s">
        <v>192</v>
      </c>
      <c r="KL162" s="92" t="s">
        <v>1374</v>
      </c>
      <c r="KM162" s="92">
        <v>2600</v>
      </c>
      <c r="KN162" s="92" t="s">
        <v>4439</v>
      </c>
      <c r="KO162" s="92" t="s">
        <v>1425</v>
      </c>
      <c r="KP162" s="92" t="s">
        <v>1375</v>
      </c>
      <c r="KQ162" s="92" t="s">
        <v>192</v>
      </c>
      <c r="KR162" s="92">
        <v>78</v>
      </c>
      <c r="KS162" s="92" t="s">
        <v>1343</v>
      </c>
      <c r="KT162" s="92" t="s">
        <v>1344</v>
      </c>
      <c r="KU162" s="92">
        <v>19</v>
      </c>
      <c r="KV162" s="92" t="s">
        <v>1345</v>
      </c>
      <c r="KW162" s="92" t="s">
        <v>1344</v>
      </c>
      <c r="KX162" s="92" t="s">
        <v>1376</v>
      </c>
      <c r="KY162" s="92" t="s">
        <v>1377</v>
      </c>
      <c r="KZ162" s="92" t="s">
        <v>1403</v>
      </c>
      <c r="LA162" s="92" t="s">
        <v>109</v>
      </c>
      <c r="LB162" s="92" t="s">
        <v>109</v>
      </c>
      <c r="LC162" s="92" t="s">
        <v>1372</v>
      </c>
      <c r="LD162" s="92" t="s">
        <v>4438</v>
      </c>
      <c r="LE162" s="92" t="s">
        <v>192</v>
      </c>
      <c r="LF162" s="92" t="s">
        <v>192</v>
      </c>
    </row>
    <row r="163" spans="1:318" x14ac:dyDescent="0.25">
      <c r="A163" t="s">
        <v>2170</v>
      </c>
      <c r="B163" t="s">
        <v>2171</v>
      </c>
      <c r="C163" t="s">
        <v>1304</v>
      </c>
      <c r="D163" t="s">
        <v>1305</v>
      </c>
      <c r="E163" t="s">
        <v>1381</v>
      </c>
      <c r="G163" t="s">
        <v>1319</v>
      </c>
      <c r="H163">
        <v>4</v>
      </c>
      <c r="I163" t="s">
        <v>1358</v>
      </c>
      <c r="J163" t="s">
        <v>1350</v>
      </c>
      <c r="K163" t="s">
        <v>1309</v>
      </c>
      <c r="L163" t="s">
        <v>1310</v>
      </c>
      <c r="M163" t="s">
        <v>1310</v>
      </c>
      <c r="N163" t="s">
        <v>1310</v>
      </c>
      <c r="O163" t="s">
        <v>1310</v>
      </c>
      <c r="P163" t="s">
        <v>1309</v>
      </c>
      <c r="Q163" t="s">
        <v>1309</v>
      </c>
      <c r="R163" t="s">
        <v>1309</v>
      </c>
      <c r="S163">
        <v>1</v>
      </c>
      <c r="T163">
        <v>1</v>
      </c>
      <c r="U163" t="s">
        <v>1311</v>
      </c>
      <c r="V163" t="s">
        <v>1312</v>
      </c>
      <c r="W163" t="s">
        <v>1311</v>
      </c>
      <c r="X163" t="s">
        <v>1312</v>
      </c>
      <c r="Y163" t="s">
        <v>1312</v>
      </c>
      <c r="Z163" t="s">
        <v>1312</v>
      </c>
      <c r="AA163">
        <v>0</v>
      </c>
      <c r="AC163">
        <v>2</v>
      </c>
      <c r="AD163">
        <v>7000</v>
      </c>
      <c r="AE163">
        <v>12000</v>
      </c>
      <c r="AF163" t="s">
        <v>1313</v>
      </c>
      <c r="AH163" t="s">
        <v>1383</v>
      </c>
      <c r="AJ163" t="s">
        <v>1315</v>
      </c>
      <c r="AL163" t="s">
        <v>1316</v>
      </c>
      <c r="BS163" t="s">
        <v>1307</v>
      </c>
      <c r="CE163" t="s">
        <v>1414</v>
      </c>
      <c r="CF163" t="s">
        <v>1309</v>
      </c>
      <c r="CG163" t="s">
        <v>1309</v>
      </c>
      <c r="CH163" t="s">
        <v>1309</v>
      </c>
      <c r="CI163" t="s">
        <v>1309</v>
      </c>
      <c r="CJ163" t="s">
        <v>1309</v>
      </c>
      <c r="CK163" t="s">
        <v>1309</v>
      </c>
      <c r="CL163" t="s">
        <v>1309</v>
      </c>
      <c r="CM163" t="s">
        <v>1309</v>
      </c>
      <c r="CN163" t="s">
        <v>1309</v>
      </c>
      <c r="CO163" t="s">
        <v>1309</v>
      </c>
      <c r="CP163" t="s">
        <v>1309</v>
      </c>
      <c r="CQ163" t="s">
        <v>1310</v>
      </c>
      <c r="CR163" t="s">
        <v>1309</v>
      </c>
      <c r="CT163" t="s">
        <v>4435</v>
      </c>
      <c r="CV163" t="s">
        <v>1308</v>
      </c>
      <c r="CW163" t="s">
        <v>1310</v>
      </c>
      <c r="CX163" t="s">
        <v>1309</v>
      </c>
      <c r="CY163" t="s">
        <v>1309</v>
      </c>
      <c r="CZ163" t="s">
        <v>1309</v>
      </c>
      <c r="DA163" t="s">
        <v>1309</v>
      </c>
      <c r="DB163" t="s">
        <v>1309</v>
      </c>
      <c r="DC163" t="s">
        <v>1309</v>
      </c>
      <c r="DE163" t="s">
        <v>1358</v>
      </c>
      <c r="DF163" t="s">
        <v>1319</v>
      </c>
      <c r="DJ163" t="s">
        <v>1318</v>
      </c>
      <c r="DK163">
        <v>200</v>
      </c>
      <c r="DL163">
        <v>1800</v>
      </c>
      <c r="DM163">
        <v>800</v>
      </c>
      <c r="DN163" t="s">
        <v>1320</v>
      </c>
      <c r="DO163" t="s">
        <v>1310</v>
      </c>
      <c r="DP163" t="s">
        <v>1309</v>
      </c>
      <c r="DQ163" t="s">
        <v>1309</v>
      </c>
      <c r="DR163" t="s">
        <v>1309</v>
      </c>
      <c r="DS163" t="s">
        <v>1309</v>
      </c>
      <c r="DT163" t="s">
        <v>1310</v>
      </c>
      <c r="DU163" t="s">
        <v>1309</v>
      </c>
      <c r="DV163" t="s">
        <v>1309</v>
      </c>
      <c r="DW163" t="s">
        <v>1309</v>
      </c>
      <c r="DY163" t="s">
        <v>1456</v>
      </c>
      <c r="DZ163">
        <v>800</v>
      </c>
      <c r="EA163" t="s">
        <v>1319</v>
      </c>
      <c r="EC163" t="s">
        <v>1457</v>
      </c>
      <c r="ED163">
        <v>800</v>
      </c>
      <c r="EE163" t="s">
        <v>1319</v>
      </c>
      <c r="EG163" t="s">
        <v>5357</v>
      </c>
      <c r="ET163" t="s">
        <v>1307</v>
      </c>
      <c r="EV163" t="s">
        <v>1319</v>
      </c>
      <c r="EW163" t="s">
        <v>1409</v>
      </c>
      <c r="EX163" t="s">
        <v>1319</v>
      </c>
      <c r="EY163" t="s">
        <v>1319</v>
      </c>
      <c r="FA163" t="s">
        <v>2172</v>
      </c>
      <c r="FB163" t="s">
        <v>1309</v>
      </c>
      <c r="FC163" t="s">
        <v>1309</v>
      </c>
      <c r="FD163" t="s">
        <v>1309</v>
      </c>
      <c r="FE163" t="s">
        <v>1309</v>
      </c>
      <c r="FF163" t="s">
        <v>1309</v>
      </c>
      <c r="FG163" t="s">
        <v>1309</v>
      </c>
      <c r="FH163" t="s">
        <v>1310</v>
      </c>
      <c r="FI163" t="s">
        <v>1309</v>
      </c>
      <c r="FJ163" t="s">
        <v>1310</v>
      </c>
      <c r="FK163" t="s">
        <v>1309</v>
      </c>
      <c r="FL163" t="s">
        <v>1309</v>
      </c>
      <c r="FM163" t="s">
        <v>1309</v>
      </c>
      <c r="FN163" t="s">
        <v>1309</v>
      </c>
      <c r="FO163" t="s">
        <v>1309</v>
      </c>
      <c r="FP163" t="s">
        <v>1309</v>
      </c>
      <c r="FQ163" t="s">
        <v>1309</v>
      </c>
      <c r="FR163" t="s">
        <v>1309</v>
      </c>
      <c r="FT163" t="s">
        <v>1319</v>
      </c>
      <c r="FU163" t="s">
        <v>1435</v>
      </c>
      <c r="FV163" t="s">
        <v>1310</v>
      </c>
      <c r="FW163" t="s">
        <v>1309</v>
      </c>
      <c r="FX163" t="s">
        <v>1309</v>
      </c>
      <c r="FY163" t="s">
        <v>1309</v>
      </c>
      <c r="FZ163" t="s">
        <v>1309</v>
      </c>
      <c r="GA163" t="s">
        <v>1309</v>
      </c>
      <c r="GB163" t="s">
        <v>1309</v>
      </c>
      <c r="GC163" t="s">
        <v>1309</v>
      </c>
      <c r="GD163" t="s">
        <v>1309</v>
      </c>
      <c r="GE163" t="s">
        <v>1309</v>
      </c>
      <c r="GF163" t="s">
        <v>1309</v>
      </c>
      <c r="GG163" t="s">
        <v>1309</v>
      </c>
      <c r="GI163" t="s">
        <v>1324</v>
      </c>
      <c r="GJ163" t="s">
        <v>1324</v>
      </c>
      <c r="GT163" t="s">
        <v>1325</v>
      </c>
      <c r="GU163" t="s">
        <v>1310</v>
      </c>
      <c r="GV163" t="s">
        <v>1309</v>
      </c>
      <c r="GW163" t="s">
        <v>1309</v>
      </c>
      <c r="GX163" t="s">
        <v>1309</v>
      </c>
      <c r="GY163" t="s">
        <v>1309</v>
      </c>
      <c r="GZ163" t="s">
        <v>1309</v>
      </c>
      <c r="HA163" t="s">
        <v>1309</v>
      </c>
      <c r="HB163" t="s">
        <v>1309</v>
      </c>
      <c r="HC163" t="s">
        <v>1309</v>
      </c>
      <c r="HD163" t="s">
        <v>1309</v>
      </c>
      <c r="HE163" t="s">
        <v>1309</v>
      </c>
      <c r="HF163" t="s">
        <v>1309</v>
      </c>
      <c r="HH163" t="s">
        <v>1326</v>
      </c>
      <c r="HI163" t="s">
        <v>1326</v>
      </c>
      <c r="HJ163" t="s">
        <v>1326</v>
      </c>
      <c r="HK163" t="s">
        <v>1327</v>
      </c>
      <c r="HL163" t="s">
        <v>1692</v>
      </c>
      <c r="HM163" t="s">
        <v>1390</v>
      </c>
      <c r="HN163" t="s">
        <v>1803</v>
      </c>
      <c r="HO163" t="s">
        <v>1310</v>
      </c>
      <c r="HP163" t="s">
        <v>1310</v>
      </c>
      <c r="HQ163" t="s">
        <v>1309</v>
      </c>
      <c r="HR163" t="s">
        <v>1309</v>
      </c>
      <c r="HS163" t="s">
        <v>1310</v>
      </c>
      <c r="HT163" t="s">
        <v>1310</v>
      </c>
      <c r="HU163" t="s">
        <v>1309</v>
      </c>
      <c r="HV163" t="s">
        <v>1309</v>
      </c>
      <c r="HW163" t="s">
        <v>1309</v>
      </c>
      <c r="HX163" t="s">
        <v>1309</v>
      </c>
      <c r="HY163" t="s">
        <v>1309</v>
      </c>
      <c r="IA163" t="s">
        <v>1307</v>
      </c>
      <c r="IQ163" t="s">
        <v>1308</v>
      </c>
      <c r="IS163" t="s">
        <v>1316</v>
      </c>
      <c r="JF163" t="s">
        <v>1413</v>
      </c>
      <c r="JG163" t="s">
        <v>1451</v>
      </c>
      <c r="JH163" t="s">
        <v>1310</v>
      </c>
      <c r="JI163" t="s">
        <v>1309</v>
      </c>
      <c r="JJ163" t="s">
        <v>1309</v>
      </c>
      <c r="JK163" t="s">
        <v>1310</v>
      </c>
      <c r="JL163" t="s">
        <v>1309</v>
      </c>
      <c r="JM163" t="s">
        <v>1309</v>
      </c>
      <c r="JN163" t="s">
        <v>1309</v>
      </c>
      <c r="JO163" t="s">
        <v>1309</v>
      </c>
      <c r="JQ163" s="92" t="s">
        <v>1333</v>
      </c>
      <c r="JR163" s="92" t="s">
        <v>1334</v>
      </c>
      <c r="JS163" s="92">
        <v>38</v>
      </c>
      <c r="JT163" s="92" t="s">
        <v>1319</v>
      </c>
      <c r="JU163" s="92" t="s">
        <v>1396</v>
      </c>
      <c r="JV163" s="92" t="s">
        <v>1336</v>
      </c>
      <c r="JW163" s="92" t="s">
        <v>1296</v>
      </c>
      <c r="JX163" s="92" t="s">
        <v>71</v>
      </c>
      <c r="JY163" s="92" t="s">
        <v>1397</v>
      </c>
      <c r="JZ163" s="92" t="s">
        <v>1337</v>
      </c>
      <c r="KA163" s="92" t="s">
        <v>4845</v>
      </c>
      <c r="KB163" s="92" t="s">
        <v>1370</v>
      </c>
      <c r="KC163" s="92" t="s">
        <v>109</v>
      </c>
      <c r="KD163" s="92" t="s">
        <v>4847</v>
      </c>
      <c r="KE163" s="92" t="s">
        <v>1424</v>
      </c>
      <c r="KF163" s="92">
        <v>0</v>
      </c>
      <c r="KG163" s="92" t="s">
        <v>1372</v>
      </c>
      <c r="KH163" s="92" t="s">
        <v>109</v>
      </c>
      <c r="KI163" s="92" t="s">
        <v>109</v>
      </c>
      <c r="KJ163" s="92" t="s">
        <v>192</v>
      </c>
      <c r="KK163" s="92" t="s">
        <v>192</v>
      </c>
      <c r="KL163" s="92" t="s">
        <v>1373</v>
      </c>
      <c r="KM163" s="92">
        <v>2800</v>
      </c>
      <c r="KN163" s="92" t="s">
        <v>4439</v>
      </c>
      <c r="KO163" s="92" t="s">
        <v>1425</v>
      </c>
      <c r="KP163" s="92" t="s">
        <v>1342</v>
      </c>
      <c r="KQ163" s="92" t="s">
        <v>192</v>
      </c>
      <c r="KR163" s="92"/>
      <c r="KS163" s="92" t="s">
        <v>1466</v>
      </c>
      <c r="KT163" s="92" t="s">
        <v>1344</v>
      </c>
      <c r="KU163" s="92">
        <v>29</v>
      </c>
      <c r="KV163" s="92" t="s">
        <v>1441</v>
      </c>
      <c r="KW163" s="92" t="s">
        <v>1344</v>
      </c>
      <c r="KX163" s="92" t="s">
        <v>1376</v>
      </c>
      <c r="KY163" s="92" t="s">
        <v>1377</v>
      </c>
      <c r="KZ163" s="92" t="s">
        <v>1403</v>
      </c>
      <c r="LA163" s="92" t="s">
        <v>109</v>
      </c>
      <c r="LB163" s="92" t="s">
        <v>109</v>
      </c>
      <c r="LC163" s="92" t="s">
        <v>1372</v>
      </c>
      <c r="LD163" s="92" t="s">
        <v>4438</v>
      </c>
      <c r="LE163" s="92" t="s">
        <v>192</v>
      </c>
      <c r="LF163" s="92" t="s">
        <v>192</v>
      </c>
    </row>
    <row r="164" spans="1:318" x14ac:dyDescent="0.25">
      <c r="A164" t="s">
        <v>2173</v>
      </c>
      <c r="B164" t="s">
        <v>2174</v>
      </c>
      <c r="C164" t="s">
        <v>1304</v>
      </c>
      <c r="D164" t="s">
        <v>1305</v>
      </c>
      <c r="E164" t="s">
        <v>1381</v>
      </c>
      <c r="G164" t="s">
        <v>1319</v>
      </c>
      <c r="H164">
        <v>2</v>
      </c>
      <c r="I164" t="s">
        <v>1358</v>
      </c>
      <c r="J164" t="s">
        <v>1382</v>
      </c>
      <c r="K164" t="s">
        <v>1309</v>
      </c>
      <c r="L164" t="s">
        <v>1310</v>
      </c>
      <c r="M164" t="s">
        <v>1309</v>
      </c>
      <c r="N164" t="s">
        <v>1309</v>
      </c>
      <c r="O164" t="s">
        <v>1309</v>
      </c>
      <c r="P164" t="s">
        <v>1310</v>
      </c>
      <c r="Q164" t="s">
        <v>1309</v>
      </c>
      <c r="R164" t="s">
        <v>1309</v>
      </c>
      <c r="S164">
        <v>1</v>
      </c>
      <c r="U164" t="s">
        <v>1312</v>
      </c>
      <c r="V164" t="s">
        <v>1312</v>
      </c>
      <c r="W164" t="s">
        <v>1312</v>
      </c>
      <c r="X164" t="s">
        <v>1312</v>
      </c>
      <c r="Y164" t="s">
        <v>1312</v>
      </c>
      <c r="Z164" t="s">
        <v>1312</v>
      </c>
      <c r="AC164">
        <v>1</v>
      </c>
      <c r="AD164">
        <v>4500</v>
      </c>
      <c r="AE164">
        <v>1500</v>
      </c>
      <c r="AF164" t="s">
        <v>1313</v>
      </c>
      <c r="AH164" t="s">
        <v>1314</v>
      </c>
      <c r="AJ164" t="s">
        <v>1315</v>
      </c>
      <c r="AL164" t="s">
        <v>1354</v>
      </c>
      <c r="BS164" t="s">
        <v>1307</v>
      </c>
      <c r="CE164" t="s">
        <v>1414</v>
      </c>
      <c r="CF164" t="s">
        <v>1309</v>
      </c>
      <c r="CG164" t="s">
        <v>1309</v>
      </c>
      <c r="CH164" t="s">
        <v>1309</v>
      </c>
      <c r="CI164" t="s">
        <v>1309</v>
      </c>
      <c r="CJ164" t="s">
        <v>1309</v>
      </c>
      <c r="CK164" t="s">
        <v>1309</v>
      </c>
      <c r="CL164" t="s">
        <v>1309</v>
      </c>
      <c r="CM164" t="s">
        <v>1309</v>
      </c>
      <c r="CN164" t="s">
        <v>1309</v>
      </c>
      <c r="CO164" t="s">
        <v>1309</v>
      </c>
      <c r="CP164" t="s">
        <v>1309</v>
      </c>
      <c r="CQ164" t="s">
        <v>1310</v>
      </c>
      <c r="CR164" t="s">
        <v>1309</v>
      </c>
      <c r="CT164" t="s">
        <v>4434</v>
      </c>
      <c r="CV164" t="s">
        <v>1308</v>
      </c>
      <c r="CW164" t="s">
        <v>1310</v>
      </c>
      <c r="CX164" t="s">
        <v>1309</v>
      </c>
      <c r="CY164" t="s">
        <v>1309</v>
      </c>
      <c r="CZ164" t="s">
        <v>1309</v>
      </c>
      <c r="DA164" t="s">
        <v>1309</v>
      </c>
      <c r="DB164" t="s">
        <v>1309</v>
      </c>
      <c r="DC164" t="s">
        <v>1309</v>
      </c>
      <c r="DE164" t="s">
        <v>1358</v>
      </c>
      <c r="DG164">
        <v>700</v>
      </c>
      <c r="DI164">
        <v>200</v>
      </c>
      <c r="DJ164" t="s">
        <v>1358</v>
      </c>
      <c r="DK164">
        <v>1000</v>
      </c>
      <c r="DM164">
        <v>200</v>
      </c>
      <c r="DN164" t="s">
        <v>1320</v>
      </c>
      <c r="DO164" t="s">
        <v>1310</v>
      </c>
      <c r="DP164" t="s">
        <v>1309</v>
      </c>
      <c r="DQ164" t="s">
        <v>1309</v>
      </c>
      <c r="DR164" t="s">
        <v>1309</v>
      </c>
      <c r="DS164" t="s">
        <v>1309</v>
      </c>
      <c r="DT164" t="s">
        <v>1310</v>
      </c>
      <c r="DU164" t="s">
        <v>1309</v>
      </c>
      <c r="DV164" t="s">
        <v>1309</v>
      </c>
      <c r="DW164" t="s">
        <v>1309</v>
      </c>
      <c r="DY164" t="s">
        <v>1359</v>
      </c>
      <c r="DZ164">
        <v>800</v>
      </c>
      <c r="EA164" t="s">
        <v>1319</v>
      </c>
      <c r="EC164" t="s">
        <v>1360</v>
      </c>
      <c r="ED164">
        <v>1000</v>
      </c>
      <c r="EE164" t="s">
        <v>1319</v>
      </c>
      <c r="EG164" t="s">
        <v>5356</v>
      </c>
      <c r="EI164" t="s">
        <v>1307</v>
      </c>
      <c r="ET164" t="s">
        <v>1307</v>
      </c>
      <c r="EV164" t="s">
        <v>1319</v>
      </c>
      <c r="EW164" t="s">
        <v>1529</v>
      </c>
      <c r="EX164" t="s">
        <v>1319</v>
      </c>
      <c r="EY164" t="s">
        <v>1307</v>
      </c>
      <c r="FA164" t="s">
        <v>2175</v>
      </c>
      <c r="FB164" t="s">
        <v>1309</v>
      </c>
      <c r="FC164" t="s">
        <v>1309</v>
      </c>
      <c r="FD164" t="s">
        <v>1309</v>
      </c>
      <c r="FE164" t="s">
        <v>1309</v>
      </c>
      <c r="FF164" t="s">
        <v>1309</v>
      </c>
      <c r="FG164" t="s">
        <v>1309</v>
      </c>
      <c r="FH164" t="s">
        <v>1309</v>
      </c>
      <c r="FI164" t="s">
        <v>1310</v>
      </c>
      <c r="FJ164" t="s">
        <v>1309</v>
      </c>
      <c r="FK164" t="s">
        <v>1309</v>
      </c>
      <c r="FL164" t="s">
        <v>1309</v>
      </c>
      <c r="FM164" t="s">
        <v>1310</v>
      </c>
      <c r="FN164" t="s">
        <v>1310</v>
      </c>
      <c r="FO164" t="s">
        <v>1309</v>
      </c>
      <c r="FP164" t="s">
        <v>1309</v>
      </c>
      <c r="FQ164" t="s">
        <v>1309</v>
      </c>
      <c r="FR164" t="s">
        <v>1309</v>
      </c>
      <c r="FT164" t="s">
        <v>1319</v>
      </c>
      <c r="FU164" t="s">
        <v>1435</v>
      </c>
      <c r="FV164" t="s">
        <v>1310</v>
      </c>
      <c r="FW164" t="s">
        <v>1309</v>
      </c>
      <c r="FX164" t="s">
        <v>1309</v>
      </c>
      <c r="FY164" t="s">
        <v>1309</v>
      </c>
      <c r="FZ164" t="s">
        <v>1309</v>
      </c>
      <c r="GA164" t="s">
        <v>1309</v>
      </c>
      <c r="GB164" t="s">
        <v>1309</v>
      </c>
      <c r="GC164" t="s">
        <v>1309</v>
      </c>
      <c r="GD164" t="s">
        <v>1309</v>
      </c>
      <c r="GE164" t="s">
        <v>1309</v>
      </c>
      <c r="GF164" t="s">
        <v>1309</v>
      </c>
      <c r="GG164" t="s">
        <v>1309</v>
      </c>
      <c r="GI164" t="s">
        <v>1324</v>
      </c>
      <c r="GJ164" t="s">
        <v>1324</v>
      </c>
      <c r="GT164" t="s">
        <v>1325</v>
      </c>
      <c r="GU164" t="s">
        <v>1310</v>
      </c>
      <c r="GV164" t="s">
        <v>1309</v>
      </c>
      <c r="GW164" t="s">
        <v>1309</v>
      </c>
      <c r="GX164" t="s">
        <v>1309</v>
      </c>
      <c r="GY164" t="s">
        <v>1309</v>
      </c>
      <c r="GZ164" t="s">
        <v>1309</v>
      </c>
      <c r="HA164" t="s">
        <v>1309</v>
      </c>
      <c r="HB164" t="s">
        <v>1309</v>
      </c>
      <c r="HC164" t="s">
        <v>1309</v>
      </c>
      <c r="HD164" t="s">
        <v>1309</v>
      </c>
      <c r="HE164" t="s">
        <v>1309</v>
      </c>
      <c r="HF164" t="s">
        <v>1309</v>
      </c>
      <c r="HH164" t="s">
        <v>1363</v>
      </c>
      <c r="HI164" t="s">
        <v>1363</v>
      </c>
      <c r="HJ164" t="s">
        <v>1363</v>
      </c>
      <c r="HK164" t="s">
        <v>1327</v>
      </c>
      <c r="HL164" t="s">
        <v>1364</v>
      </c>
      <c r="HM164" t="s">
        <v>1363</v>
      </c>
      <c r="IA164" t="s">
        <v>1307</v>
      </c>
      <c r="IQ164" t="s">
        <v>1330</v>
      </c>
      <c r="IS164" t="s">
        <v>1354</v>
      </c>
      <c r="JF164" t="s">
        <v>1354</v>
      </c>
      <c r="JG164" t="s">
        <v>1414</v>
      </c>
      <c r="JH164" t="s">
        <v>1309</v>
      </c>
      <c r="JI164" t="s">
        <v>1309</v>
      </c>
      <c r="JJ164" t="s">
        <v>1309</v>
      </c>
      <c r="JK164" t="s">
        <v>1309</v>
      </c>
      <c r="JL164" t="s">
        <v>1309</v>
      </c>
      <c r="JM164" t="s">
        <v>1309</v>
      </c>
      <c r="JN164" t="s">
        <v>1310</v>
      </c>
      <c r="JO164" t="s">
        <v>1309</v>
      </c>
      <c r="JQ164" s="92" t="s">
        <v>2076</v>
      </c>
      <c r="JR164" s="92" t="s">
        <v>2077</v>
      </c>
      <c r="JS164" s="92">
        <v>46</v>
      </c>
      <c r="JT164" s="92" t="s">
        <v>1319</v>
      </c>
      <c r="JU164" s="92" t="s">
        <v>1396</v>
      </c>
      <c r="JV164" s="92" t="s">
        <v>1368</v>
      </c>
      <c r="JW164" s="92" t="s">
        <v>1296</v>
      </c>
      <c r="JX164" s="92" t="s">
        <v>71</v>
      </c>
      <c r="JY164" s="92" t="s">
        <v>1397</v>
      </c>
      <c r="JZ164" s="92" t="s">
        <v>1337</v>
      </c>
      <c r="KA164" s="92" t="s">
        <v>4845</v>
      </c>
      <c r="KB164" s="92" t="s">
        <v>1399</v>
      </c>
      <c r="KC164" s="92" t="s">
        <v>109</v>
      </c>
      <c r="KD164" s="92" t="s">
        <v>4844</v>
      </c>
      <c r="KE164" s="92" t="s">
        <v>5560</v>
      </c>
      <c r="KF164" s="92">
        <v>900</v>
      </c>
      <c r="KG164" s="92" t="s">
        <v>4438</v>
      </c>
      <c r="KH164" s="92" t="s">
        <v>192</v>
      </c>
      <c r="KI164" s="92" t="s">
        <v>109</v>
      </c>
      <c r="KJ164" s="92" t="s">
        <v>192</v>
      </c>
      <c r="KK164" s="92" t="s">
        <v>109</v>
      </c>
      <c r="KL164" s="92" t="s">
        <v>1374</v>
      </c>
      <c r="KM164" s="92">
        <v>1200</v>
      </c>
      <c r="KN164" s="92" t="s">
        <v>4439</v>
      </c>
      <c r="KO164" s="92" t="s">
        <v>1440</v>
      </c>
      <c r="KP164" s="92" t="s">
        <v>1460</v>
      </c>
      <c r="KQ164" s="92" t="s">
        <v>192</v>
      </c>
      <c r="KR164" s="92">
        <v>89</v>
      </c>
      <c r="KS164" s="92" t="s">
        <v>1466</v>
      </c>
      <c r="KT164" s="92" t="s">
        <v>1344</v>
      </c>
      <c r="KU164" s="92">
        <v>83</v>
      </c>
      <c r="KV164" s="92" t="s">
        <v>1461</v>
      </c>
      <c r="KW164" s="92" t="s">
        <v>1344</v>
      </c>
      <c r="KX164" s="92" t="s">
        <v>1376</v>
      </c>
      <c r="KY164" s="92" t="s">
        <v>1377</v>
      </c>
      <c r="KZ164" s="92" t="s">
        <v>1403</v>
      </c>
      <c r="LA164" s="92" t="s">
        <v>109</v>
      </c>
      <c r="LB164" s="92" t="s">
        <v>109</v>
      </c>
      <c r="LC164" s="92" t="s">
        <v>4439</v>
      </c>
      <c r="LD164" s="92" t="s">
        <v>4439</v>
      </c>
      <c r="LE164" s="92" t="s">
        <v>109</v>
      </c>
      <c r="LF164" s="92" t="s">
        <v>109</v>
      </c>
    </row>
    <row r="165" spans="1:318" x14ac:dyDescent="0.25">
      <c r="A165" t="s">
        <v>2176</v>
      </c>
      <c r="B165" t="s">
        <v>2177</v>
      </c>
      <c r="C165" t="s">
        <v>1304</v>
      </c>
      <c r="D165" t="s">
        <v>1305</v>
      </c>
      <c r="E165" t="s">
        <v>1381</v>
      </c>
      <c r="G165" t="s">
        <v>1319</v>
      </c>
      <c r="H165">
        <v>2</v>
      </c>
      <c r="I165" t="s">
        <v>1358</v>
      </c>
      <c r="J165" t="s">
        <v>1382</v>
      </c>
      <c r="K165" t="s">
        <v>1309</v>
      </c>
      <c r="L165" t="s">
        <v>1310</v>
      </c>
      <c r="M165" t="s">
        <v>1309</v>
      </c>
      <c r="N165" t="s">
        <v>1309</v>
      </c>
      <c r="O165" t="s">
        <v>1309</v>
      </c>
      <c r="P165" t="s">
        <v>1310</v>
      </c>
      <c r="Q165" t="s">
        <v>1309</v>
      </c>
      <c r="R165" t="s">
        <v>1309</v>
      </c>
      <c r="S165">
        <v>1</v>
      </c>
      <c r="U165" t="s">
        <v>1312</v>
      </c>
      <c r="V165" t="s">
        <v>1312</v>
      </c>
      <c r="W165" t="s">
        <v>1312</v>
      </c>
      <c r="X165" t="s">
        <v>1312</v>
      </c>
      <c r="Y165" t="s">
        <v>1312</v>
      </c>
      <c r="Z165" t="s">
        <v>1312</v>
      </c>
      <c r="AC165">
        <v>2</v>
      </c>
      <c r="AD165">
        <v>4500</v>
      </c>
      <c r="AE165">
        <v>4000</v>
      </c>
      <c r="AF165" t="s">
        <v>1313</v>
      </c>
      <c r="AH165" t="s">
        <v>1383</v>
      </c>
      <c r="AJ165" t="s">
        <v>1315</v>
      </c>
      <c r="AL165" t="s">
        <v>1316</v>
      </c>
      <c r="BS165" t="s">
        <v>1307</v>
      </c>
      <c r="CE165" t="s">
        <v>1414</v>
      </c>
      <c r="CF165" t="s">
        <v>1309</v>
      </c>
      <c r="CG165" t="s">
        <v>1309</v>
      </c>
      <c r="CH165" t="s">
        <v>1309</v>
      </c>
      <c r="CI165" t="s">
        <v>1309</v>
      </c>
      <c r="CJ165" t="s">
        <v>1309</v>
      </c>
      <c r="CK165" t="s">
        <v>1309</v>
      </c>
      <c r="CL165" t="s">
        <v>1309</v>
      </c>
      <c r="CM165" t="s">
        <v>1309</v>
      </c>
      <c r="CN165" t="s">
        <v>1309</v>
      </c>
      <c r="CO165" t="s">
        <v>1309</v>
      </c>
      <c r="CP165" t="s">
        <v>1309</v>
      </c>
      <c r="CQ165" t="s">
        <v>1310</v>
      </c>
      <c r="CR165" t="s">
        <v>1309</v>
      </c>
      <c r="CT165" t="s">
        <v>4434</v>
      </c>
      <c r="CV165" t="s">
        <v>1308</v>
      </c>
      <c r="CW165" t="s">
        <v>1310</v>
      </c>
      <c r="CX165" t="s">
        <v>1309</v>
      </c>
      <c r="CY165" t="s">
        <v>1309</v>
      </c>
      <c r="CZ165" t="s">
        <v>1309</v>
      </c>
      <c r="DA165" t="s">
        <v>1309</v>
      </c>
      <c r="DB165" t="s">
        <v>1309</v>
      </c>
      <c r="DC165" t="s">
        <v>1309</v>
      </c>
      <c r="DE165" t="s">
        <v>1358</v>
      </c>
      <c r="DJ165" t="s">
        <v>1358</v>
      </c>
      <c r="DK165">
        <v>3000</v>
      </c>
      <c r="DM165">
        <v>500</v>
      </c>
      <c r="DN165" t="s">
        <v>1320</v>
      </c>
      <c r="DO165" t="s">
        <v>1310</v>
      </c>
      <c r="DP165" t="s">
        <v>1309</v>
      </c>
      <c r="DQ165" t="s">
        <v>1309</v>
      </c>
      <c r="DR165" t="s">
        <v>1309</v>
      </c>
      <c r="DS165" t="s">
        <v>1309</v>
      </c>
      <c r="DT165" t="s">
        <v>1310</v>
      </c>
      <c r="DU165" t="s">
        <v>1309</v>
      </c>
      <c r="DV165" t="s">
        <v>1309</v>
      </c>
      <c r="DW165" t="s">
        <v>1309</v>
      </c>
      <c r="DY165" t="s">
        <v>1456</v>
      </c>
      <c r="DZ165">
        <v>300</v>
      </c>
      <c r="EA165" t="s">
        <v>1319</v>
      </c>
      <c r="EC165" t="s">
        <v>1360</v>
      </c>
      <c r="ED165">
        <v>1000</v>
      </c>
      <c r="EE165" t="s">
        <v>1319</v>
      </c>
      <c r="EG165" t="s">
        <v>5356</v>
      </c>
      <c r="EI165" t="s">
        <v>1307</v>
      </c>
      <c r="ET165" t="s">
        <v>1307</v>
      </c>
      <c r="EV165" t="s">
        <v>1319</v>
      </c>
      <c r="EW165" t="s">
        <v>1414</v>
      </c>
      <c r="EX165" t="s">
        <v>1307</v>
      </c>
      <c r="EY165" t="s">
        <v>1307</v>
      </c>
      <c r="FT165" t="s">
        <v>1319</v>
      </c>
      <c r="FU165" t="s">
        <v>1649</v>
      </c>
      <c r="FV165" t="s">
        <v>1310</v>
      </c>
      <c r="FW165" t="s">
        <v>1310</v>
      </c>
      <c r="FX165" t="s">
        <v>1309</v>
      </c>
      <c r="FY165" t="s">
        <v>1309</v>
      </c>
      <c r="FZ165" t="s">
        <v>1309</v>
      </c>
      <c r="GA165" t="s">
        <v>1309</v>
      </c>
      <c r="GB165" t="s">
        <v>1309</v>
      </c>
      <c r="GC165" t="s">
        <v>1309</v>
      </c>
      <c r="GD165" t="s">
        <v>1309</v>
      </c>
      <c r="GE165" t="s">
        <v>1309</v>
      </c>
      <c r="GF165" t="s">
        <v>1309</v>
      </c>
      <c r="GG165" t="s">
        <v>1309</v>
      </c>
      <c r="GI165" t="s">
        <v>1324</v>
      </c>
      <c r="GJ165" t="s">
        <v>1324</v>
      </c>
      <c r="GT165" t="s">
        <v>1325</v>
      </c>
      <c r="GU165" t="s">
        <v>1310</v>
      </c>
      <c r="GV165" t="s">
        <v>1309</v>
      </c>
      <c r="GW165" t="s">
        <v>1309</v>
      </c>
      <c r="GX165" t="s">
        <v>1309</v>
      </c>
      <c r="GY165" t="s">
        <v>1309</v>
      </c>
      <c r="GZ165" t="s">
        <v>1309</v>
      </c>
      <c r="HA165" t="s">
        <v>1309</v>
      </c>
      <c r="HB165" t="s">
        <v>1309</v>
      </c>
      <c r="HC165" t="s">
        <v>1309</v>
      </c>
      <c r="HD165" t="s">
        <v>1309</v>
      </c>
      <c r="HE165" t="s">
        <v>1309</v>
      </c>
      <c r="HF165" t="s">
        <v>1309</v>
      </c>
      <c r="HH165" t="s">
        <v>1390</v>
      </c>
      <c r="HI165" t="s">
        <v>1390</v>
      </c>
      <c r="HJ165" t="s">
        <v>1390</v>
      </c>
      <c r="HK165" t="s">
        <v>1327</v>
      </c>
      <c r="HL165" t="s">
        <v>1364</v>
      </c>
      <c r="HM165" t="s">
        <v>1390</v>
      </c>
      <c r="IA165" t="s">
        <v>1307</v>
      </c>
      <c r="IQ165" t="s">
        <v>1308</v>
      </c>
      <c r="IS165" t="s">
        <v>1316</v>
      </c>
      <c r="JF165" t="s">
        <v>1316</v>
      </c>
      <c r="JG165" t="s">
        <v>1414</v>
      </c>
      <c r="JH165" t="s">
        <v>1309</v>
      </c>
      <c r="JI165" t="s">
        <v>1309</v>
      </c>
      <c r="JJ165" t="s">
        <v>1309</v>
      </c>
      <c r="JK165" t="s">
        <v>1309</v>
      </c>
      <c r="JL165" t="s">
        <v>1309</v>
      </c>
      <c r="JM165" t="s">
        <v>1309</v>
      </c>
      <c r="JN165" t="s">
        <v>1310</v>
      </c>
      <c r="JO165" t="s">
        <v>1309</v>
      </c>
      <c r="JQ165" s="92" t="s">
        <v>1333</v>
      </c>
      <c r="JR165" s="92" t="s">
        <v>1334</v>
      </c>
      <c r="JS165" s="92">
        <v>30</v>
      </c>
      <c r="JT165" s="92" t="s">
        <v>1319</v>
      </c>
      <c r="JU165" s="92" t="s">
        <v>1396</v>
      </c>
      <c r="JV165" s="92" t="s">
        <v>1336</v>
      </c>
      <c r="JW165" s="92" t="s">
        <v>1296</v>
      </c>
      <c r="JX165" s="92" t="s">
        <v>71</v>
      </c>
      <c r="JY165" s="92" t="s">
        <v>1397</v>
      </c>
      <c r="JZ165" s="92" t="s">
        <v>1398</v>
      </c>
      <c r="KA165" s="92" t="s">
        <v>4845</v>
      </c>
      <c r="KB165" s="92" t="s">
        <v>1399</v>
      </c>
      <c r="KC165" s="92" t="s">
        <v>109</v>
      </c>
      <c r="KD165" s="92" t="s">
        <v>4847</v>
      </c>
      <c r="KE165" s="92" t="s">
        <v>5560</v>
      </c>
      <c r="KF165" s="92">
        <v>0</v>
      </c>
      <c r="KG165" s="92" t="s">
        <v>1372</v>
      </c>
      <c r="KH165" s="92" t="s">
        <v>109</v>
      </c>
      <c r="KI165" s="92" t="s">
        <v>109</v>
      </c>
      <c r="KJ165" s="92" t="s">
        <v>192</v>
      </c>
      <c r="KK165" s="92" t="s">
        <v>109</v>
      </c>
      <c r="KL165" s="92" t="s">
        <v>1373</v>
      </c>
      <c r="KM165" s="92">
        <v>3500</v>
      </c>
      <c r="KN165" s="92" t="s">
        <v>1426</v>
      </c>
      <c r="KO165" s="92" t="s">
        <v>1341</v>
      </c>
      <c r="KP165" s="92" t="s">
        <v>1460</v>
      </c>
      <c r="KQ165" s="92" t="s">
        <v>192</v>
      </c>
      <c r="KR165" s="92"/>
      <c r="KS165" s="92" t="s">
        <v>1343</v>
      </c>
      <c r="KT165" s="92" t="s">
        <v>1344</v>
      </c>
      <c r="KU165" s="92">
        <v>29</v>
      </c>
      <c r="KV165" s="92" t="s">
        <v>1461</v>
      </c>
      <c r="KW165" s="92" t="s">
        <v>1344</v>
      </c>
      <c r="KX165" s="92" t="s">
        <v>1376</v>
      </c>
      <c r="KY165" s="92" t="s">
        <v>1377</v>
      </c>
      <c r="KZ165" s="92" t="s">
        <v>1403</v>
      </c>
      <c r="LA165" s="92" t="s">
        <v>109</v>
      </c>
      <c r="LB165" s="92" t="s">
        <v>109</v>
      </c>
      <c r="LC165" s="92" t="s">
        <v>1372</v>
      </c>
      <c r="LD165" s="92" t="s">
        <v>4439</v>
      </c>
      <c r="LE165" s="92" t="s">
        <v>109</v>
      </c>
      <c r="LF165" s="92" t="s">
        <v>192</v>
      </c>
    </row>
    <row r="166" spans="1:318" x14ac:dyDescent="0.25">
      <c r="A166" t="s">
        <v>2178</v>
      </c>
      <c r="B166" t="s">
        <v>2179</v>
      </c>
      <c r="C166" t="s">
        <v>1304</v>
      </c>
      <c r="D166" t="s">
        <v>1305</v>
      </c>
      <c r="E166" t="s">
        <v>1381</v>
      </c>
      <c r="G166" t="s">
        <v>1319</v>
      </c>
      <c r="H166">
        <v>4</v>
      </c>
      <c r="I166" t="s">
        <v>1358</v>
      </c>
      <c r="J166" t="s">
        <v>1406</v>
      </c>
      <c r="K166" t="s">
        <v>1309</v>
      </c>
      <c r="L166" t="s">
        <v>1310</v>
      </c>
      <c r="M166" t="s">
        <v>1309</v>
      </c>
      <c r="N166" t="s">
        <v>1309</v>
      </c>
      <c r="O166" t="s">
        <v>1309</v>
      </c>
      <c r="P166" t="s">
        <v>1309</v>
      </c>
      <c r="Q166" t="s">
        <v>1309</v>
      </c>
      <c r="R166" t="s">
        <v>1309</v>
      </c>
      <c r="S166">
        <v>1</v>
      </c>
      <c r="U166" t="s">
        <v>1311</v>
      </c>
      <c r="V166" t="s">
        <v>1312</v>
      </c>
      <c r="W166" t="s">
        <v>1312</v>
      </c>
      <c r="X166" t="s">
        <v>1312</v>
      </c>
      <c r="Y166" t="s">
        <v>1312</v>
      </c>
      <c r="Z166" t="s">
        <v>1312</v>
      </c>
      <c r="AC166">
        <v>1</v>
      </c>
      <c r="AD166">
        <v>10000</v>
      </c>
      <c r="AE166">
        <v>6000</v>
      </c>
      <c r="AF166" t="s">
        <v>1313</v>
      </c>
      <c r="AH166" t="s">
        <v>1383</v>
      </c>
      <c r="AJ166" t="s">
        <v>1315</v>
      </c>
      <c r="AL166" t="s">
        <v>1316</v>
      </c>
      <c r="BS166" t="s">
        <v>1307</v>
      </c>
      <c r="CE166" t="s">
        <v>2180</v>
      </c>
      <c r="CF166" t="s">
        <v>1309</v>
      </c>
      <c r="CG166" t="s">
        <v>1309</v>
      </c>
      <c r="CH166" t="s">
        <v>1309</v>
      </c>
      <c r="CI166" t="s">
        <v>1310</v>
      </c>
      <c r="CJ166" t="s">
        <v>1309</v>
      </c>
      <c r="CK166" t="s">
        <v>1309</v>
      </c>
      <c r="CL166" t="s">
        <v>1309</v>
      </c>
      <c r="CM166" t="s">
        <v>1309</v>
      </c>
      <c r="CN166" t="s">
        <v>1309</v>
      </c>
      <c r="CO166" t="s">
        <v>1309</v>
      </c>
      <c r="CP166" t="s">
        <v>1309</v>
      </c>
      <c r="CQ166" t="s">
        <v>1309</v>
      </c>
      <c r="CR166" t="s">
        <v>1309</v>
      </c>
      <c r="CT166" t="s">
        <v>4434</v>
      </c>
      <c r="CV166" t="s">
        <v>1308</v>
      </c>
      <c r="CW166" t="s">
        <v>1310</v>
      </c>
      <c r="CX166" t="s">
        <v>1309</v>
      </c>
      <c r="CY166" t="s">
        <v>1309</v>
      </c>
      <c r="CZ166" t="s">
        <v>1309</v>
      </c>
      <c r="DA166" t="s">
        <v>1309</v>
      </c>
      <c r="DB166" t="s">
        <v>1309</v>
      </c>
      <c r="DC166" t="s">
        <v>1309</v>
      </c>
      <c r="DE166" t="s">
        <v>1358</v>
      </c>
      <c r="DG166">
        <v>1000</v>
      </c>
      <c r="DI166">
        <v>450</v>
      </c>
      <c r="DJ166" t="s">
        <v>1358</v>
      </c>
      <c r="DK166">
        <v>1600</v>
      </c>
      <c r="DM166">
        <v>450</v>
      </c>
      <c r="DN166" t="s">
        <v>1320</v>
      </c>
      <c r="DO166" t="s">
        <v>1310</v>
      </c>
      <c r="DP166" t="s">
        <v>1309</v>
      </c>
      <c r="DQ166" t="s">
        <v>1309</v>
      </c>
      <c r="DR166" t="s">
        <v>1309</v>
      </c>
      <c r="DS166" t="s">
        <v>1309</v>
      </c>
      <c r="DT166" t="s">
        <v>1310</v>
      </c>
      <c r="DU166" t="s">
        <v>1309</v>
      </c>
      <c r="DV166" t="s">
        <v>1309</v>
      </c>
      <c r="DW166" t="s">
        <v>1309</v>
      </c>
      <c r="DY166" t="s">
        <v>1456</v>
      </c>
      <c r="DZ166">
        <v>300</v>
      </c>
      <c r="EA166" t="s">
        <v>1386</v>
      </c>
      <c r="EC166" t="s">
        <v>1457</v>
      </c>
      <c r="ED166">
        <v>1000</v>
      </c>
      <c r="EE166" t="s">
        <v>1386</v>
      </c>
      <c r="EG166" t="s">
        <v>5357</v>
      </c>
      <c r="ET166" t="s">
        <v>1307</v>
      </c>
      <c r="EV166" t="s">
        <v>1307</v>
      </c>
      <c r="EX166" t="s">
        <v>1319</v>
      </c>
      <c r="EY166" t="s">
        <v>1319</v>
      </c>
      <c r="FA166" t="s">
        <v>2181</v>
      </c>
      <c r="FB166" t="s">
        <v>1309</v>
      </c>
      <c r="FC166" t="s">
        <v>1309</v>
      </c>
      <c r="FD166" t="s">
        <v>1309</v>
      </c>
      <c r="FE166" t="s">
        <v>1309</v>
      </c>
      <c r="FF166" t="s">
        <v>1309</v>
      </c>
      <c r="FG166" t="s">
        <v>1310</v>
      </c>
      <c r="FH166" t="s">
        <v>1310</v>
      </c>
      <c r="FI166" t="s">
        <v>1310</v>
      </c>
      <c r="FJ166" t="s">
        <v>1309</v>
      </c>
      <c r="FK166" t="s">
        <v>1309</v>
      </c>
      <c r="FL166" t="s">
        <v>1309</v>
      </c>
      <c r="FM166" t="s">
        <v>1309</v>
      </c>
      <c r="FN166" t="s">
        <v>1310</v>
      </c>
      <c r="FO166" t="s">
        <v>1309</v>
      </c>
      <c r="FP166" t="s">
        <v>1309</v>
      </c>
      <c r="FQ166" t="s">
        <v>1309</v>
      </c>
      <c r="FR166" t="s">
        <v>1309</v>
      </c>
      <c r="FT166" t="s">
        <v>1307</v>
      </c>
      <c r="GI166" t="s">
        <v>1324</v>
      </c>
      <c r="GJ166" t="s">
        <v>1324</v>
      </c>
      <c r="GT166" t="s">
        <v>1325</v>
      </c>
      <c r="GU166" t="s">
        <v>1310</v>
      </c>
      <c r="GV166" t="s">
        <v>1309</v>
      </c>
      <c r="GW166" t="s">
        <v>1309</v>
      </c>
      <c r="GX166" t="s">
        <v>1309</v>
      </c>
      <c r="GY166" t="s">
        <v>1309</v>
      </c>
      <c r="GZ166" t="s">
        <v>1309</v>
      </c>
      <c r="HA166" t="s">
        <v>1309</v>
      </c>
      <c r="HB166" t="s">
        <v>1309</v>
      </c>
      <c r="HC166" t="s">
        <v>1309</v>
      </c>
      <c r="HD166" t="s">
        <v>1309</v>
      </c>
      <c r="HE166" t="s">
        <v>1309</v>
      </c>
      <c r="HF166" t="s">
        <v>1309</v>
      </c>
      <c r="HH166" t="s">
        <v>1390</v>
      </c>
      <c r="HI166" t="s">
        <v>1326</v>
      </c>
      <c r="HJ166" t="s">
        <v>1390</v>
      </c>
      <c r="HK166" t="s">
        <v>1390</v>
      </c>
      <c r="HL166" t="s">
        <v>1364</v>
      </c>
      <c r="HM166" t="s">
        <v>1390</v>
      </c>
      <c r="IA166" t="s">
        <v>1307</v>
      </c>
      <c r="IQ166" t="s">
        <v>1330</v>
      </c>
      <c r="IS166" t="s">
        <v>1354</v>
      </c>
      <c r="JF166" t="s">
        <v>1331</v>
      </c>
      <c r="JG166" t="s">
        <v>1414</v>
      </c>
      <c r="JH166" t="s">
        <v>1309</v>
      </c>
      <c r="JI166" t="s">
        <v>1309</v>
      </c>
      <c r="JJ166" t="s">
        <v>1309</v>
      </c>
      <c r="JK166" t="s">
        <v>1309</v>
      </c>
      <c r="JL166" t="s">
        <v>1309</v>
      </c>
      <c r="JM166" t="s">
        <v>1309</v>
      </c>
      <c r="JN166" t="s">
        <v>1310</v>
      </c>
      <c r="JO166" t="s">
        <v>1309</v>
      </c>
      <c r="JQ166" s="92" t="s">
        <v>1333</v>
      </c>
      <c r="JR166" s="92" t="s">
        <v>1334</v>
      </c>
      <c r="JS166" s="92">
        <v>49</v>
      </c>
      <c r="JT166" s="92" t="s">
        <v>1319</v>
      </c>
      <c r="JU166" s="92" t="s">
        <v>1396</v>
      </c>
      <c r="JV166" s="92" t="s">
        <v>1336</v>
      </c>
      <c r="JW166" s="92" t="s">
        <v>1296</v>
      </c>
      <c r="JX166" s="92" t="s">
        <v>71</v>
      </c>
      <c r="JY166" s="92" t="s">
        <v>1397</v>
      </c>
      <c r="JZ166" s="92" t="s">
        <v>1337</v>
      </c>
      <c r="KA166" s="92" t="s">
        <v>4845</v>
      </c>
      <c r="KB166" s="92" t="s">
        <v>1415</v>
      </c>
      <c r="KC166" s="92" t="s">
        <v>109</v>
      </c>
      <c r="KD166" s="92" t="s">
        <v>4844</v>
      </c>
      <c r="KE166" s="92" t="s">
        <v>1424</v>
      </c>
      <c r="KF166" s="92">
        <v>1450</v>
      </c>
      <c r="KG166" s="92" t="s">
        <v>4438</v>
      </c>
      <c r="KH166" s="92" t="s">
        <v>192</v>
      </c>
      <c r="KI166" s="92" t="s">
        <v>109</v>
      </c>
      <c r="KJ166" s="92" t="s">
        <v>192</v>
      </c>
      <c r="KK166" s="92" t="s">
        <v>109</v>
      </c>
      <c r="KL166" s="92" t="s">
        <v>1440</v>
      </c>
      <c r="KM166" s="92">
        <v>2050</v>
      </c>
      <c r="KN166" s="92" t="s">
        <v>4438</v>
      </c>
      <c r="KO166" s="92" t="s">
        <v>1425</v>
      </c>
      <c r="KP166" s="92" t="s">
        <v>1460</v>
      </c>
      <c r="KQ166" s="92" t="s">
        <v>192</v>
      </c>
      <c r="KR166" s="92">
        <v>21</v>
      </c>
      <c r="KS166" s="92" t="s">
        <v>1343</v>
      </c>
      <c r="KT166" s="92" t="s">
        <v>1402</v>
      </c>
      <c r="KU166" s="92">
        <v>49</v>
      </c>
      <c r="KV166" s="92" t="s">
        <v>1461</v>
      </c>
      <c r="KW166" s="92" t="s">
        <v>1402</v>
      </c>
      <c r="KX166" s="92" t="s">
        <v>1376</v>
      </c>
      <c r="KY166" s="92" t="s">
        <v>1377</v>
      </c>
      <c r="KZ166" s="92" t="s">
        <v>1403</v>
      </c>
      <c r="LA166" s="92" t="s">
        <v>109</v>
      </c>
      <c r="LB166" s="92" t="s">
        <v>109</v>
      </c>
      <c r="LC166" s="92" t="s">
        <v>4438</v>
      </c>
      <c r="LD166" s="92" t="s">
        <v>4438</v>
      </c>
      <c r="LE166" s="92" t="s">
        <v>109</v>
      </c>
      <c r="LF166" s="92" t="s">
        <v>109</v>
      </c>
    </row>
    <row r="167" spans="1:318" x14ac:dyDescent="0.25">
      <c r="A167" t="s">
        <v>2182</v>
      </c>
      <c r="B167" t="s">
        <v>2183</v>
      </c>
      <c r="C167" t="s">
        <v>1304</v>
      </c>
      <c r="D167" t="s">
        <v>1429</v>
      </c>
      <c r="E167" t="s">
        <v>1306</v>
      </c>
      <c r="G167" t="s">
        <v>1307</v>
      </c>
      <c r="H167">
        <v>2</v>
      </c>
      <c r="I167" t="s">
        <v>1307</v>
      </c>
      <c r="J167" t="s">
        <v>1891</v>
      </c>
      <c r="K167" t="s">
        <v>1309</v>
      </c>
      <c r="L167" t="s">
        <v>1309</v>
      </c>
      <c r="M167" t="s">
        <v>1310</v>
      </c>
      <c r="N167" t="s">
        <v>1309</v>
      </c>
      <c r="O167" t="s">
        <v>1310</v>
      </c>
      <c r="P167" t="s">
        <v>1309</v>
      </c>
      <c r="Q167" t="s">
        <v>1309</v>
      </c>
      <c r="R167" t="s">
        <v>1309</v>
      </c>
      <c r="T167">
        <v>2</v>
      </c>
      <c r="U167" t="s">
        <v>1311</v>
      </c>
      <c r="V167" t="s">
        <v>1311</v>
      </c>
      <c r="W167" t="s">
        <v>1486</v>
      </c>
      <c r="X167" t="s">
        <v>1311</v>
      </c>
      <c r="Y167" t="s">
        <v>1311</v>
      </c>
      <c r="Z167" t="s">
        <v>1312</v>
      </c>
      <c r="AC167">
        <v>2</v>
      </c>
      <c r="AD167">
        <v>8000</v>
      </c>
      <c r="AE167">
        <v>8000</v>
      </c>
      <c r="AF167" t="s">
        <v>1351</v>
      </c>
      <c r="AH167" t="s">
        <v>1314</v>
      </c>
      <c r="AJ167" t="s">
        <v>1353</v>
      </c>
      <c r="AL167" t="s">
        <v>1316</v>
      </c>
      <c r="BA167" t="s">
        <v>1354</v>
      </c>
      <c r="BS167" t="s">
        <v>1307</v>
      </c>
      <c r="CE167" t="s">
        <v>2184</v>
      </c>
      <c r="CF167" t="s">
        <v>1309</v>
      </c>
      <c r="CG167" t="s">
        <v>1309</v>
      </c>
      <c r="CH167" t="s">
        <v>1309</v>
      </c>
      <c r="CI167" t="s">
        <v>1310</v>
      </c>
      <c r="CJ167" t="s">
        <v>1309</v>
      </c>
      <c r="CK167" t="s">
        <v>1309</v>
      </c>
      <c r="CL167" t="s">
        <v>1310</v>
      </c>
      <c r="CM167" t="s">
        <v>1309</v>
      </c>
      <c r="CN167" t="s">
        <v>1309</v>
      </c>
      <c r="CO167" t="s">
        <v>1309</v>
      </c>
      <c r="CP167" t="s">
        <v>1309</v>
      </c>
      <c r="CQ167" t="s">
        <v>1309</v>
      </c>
      <c r="CR167" t="s">
        <v>1309</v>
      </c>
      <c r="CT167" t="s">
        <v>4436</v>
      </c>
      <c r="CV167" t="s">
        <v>1308</v>
      </c>
      <c r="CW167" t="s">
        <v>1310</v>
      </c>
      <c r="CX167" t="s">
        <v>1309</v>
      </c>
      <c r="CY167" t="s">
        <v>1309</v>
      </c>
      <c r="CZ167" t="s">
        <v>1309</v>
      </c>
      <c r="DA167" t="s">
        <v>1309</v>
      </c>
      <c r="DB167" t="s">
        <v>1309</v>
      </c>
      <c r="DC167" t="s">
        <v>1309</v>
      </c>
      <c r="DE167" t="s">
        <v>1358</v>
      </c>
      <c r="DF167" t="s">
        <v>1319</v>
      </c>
      <c r="DG167">
        <v>350</v>
      </c>
      <c r="DI167">
        <v>300</v>
      </c>
      <c r="DJ167" t="s">
        <v>1358</v>
      </c>
      <c r="DK167">
        <v>350</v>
      </c>
      <c r="DM167">
        <v>400</v>
      </c>
      <c r="DN167" t="s">
        <v>1432</v>
      </c>
      <c r="DO167" t="s">
        <v>1310</v>
      </c>
      <c r="DP167" t="s">
        <v>1309</v>
      </c>
      <c r="DQ167" t="s">
        <v>1309</v>
      </c>
      <c r="DR167" t="s">
        <v>1310</v>
      </c>
      <c r="DS167" t="s">
        <v>1309</v>
      </c>
      <c r="DT167" t="s">
        <v>1310</v>
      </c>
      <c r="DU167" t="s">
        <v>1309</v>
      </c>
      <c r="DV167" t="s">
        <v>1309</v>
      </c>
      <c r="DW167" t="s">
        <v>1309</v>
      </c>
      <c r="DY167" t="s">
        <v>1456</v>
      </c>
      <c r="DZ167">
        <v>440</v>
      </c>
      <c r="EA167" t="s">
        <v>1386</v>
      </c>
      <c r="EC167" t="s">
        <v>1624</v>
      </c>
      <c r="ED167">
        <v>900</v>
      </c>
      <c r="EE167" t="s">
        <v>1386</v>
      </c>
      <c r="EG167" t="s">
        <v>5356</v>
      </c>
      <c r="EI167" t="s">
        <v>1319</v>
      </c>
      <c r="EJ167" t="s">
        <v>2185</v>
      </c>
      <c r="EK167" t="s">
        <v>1310</v>
      </c>
      <c r="EL167" t="s">
        <v>1309</v>
      </c>
      <c r="EM167" t="s">
        <v>1309</v>
      </c>
      <c r="EN167" t="s">
        <v>1309</v>
      </c>
      <c r="EO167" t="s">
        <v>1309</v>
      </c>
      <c r="EP167" t="s">
        <v>1309</v>
      </c>
      <c r="EQ167" t="s">
        <v>1309</v>
      </c>
      <c r="ER167" t="s">
        <v>1309</v>
      </c>
      <c r="ET167" t="s">
        <v>1307</v>
      </c>
      <c r="EV167" t="s">
        <v>1319</v>
      </c>
      <c r="EW167" t="s">
        <v>1414</v>
      </c>
      <c r="EX167" t="s">
        <v>1319</v>
      </c>
      <c r="EY167" t="s">
        <v>1307</v>
      </c>
      <c r="EZ167" t="s">
        <v>1307</v>
      </c>
      <c r="FA167" t="s">
        <v>2161</v>
      </c>
      <c r="FB167" t="s">
        <v>1309</v>
      </c>
      <c r="FC167" t="s">
        <v>1309</v>
      </c>
      <c r="FD167" t="s">
        <v>1309</v>
      </c>
      <c r="FE167" t="s">
        <v>1309</v>
      </c>
      <c r="FF167" t="s">
        <v>1309</v>
      </c>
      <c r="FG167" t="s">
        <v>1309</v>
      </c>
      <c r="FH167" t="s">
        <v>1310</v>
      </c>
      <c r="FI167" t="s">
        <v>1310</v>
      </c>
      <c r="FJ167" t="s">
        <v>1309</v>
      </c>
      <c r="FK167" t="s">
        <v>1309</v>
      </c>
      <c r="FL167" t="s">
        <v>1309</v>
      </c>
      <c r="FM167" t="s">
        <v>1310</v>
      </c>
      <c r="FN167" t="s">
        <v>1310</v>
      </c>
      <c r="FO167" t="s">
        <v>1309</v>
      </c>
      <c r="FP167" t="s">
        <v>1309</v>
      </c>
      <c r="FQ167" t="s">
        <v>1309</v>
      </c>
      <c r="FR167" t="s">
        <v>1309</v>
      </c>
      <c r="FT167" t="s">
        <v>1319</v>
      </c>
      <c r="FU167" t="s">
        <v>1389</v>
      </c>
      <c r="FV167" t="s">
        <v>1310</v>
      </c>
      <c r="FW167" t="s">
        <v>1310</v>
      </c>
      <c r="FX167" t="s">
        <v>1309</v>
      </c>
      <c r="FY167" t="s">
        <v>1309</v>
      </c>
      <c r="FZ167" t="s">
        <v>1309</v>
      </c>
      <c r="GA167" t="s">
        <v>1310</v>
      </c>
      <c r="GB167" t="s">
        <v>1309</v>
      </c>
      <c r="GC167" t="s">
        <v>1309</v>
      </c>
      <c r="GD167" t="s">
        <v>1309</v>
      </c>
      <c r="GE167" t="s">
        <v>1309</v>
      </c>
      <c r="GF167" t="s">
        <v>1309</v>
      </c>
      <c r="GG167" t="s">
        <v>1309</v>
      </c>
      <c r="GI167" t="s">
        <v>1324</v>
      </c>
      <c r="GJ167" t="s">
        <v>1324</v>
      </c>
      <c r="GT167" t="s">
        <v>1531</v>
      </c>
      <c r="GU167" t="s">
        <v>1310</v>
      </c>
      <c r="GV167" t="s">
        <v>1310</v>
      </c>
      <c r="GW167" t="s">
        <v>1309</v>
      </c>
      <c r="GX167" t="s">
        <v>1309</v>
      </c>
      <c r="GY167" t="s">
        <v>1309</v>
      </c>
      <c r="GZ167" t="s">
        <v>1309</v>
      </c>
      <c r="HA167" t="s">
        <v>1309</v>
      </c>
      <c r="HB167" t="s">
        <v>1309</v>
      </c>
      <c r="HC167" t="s">
        <v>1309</v>
      </c>
      <c r="HD167" t="s">
        <v>1309</v>
      </c>
      <c r="HE167" t="s">
        <v>1309</v>
      </c>
      <c r="HF167" t="s">
        <v>1309</v>
      </c>
      <c r="HH167" t="s">
        <v>1390</v>
      </c>
      <c r="HI167" t="s">
        <v>1327</v>
      </c>
      <c r="HJ167" t="s">
        <v>1390</v>
      </c>
      <c r="HK167" t="s">
        <v>1327</v>
      </c>
      <c r="HL167" t="s">
        <v>1364</v>
      </c>
      <c r="HM167" t="s">
        <v>1390</v>
      </c>
      <c r="IA167" t="s">
        <v>1307</v>
      </c>
      <c r="IQ167" t="s">
        <v>1308</v>
      </c>
      <c r="IS167" t="s">
        <v>1316</v>
      </c>
      <c r="JF167" t="s">
        <v>1316</v>
      </c>
      <c r="JG167" t="s">
        <v>1414</v>
      </c>
      <c r="JH167" t="s">
        <v>1309</v>
      </c>
      <c r="JI167" t="s">
        <v>1309</v>
      </c>
      <c r="JJ167" t="s">
        <v>1309</v>
      </c>
      <c r="JK167" t="s">
        <v>1309</v>
      </c>
      <c r="JL167" t="s">
        <v>1309</v>
      </c>
      <c r="JM167" t="s">
        <v>1309</v>
      </c>
      <c r="JN167" t="s">
        <v>1310</v>
      </c>
      <c r="JO167" t="s">
        <v>1309</v>
      </c>
      <c r="JQ167" s="92" t="s">
        <v>2061</v>
      </c>
      <c r="JR167" s="92" t="s">
        <v>2186</v>
      </c>
      <c r="JS167" s="92">
        <v>71</v>
      </c>
      <c r="JT167" s="92" t="s">
        <v>1319</v>
      </c>
      <c r="JU167" s="92" t="s">
        <v>1335</v>
      </c>
      <c r="JV167" s="92" t="s">
        <v>1526</v>
      </c>
      <c r="JW167" s="92" t="s">
        <v>1296</v>
      </c>
      <c r="JX167" s="92" t="s">
        <v>70</v>
      </c>
      <c r="JY167" s="92" t="s">
        <v>5549</v>
      </c>
      <c r="JZ167" s="92" t="s">
        <v>1369</v>
      </c>
      <c r="KA167" s="92" t="s">
        <v>4845</v>
      </c>
      <c r="KB167" s="92" t="s">
        <v>1476</v>
      </c>
      <c r="KC167" s="92" t="s">
        <v>192</v>
      </c>
      <c r="KD167" s="92" t="s">
        <v>4847</v>
      </c>
      <c r="KE167" s="92" t="s">
        <v>1424</v>
      </c>
      <c r="KF167" s="92">
        <v>650</v>
      </c>
      <c r="KG167" s="92" t="s">
        <v>1372</v>
      </c>
      <c r="KH167" s="92" t="s">
        <v>192</v>
      </c>
      <c r="KI167" s="92" t="s">
        <v>109</v>
      </c>
      <c r="KJ167" s="92" t="s">
        <v>192</v>
      </c>
      <c r="KK167" s="92" t="s">
        <v>109</v>
      </c>
      <c r="KL167" s="92" t="s">
        <v>1374</v>
      </c>
      <c r="KM167" s="92">
        <v>750</v>
      </c>
      <c r="KN167" s="92" t="s">
        <v>1372</v>
      </c>
      <c r="KO167" s="92" t="s">
        <v>1374</v>
      </c>
      <c r="KP167" s="92" t="s">
        <v>1401</v>
      </c>
      <c r="KQ167" s="92" t="s">
        <v>192</v>
      </c>
      <c r="KR167" s="92"/>
      <c r="KS167" s="92" t="s">
        <v>1343</v>
      </c>
      <c r="KT167" s="92" t="s">
        <v>1402</v>
      </c>
      <c r="KU167" s="92"/>
      <c r="KV167" s="92" t="s">
        <v>1461</v>
      </c>
      <c r="KW167" s="92" t="s">
        <v>1402</v>
      </c>
      <c r="KX167" s="92" t="s">
        <v>1376</v>
      </c>
      <c r="KY167" s="92" t="s">
        <v>1377</v>
      </c>
      <c r="KZ167" s="92" t="s">
        <v>5795</v>
      </c>
      <c r="LA167" s="92" t="s">
        <v>109</v>
      </c>
      <c r="LB167" s="92" t="s">
        <v>109</v>
      </c>
      <c r="LC167" s="92" t="s">
        <v>1372</v>
      </c>
      <c r="LD167" s="92" t="s">
        <v>1372</v>
      </c>
      <c r="LE167" s="92" t="s">
        <v>192</v>
      </c>
      <c r="LF167" s="92" t="s">
        <v>192</v>
      </c>
    </row>
    <row r="168" spans="1:318" x14ac:dyDescent="0.25">
      <c r="A168" t="s">
        <v>2187</v>
      </c>
      <c r="B168" t="s">
        <v>2188</v>
      </c>
      <c r="C168" t="s">
        <v>1304</v>
      </c>
      <c r="D168" t="s">
        <v>1305</v>
      </c>
      <c r="E168" t="s">
        <v>1306</v>
      </c>
      <c r="G168" t="s">
        <v>1307</v>
      </c>
      <c r="H168">
        <v>2</v>
      </c>
      <c r="I168" t="s">
        <v>1318</v>
      </c>
      <c r="J168" t="s">
        <v>1891</v>
      </c>
      <c r="K168" t="s">
        <v>1309</v>
      </c>
      <c r="L168" t="s">
        <v>1309</v>
      </c>
      <c r="M168" t="s">
        <v>1310</v>
      </c>
      <c r="N168" t="s">
        <v>1309</v>
      </c>
      <c r="O168" t="s">
        <v>1310</v>
      </c>
      <c r="P168" t="s">
        <v>1309</v>
      </c>
      <c r="Q168" t="s">
        <v>1309</v>
      </c>
      <c r="R168" t="s">
        <v>1309</v>
      </c>
      <c r="T168">
        <v>1</v>
      </c>
      <c r="U168" t="s">
        <v>1486</v>
      </c>
      <c r="V168" t="s">
        <v>1312</v>
      </c>
      <c r="W168" t="s">
        <v>1311</v>
      </c>
      <c r="X168" t="s">
        <v>1312</v>
      </c>
      <c r="Y168" t="s">
        <v>1312</v>
      </c>
      <c r="Z168" t="s">
        <v>1312</v>
      </c>
      <c r="AC168">
        <v>1</v>
      </c>
      <c r="AD168">
        <v>3000</v>
      </c>
      <c r="AE168">
        <v>1500</v>
      </c>
      <c r="AF168" t="s">
        <v>1351</v>
      </c>
      <c r="AH168" t="s">
        <v>1314</v>
      </c>
      <c r="AJ168" t="s">
        <v>1353</v>
      </c>
      <c r="AL168" t="s">
        <v>1354</v>
      </c>
      <c r="BA168" t="s">
        <v>1354</v>
      </c>
      <c r="BS168" t="s">
        <v>1307</v>
      </c>
      <c r="CE168" t="s">
        <v>1414</v>
      </c>
      <c r="CF168" t="s">
        <v>1309</v>
      </c>
      <c r="CG168" t="s">
        <v>1309</v>
      </c>
      <c r="CH168" t="s">
        <v>1309</v>
      </c>
      <c r="CI168" t="s">
        <v>1309</v>
      </c>
      <c r="CJ168" t="s">
        <v>1309</v>
      </c>
      <c r="CK168" t="s">
        <v>1309</v>
      </c>
      <c r="CL168" t="s">
        <v>1309</v>
      </c>
      <c r="CM168" t="s">
        <v>1309</v>
      </c>
      <c r="CN168" t="s">
        <v>1309</v>
      </c>
      <c r="CO168" t="s">
        <v>1309</v>
      </c>
      <c r="CP168" t="s">
        <v>1309</v>
      </c>
      <c r="CQ168" t="s">
        <v>1310</v>
      </c>
      <c r="CR168" t="s">
        <v>1309</v>
      </c>
      <c r="CT168" t="s">
        <v>4436</v>
      </c>
      <c r="CV168" t="s">
        <v>1308</v>
      </c>
      <c r="CW168" t="s">
        <v>1310</v>
      </c>
      <c r="CX168" t="s">
        <v>1309</v>
      </c>
      <c r="CY168" t="s">
        <v>1309</v>
      </c>
      <c r="CZ168" t="s">
        <v>1309</v>
      </c>
      <c r="DA168" t="s">
        <v>1309</v>
      </c>
      <c r="DB168" t="s">
        <v>1309</v>
      </c>
      <c r="DC168" t="s">
        <v>1309</v>
      </c>
      <c r="DE168" t="s">
        <v>1358</v>
      </c>
      <c r="DF168" t="s">
        <v>1319</v>
      </c>
      <c r="DG168">
        <v>150</v>
      </c>
      <c r="DI168">
        <v>500</v>
      </c>
      <c r="DJ168" t="s">
        <v>1358</v>
      </c>
      <c r="DK168">
        <v>200</v>
      </c>
      <c r="DM168">
        <v>600</v>
      </c>
      <c r="DN168" t="s">
        <v>1432</v>
      </c>
      <c r="DO168" t="s">
        <v>1310</v>
      </c>
      <c r="DP168" t="s">
        <v>1309</v>
      </c>
      <c r="DQ168" t="s">
        <v>1309</v>
      </c>
      <c r="DR168" t="s">
        <v>1310</v>
      </c>
      <c r="DS168" t="s">
        <v>1309</v>
      </c>
      <c r="DT168" t="s">
        <v>1310</v>
      </c>
      <c r="DU168" t="s">
        <v>1309</v>
      </c>
      <c r="DV168" t="s">
        <v>1309</v>
      </c>
      <c r="DW168" t="s">
        <v>1309</v>
      </c>
      <c r="DY168" t="s">
        <v>1456</v>
      </c>
      <c r="DZ168">
        <v>800</v>
      </c>
      <c r="EA168" t="s">
        <v>1319</v>
      </c>
      <c r="EC168" t="s">
        <v>1457</v>
      </c>
      <c r="ED168">
        <v>800</v>
      </c>
      <c r="EE168" t="s">
        <v>1319</v>
      </c>
      <c r="EG168" t="s">
        <v>5356</v>
      </c>
      <c r="EI168" t="s">
        <v>1307</v>
      </c>
      <c r="ET168" t="s">
        <v>1307</v>
      </c>
      <c r="EV168" t="s">
        <v>1319</v>
      </c>
      <c r="EW168" t="s">
        <v>1361</v>
      </c>
      <c r="EX168" t="s">
        <v>1319</v>
      </c>
      <c r="EY168" t="s">
        <v>1319</v>
      </c>
      <c r="EZ168" t="s">
        <v>1319</v>
      </c>
      <c r="FA168" t="s">
        <v>2189</v>
      </c>
      <c r="FB168" t="s">
        <v>1309</v>
      </c>
      <c r="FC168" t="s">
        <v>1310</v>
      </c>
      <c r="FD168" t="s">
        <v>1309</v>
      </c>
      <c r="FE168" t="s">
        <v>1310</v>
      </c>
      <c r="FF168" t="s">
        <v>1309</v>
      </c>
      <c r="FG168" t="s">
        <v>1309</v>
      </c>
      <c r="FH168" t="s">
        <v>1309</v>
      </c>
      <c r="FI168" t="s">
        <v>1309</v>
      </c>
      <c r="FJ168" t="s">
        <v>1309</v>
      </c>
      <c r="FK168" t="s">
        <v>1310</v>
      </c>
      <c r="FL168" t="s">
        <v>1309</v>
      </c>
      <c r="FM168" t="s">
        <v>1309</v>
      </c>
      <c r="FN168" t="s">
        <v>1309</v>
      </c>
      <c r="FO168" t="s">
        <v>1309</v>
      </c>
      <c r="FP168" t="s">
        <v>1309</v>
      </c>
      <c r="FQ168" t="s">
        <v>1309</v>
      </c>
      <c r="FR168" t="s">
        <v>1309</v>
      </c>
      <c r="FT168" t="s">
        <v>1319</v>
      </c>
      <c r="FU168" t="s">
        <v>1435</v>
      </c>
      <c r="FV168" t="s">
        <v>1310</v>
      </c>
      <c r="FW168" t="s">
        <v>1309</v>
      </c>
      <c r="FX168" t="s">
        <v>1309</v>
      </c>
      <c r="FY168" t="s">
        <v>1309</v>
      </c>
      <c r="FZ168" t="s">
        <v>1309</v>
      </c>
      <c r="GA168" t="s">
        <v>1309</v>
      </c>
      <c r="GB168" t="s">
        <v>1309</v>
      </c>
      <c r="GC168" t="s">
        <v>1309</v>
      </c>
      <c r="GD168" t="s">
        <v>1309</v>
      </c>
      <c r="GE168" t="s">
        <v>1309</v>
      </c>
      <c r="GF168" t="s">
        <v>1309</v>
      </c>
      <c r="GG168" t="s">
        <v>1309</v>
      </c>
      <c r="GI168" t="s">
        <v>1436</v>
      </c>
      <c r="GJ168" t="s">
        <v>1436</v>
      </c>
      <c r="GK168" t="s">
        <v>1319</v>
      </c>
      <c r="GL168" t="s">
        <v>1619</v>
      </c>
      <c r="GM168" t="s">
        <v>1310</v>
      </c>
      <c r="GN168" t="s">
        <v>1309</v>
      </c>
      <c r="GO168" t="s">
        <v>1309</v>
      </c>
      <c r="GP168" t="s">
        <v>1309</v>
      </c>
      <c r="GQ168" t="s">
        <v>1309</v>
      </c>
      <c r="GR168" t="s">
        <v>1309</v>
      </c>
      <c r="GT168" t="s">
        <v>1325</v>
      </c>
      <c r="GU168" t="s">
        <v>1310</v>
      </c>
      <c r="GV168" t="s">
        <v>1309</v>
      </c>
      <c r="GW168" t="s">
        <v>1309</v>
      </c>
      <c r="GX168" t="s">
        <v>1309</v>
      </c>
      <c r="GY168" t="s">
        <v>1309</v>
      </c>
      <c r="GZ168" t="s">
        <v>1309</v>
      </c>
      <c r="HA168" t="s">
        <v>1309</v>
      </c>
      <c r="HB168" t="s">
        <v>1309</v>
      </c>
      <c r="HC168" t="s">
        <v>1309</v>
      </c>
      <c r="HD168" t="s">
        <v>1309</v>
      </c>
      <c r="HE168" t="s">
        <v>1309</v>
      </c>
      <c r="HF168" t="s">
        <v>1309</v>
      </c>
      <c r="HH168" t="s">
        <v>1363</v>
      </c>
      <c r="HI168" t="s">
        <v>1363</v>
      </c>
      <c r="HJ168" t="s">
        <v>1363</v>
      </c>
      <c r="HK168" t="s">
        <v>1363</v>
      </c>
      <c r="HL168" t="s">
        <v>1364</v>
      </c>
      <c r="HM168" t="s">
        <v>1363</v>
      </c>
      <c r="IA168" t="s">
        <v>1307</v>
      </c>
      <c r="IQ168" t="s">
        <v>1308</v>
      </c>
      <c r="IS168" t="s">
        <v>1354</v>
      </c>
      <c r="JF168" t="s">
        <v>1316</v>
      </c>
      <c r="JG168" t="s">
        <v>1332</v>
      </c>
      <c r="JH168" t="s">
        <v>1309</v>
      </c>
      <c r="JI168" t="s">
        <v>1309</v>
      </c>
      <c r="JJ168" t="s">
        <v>1309</v>
      </c>
      <c r="JK168" t="s">
        <v>1309</v>
      </c>
      <c r="JL168" t="s">
        <v>1310</v>
      </c>
      <c r="JM168" t="s">
        <v>1309</v>
      </c>
      <c r="JN168" t="s">
        <v>1309</v>
      </c>
      <c r="JO168" t="s">
        <v>1309</v>
      </c>
      <c r="JQ168" s="92" t="s">
        <v>2076</v>
      </c>
      <c r="JR168" s="92" t="s">
        <v>2077</v>
      </c>
      <c r="JS168" s="92">
        <v>72</v>
      </c>
      <c r="JT168" s="92" t="s">
        <v>1319</v>
      </c>
      <c r="JU168" s="92" t="s">
        <v>1335</v>
      </c>
      <c r="JV168" s="92" t="s">
        <v>1368</v>
      </c>
      <c r="JW168" s="92" t="s">
        <v>1296</v>
      </c>
      <c r="JX168" s="92" t="s">
        <v>71</v>
      </c>
      <c r="JY168" s="92" t="s">
        <v>5549</v>
      </c>
      <c r="JZ168" s="92" t="s">
        <v>1369</v>
      </c>
      <c r="KA168" s="92" t="s">
        <v>4845</v>
      </c>
      <c r="KB168" s="92" t="s">
        <v>1476</v>
      </c>
      <c r="KC168" s="92" t="s">
        <v>192</v>
      </c>
      <c r="KD168" s="92" t="s">
        <v>4844</v>
      </c>
      <c r="KE168" s="92" t="s">
        <v>5560</v>
      </c>
      <c r="KF168" s="92">
        <v>650</v>
      </c>
      <c r="KG168" s="92" t="s">
        <v>4438</v>
      </c>
      <c r="KH168" s="92" t="s">
        <v>192</v>
      </c>
      <c r="KI168" s="92" t="s">
        <v>109</v>
      </c>
      <c r="KJ168" s="92" t="s">
        <v>192</v>
      </c>
      <c r="KK168" s="92" t="s">
        <v>109</v>
      </c>
      <c r="KL168" s="92" t="s">
        <v>1374</v>
      </c>
      <c r="KM168" s="92">
        <v>800</v>
      </c>
      <c r="KN168" s="92" t="s">
        <v>4439</v>
      </c>
      <c r="KO168" s="92" t="s">
        <v>1374</v>
      </c>
      <c r="KP168" s="92" t="s">
        <v>1401</v>
      </c>
      <c r="KQ168" s="92" t="s">
        <v>192</v>
      </c>
      <c r="KR168" s="92"/>
      <c r="KS168" s="92" t="s">
        <v>1466</v>
      </c>
      <c r="KT168" s="92" t="s">
        <v>1344</v>
      </c>
      <c r="KU168" s="92"/>
      <c r="KV168" s="92" t="s">
        <v>1441</v>
      </c>
      <c r="KW168" s="92" t="s">
        <v>1344</v>
      </c>
      <c r="KX168" s="92" t="s">
        <v>1376</v>
      </c>
      <c r="KY168" s="92" t="s">
        <v>1377</v>
      </c>
      <c r="KZ168" s="92" t="s">
        <v>1378</v>
      </c>
      <c r="LA168" s="92" t="s">
        <v>109</v>
      </c>
      <c r="LB168" s="92" t="s">
        <v>109</v>
      </c>
      <c r="LC168" s="92" t="s">
        <v>4439</v>
      </c>
      <c r="LD168" s="92" t="s">
        <v>4439</v>
      </c>
      <c r="LE168" s="92" t="s">
        <v>109</v>
      </c>
      <c r="LF168" s="92" t="s">
        <v>109</v>
      </c>
    </row>
    <row r="169" spans="1:318" x14ac:dyDescent="0.25">
      <c r="A169" t="s">
        <v>2190</v>
      </c>
      <c r="B169" t="s">
        <v>2191</v>
      </c>
      <c r="C169" t="s">
        <v>1304</v>
      </c>
      <c r="D169" t="s">
        <v>1305</v>
      </c>
      <c r="E169" t="s">
        <v>1306</v>
      </c>
      <c r="G169" t="s">
        <v>1307</v>
      </c>
      <c r="H169">
        <v>4</v>
      </c>
      <c r="I169" t="s">
        <v>1307</v>
      </c>
      <c r="J169" t="s">
        <v>1406</v>
      </c>
      <c r="K169" t="s">
        <v>1309</v>
      </c>
      <c r="L169" t="s">
        <v>1310</v>
      </c>
      <c r="M169" t="s">
        <v>1309</v>
      </c>
      <c r="N169" t="s">
        <v>1309</v>
      </c>
      <c r="O169" t="s">
        <v>1309</v>
      </c>
      <c r="P169" t="s">
        <v>1309</v>
      </c>
      <c r="Q169" t="s">
        <v>1309</v>
      </c>
      <c r="R169" t="s">
        <v>1309</v>
      </c>
      <c r="S169">
        <v>1</v>
      </c>
      <c r="U169" t="s">
        <v>1312</v>
      </c>
      <c r="V169" t="s">
        <v>1312</v>
      </c>
      <c r="W169" t="s">
        <v>1312</v>
      </c>
      <c r="X169" t="s">
        <v>1312</v>
      </c>
      <c r="Y169" t="s">
        <v>1312</v>
      </c>
      <c r="Z169" t="s">
        <v>1414</v>
      </c>
      <c r="AC169">
        <v>2</v>
      </c>
      <c r="AE169">
        <v>15000</v>
      </c>
      <c r="AF169" t="s">
        <v>1313</v>
      </c>
      <c r="AH169" t="s">
        <v>1383</v>
      </c>
      <c r="AJ169" t="s">
        <v>1315</v>
      </c>
      <c r="AL169" t="s">
        <v>1316</v>
      </c>
      <c r="BS169" t="s">
        <v>1307</v>
      </c>
      <c r="CE169" t="s">
        <v>2192</v>
      </c>
      <c r="CF169" t="s">
        <v>1310</v>
      </c>
      <c r="CG169" t="s">
        <v>1309</v>
      </c>
      <c r="CH169" t="s">
        <v>1309</v>
      </c>
      <c r="CI169" t="s">
        <v>1309</v>
      </c>
      <c r="CJ169" t="s">
        <v>1310</v>
      </c>
      <c r="CK169" t="s">
        <v>1309</v>
      </c>
      <c r="CL169" t="s">
        <v>1310</v>
      </c>
      <c r="CM169" t="s">
        <v>1309</v>
      </c>
      <c r="CN169" t="s">
        <v>1310</v>
      </c>
      <c r="CO169" t="s">
        <v>1310</v>
      </c>
      <c r="CP169" t="s">
        <v>1309</v>
      </c>
      <c r="CQ169" t="s">
        <v>1309</v>
      </c>
      <c r="CR169" t="s">
        <v>1309</v>
      </c>
      <c r="CT169" t="s">
        <v>4434</v>
      </c>
      <c r="CV169" t="s">
        <v>1357</v>
      </c>
      <c r="CW169" t="s">
        <v>1309</v>
      </c>
      <c r="CX169" t="s">
        <v>1309</v>
      </c>
      <c r="CY169" t="s">
        <v>1309</v>
      </c>
      <c r="CZ169" t="s">
        <v>1309</v>
      </c>
      <c r="DA169" t="s">
        <v>1310</v>
      </c>
      <c r="DB169" t="s">
        <v>1309</v>
      </c>
      <c r="DC169" t="s">
        <v>1309</v>
      </c>
      <c r="DE169" t="s">
        <v>1358</v>
      </c>
      <c r="DG169">
        <v>3500</v>
      </c>
      <c r="DI169">
        <v>750</v>
      </c>
      <c r="DJ169" t="s">
        <v>1358</v>
      </c>
      <c r="DK169">
        <v>4100</v>
      </c>
      <c r="DM169">
        <v>800</v>
      </c>
      <c r="DN169" t="s">
        <v>1489</v>
      </c>
      <c r="DO169" t="s">
        <v>1310</v>
      </c>
      <c r="DP169" t="s">
        <v>1310</v>
      </c>
      <c r="DQ169" t="s">
        <v>1309</v>
      </c>
      <c r="DR169" t="s">
        <v>1309</v>
      </c>
      <c r="DS169" t="s">
        <v>1309</v>
      </c>
      <c r="DT169" t="s">
        <v>1310</v>
      </c>
      <c r="DU169" t="s">
        <v>1309</v>
      </c>
      <c r="DV169" t="s">
        <v>1309</v>
      </c>
      <c r="DW169" t="s">
        <v>1309</v>
      </c>
      <c r="DY169" t="s">
        <v>1433</v>
      </c>
      <c r="DZ169">
        <v>300</v>
      </c>
      <c r="EA169" t="s">
        <v>1319</v>
      </c>
      <c r="EC169" t="s">
        <v>1387</v>
      </c>
      <c r="ED169">
        <v>1000</v>
      </c>
      <c r="EE169" t="s">
        <v>1319</v>
      </c>
      <c r="EG169" t="s">
        <v>5357</v>
      </c>
      <c r="ET169" t="s">
        <v>1307</v>
      </c>
      <c r="EV169" t="s">
        <v>1319</v>
      </c>
      <c r="EW169" t="s">
        <v>1361</v>
      </c>
      <c r="EX169" t="s">
        <v>1319</v>
      </c>
      <c r="EY169" t="s">
        <v>1319</v>
      </c>
      <c r="FA169" t="s">
        <v>2193</v>
      </c>
      <c r="FB169" t="s">
        <v>1309</v>
      </c>
      <c r="FC169" t="s">
        <v>1309</v>
      </c>
      <c r="FD169" t="s">
        <v>1310</v>
      </c>
      <c r="FE169" t="s">
        <v>1309</v>
      </c>
      <c r="FF169" t="s">
        <v>1309</v>
      </c>
      <c r="FG169" t="s">
        <v>1310</v>
      </c>
      <c r="FH169" t="s">
        <v>1309</v>
      </c>
      <c r="FI169" t="s">
        <v>1310</v>
      </c>
      <c r="FJ169" t="s">
        <v>1309</v>
      </c>
      <c r="FK169" t="s">
        <v>1309</v>
      </c>
      <c r="FL169" t="s">
        <v>1310</v>
      </c>
      <c r="FM169" t="s">
        <v>1310</v>
      </c>
      <c r="FN169" t="s">
        <v>1309</v>
      </c>
      <c r="FO169" t="s">
        <v>1310</v>
      </c>
      <c r="FP169" t="s">
        <v>1309</v>
      </c>
      <c r="FQ169" t="s">
        <v>1309</v>
      </c>
      <c r="FR169" t="s">
        <v>1309</v>
      </c>
      <c r="FT169" t="s">
        <v>1307</v>
      </c>
      <c r="GI169" t="s">
        <v>1324</v>
      </c>
      <c r="GJ169" t="s">
        <v>1324</v>
      </c>
      <c r="GT169" t="s">
        <v>1325</v>
      </c>
      <c r="GU169" t="s">
        <v>1310</v>
      </c>
      <c r="GV169" t="s">
        <v>1309</v>
      </c>
      <c r="GW169" t="s">
        <v>1309</v>
      </c>
      <c r="GX169" t="s">
        <v>1309</v>
      </c>
      <c r="GY169" t="s">
        <v>1309</v>
      </c>
      <c r="GZ169" t="s">
        <v>1309</v>
      </c>
      <c r="HA169" t="s">
        <v>1309</v>
      </c>
      <c r="HB169" t="s">
        <v>1309</v>
      </c>
      <c r="HC169" t="s">
        <v>1309</v>
      </c>
      <c r="HD169" t="s">
        <v>1309</v>
      </c>
      <c r="HE169" t="s">
        <v>1309</v>
      </c>
      <c r="HF169" t="s">
        <v>1309</v>
      </c>
      <c r="HH169" t="s">
        <v>1326</v>
      </c>
      <c r="HI169" t="s">
        <v>1327</v>
      </c>
      <c r="HJ169" t="s">
        <v>1326</v>
      </c>
      <c r="HK169" t="s">
        <v>1327</v>
      </c>
      <c r="HL169" t="s">
        <v>1364</v>
      </c>
      <c r="HM169" t="s">
        <v>1326</v>
      </c>
      <c r="IA169" t="s">
        <v>1319</v>
      </c>
      <c r="IB169" t="s">
        <v>1412</v>
      </c>
      <c r="IC169" t="s">
        <v>1309</v>
      </c>
      <c r="ID169" t="s">
        <v>1310</v>
      </c>
      <c r="IE169" t="s">
        <v>1309</v>
      </c>
      <c r="IF169" t="s">
        <v>1309</v>
      </c>
      <c r="IG169" t="s">
        <v>1310</v>
      </c>
      <c r="IH169" t="s">
        <v>1309</v>
      </c>
      <c r="II169" t="s">
        <v>1309</v>
      </c>
      <c r="IJ169" t="s">
        <v>1309</v>
      </c>
      <c r="IK169" t="s">
        <v>1309</v>
      </c>
      <c r="IL169" t="s">
        <v>1309</v>
      </c>
      <c r="IM169" t="s">
        <v>1309</v>
      </c>
      <c r="IN169" t="s">
        <v>1309</v>
      </c>
      <c r="IO169" t="s">
        <v>1309</v>
      </c>
      <c r="IQ169" t="s">
        <v>1330</v>
      </c>
      <c r="IS169" t="s">
        <v>1354</v>
      </c>
      <c r="JF169" t="s">
        <v>1413</v>
      </c>
      <c r="JG169" t="s">
        <v>1451</v>
      </c>
      <c r="JH169" t="s">
        <v>1310</v>
      </c>
      <c r="JI169" t="s">
        <v>1309</v>
      </c>
      <c r="JJ169" t="s">
        <v>1309</v>
      </c>
      <c r="JK169" t="s">
        <v>1310</v>
      </c>
      <c r="JL169" t="s">
        <v>1309</v>
      </c>
      <c r="JM169" t="s">
        <v>1309</v>
      </c>
      <c r="JN169" t="s">
        <v>1309</v>
      </c>
      <c r="JO169" t="s">
        <v>1309</v>
      </c>
      <c r="JQ169" s="92" t="s">
        <v>2061</v>
      </c>
      <c r="JR169" s="92" t="s">
        <v>2186</v>
      </c>
      <c r="JS169" s="92">
        <v>56</v>
      </c>
      <c r="JT169" s="92" t="s">
        <v>1319</v>
      </c>
      <c r="JU169" s="92" t="s">
        <v>1335</v>
      </c>
      <c r="JV169" s="92" t="s">
        <v>1526</v>
      </c>
      <c r="JW169" s="92" t="s">
        <v>1296</v>
      </c>
      <c r="JX169" s="92" t="s">
        <v>70</v>
      </c>
      <c r="JY169" s="92" t="s">
        <v>5549</v>
      </c>
      <c r="JZ169" s="92" t="s">
        <v>1337</v>
      </c>
      <c r="KA169" s="92" t="s">
        <v>4845</v>
      </c>
      <c r="KB169" s="92" t="s">
        <v>1415</v>
      </c>
      <c r="KC169" s="92" t="s">
        <v>109</v>
      </c>
      <c r="KD169" s="92" t="s">
        <v>4847</v>
      </c>
      <c r="KE169" s="92" t="s">
        <v>1340</v>
      </c>
      <c r="KF169" s="92">
        <v>4250</v>
      </c>
      <c r="KG169" s="92" t="s">
        <v>1340</v>
      </c>
      <c r="KH169" s="92" t="s">
        <v>192</v>
      </c>
      <c r="KI169" s="92" t="s">
        <v>109</v>
      </c>
      <c r="KJ169" s="92" t="s">
        <v>192</v>
      </c>
      <c r="KK169" s="92" t="s">
        <v>109</v>
      </c>
      <c r="KL169" s="92" t="s">
        <v>1341</v>
      </c>
      <c r="KM169" s="92">
        <v>4900</v>
      </c>
      <c r="KN169" s="92" t="s">
        <v>1340</v>
      </c>
      <c r="KO169" s="92" t="s">
        <v>1341</v>
      </c>
      <c r="KP169" s="92" t="s">
        <v>1375</v>
      </c>
      <c r="KQ169" s="92" t="s">
        <v>192</v>
      </c>
      <c r="KR169" s="92">
        <v>7</v>
      </c>
      <c r="KS169" s="92" t="s">
        <v>1343</v>
      </c>
      <c r="KT169" s="92" t="s">
        <v>1344</v>
      </c>
      <c r="KU169" s="92">
        <v>20</v>
      </c>
      <c r="KV169" s="92" t="s">
        <v>1461</v>
      </c>
      <c r="KW169" s="92" t="s">
        <v>1344</v>
      </c>
      <c r="KX169" s="92" t="s">
        <v>1346</v>
      </c>
      <c r="KY169" s="92" t="s">
        <v>1347</v>
      </c>
      <c r="KZ169" s="92" t="s">
        <v>5795</v>
      </c>
      <c r="LA169" s="92" t="s">
        <v>109</v>
      </c>
      <c r="LB169" s="92" t="s">
        <v>109</v>
      </c>
      <c r="LC169" s="92" t="s">
        <v>5566</v>
      </c>
      <c r="LD169" s="92" t="s">
        <v>5566</v>
      </c>
      <c r="LE169" s="92"/>
      <c r="LF169" s="92"/>
    </row>
    <row r="170" spans="1:318" x14ac:dyDescent="0.25">
      <c r="A170" t="s">
        <v>2194</v>
      </c>
      <c r="B170" t="s">
        <v>2195</v>
      </c>
      <c r="C170" t="s">
        <v>1304</v>
      </c>
      <c r="D170" t="s">
        <v>1305</v>
      </c>
      <c r="E170" t="s">
        <v>1381</v>
      </c>
      <c r="G170" t="s">
        <v>1319</v>
      </c>
      <c r="H170">
        <v>3</v>
      </c>
      <c r="I170" t="s">
        <v>1358</v>
      </c>
      <c r="J170" t="s">
        <v>1406</v>
      </c>
      <c r="K170" t="s">
        <v>1309</v>
      </c>
      <c r="L170" t="s">
        <v>1310</v>
      </c>
      <c r="M170" t="s">
        <v>1309</v>
      </c>
      <c r="N170" t="s">
        <v>1309</v>
      </c>
      <c r="O170" t="s">
        <v>1309</v>
      </c>
      <c r="P170" t="s">
        <v>1309</v>
      </c>
      <c r="Q170" t="s">
        <v>1309</v>
      </c>
      <c r="R170" t="s">
        <v>1309</v>
      </c>
      <c r="S170">
        <v>1</v>
      </c>
      <c r="U170" t="s">
        <v>1312</v>
      </c>
      <c r="V170" t="s">
        <v>1312</v>
      </c>
      <c r="W170" t="s">
        <v>1312</v>
      </c>
      <c r="X170" t="s">
        <v>1312</v>
      </c>
      <c r="Y170" t="s">
        <v>1312</v>
      </c>
      <c r="Z170" t="s">
        <v>1312</v>
      </c>
      <c r="AC170">
        <v>2</v>
      </c>
      <c r="AD170">
        <v>8000</v>
      </c>
      <c r="AE170">
        <v>5000</v>
      </c>
      <c r="AF170" t="s">
        <v>1351</v>
      </c>
      <c r="AH170" t="s">
        <v>1314</v>
      </c>
      <c r="AJ170" t="s">
        <v>1315</v>
      </c>
      <c r="AL170" t="s">
        <v>1316</v>
      </c>
      <c r="BS170" t="s">
        <v>1307</v>
      </c>
      <c r="CE170" t="s">
        <v>1384</v>
      </c>
      <c r="CF170" t="s">
        <v>1310</v>
      </c>
      <c r="CG170" t="s">
        <v>1309</v>
      </c>
      <c r="CH170" t="s">
        <v>1309</v>
      </c>
      <c r="CI170" t="s">
        <v>1309</v>
      </c>
      <c r="CJ170" t="s">
        <v>1309</v>
      </c>
      <c r="CK170" t="s">
        <v>1309</v>
      </c>
      <c r="CL170" t="s">
        <v>1309</v>
      </c>
      <c r="CM170" t="s">
        <v>1309</v>
      </c>
      <c r="CN170" t="s">
        <v>1309</v>
      </c>
      <c r="CO170" t="s">
        <v>1309</v>
      </c>
      <c r="CP170" t="s">
        <v>1309</v>
      </c>
      <c r="CQ170" t="s">
        <v>1309</v>
      </c>
      <c r="CR170" t="s">
        <v>1309</v>
      </c>
      <c r="CT170" t="s">
        <v>4436</v>
      </c>
      <c r="CV170" t="s">
        <v>1308</v>
      </c>
      <c r="CW170" t="s">
        <v>1310</v>
      </c>
      <c r="CX170" t="s">
        <v>1309</v>
      </c>
      <c r="CY170" t="s">
        <v>1309</v>
      </c>
      <c r="CZ170" t="s">
        <v>1309</v>
      </c>
      <c r="DA170" t="s">
        <v>1309</v>
      </c>
      <c r="DB170" t="s">
        <v>1309</v>
      </c>
      <c r="DC170" t="s">
        <v>1309</v>
      </c>
      <c r="DE170" t="s">
        <v>1358</v>
      </c>
      <c r="DF170" t="s">
        <v>1319</v>
      </c>
      <c r="DG170">
        <v>500</v>
      </c>
      <c r="DI170">
        <v>650</v>
      </c>
      <c r="DJ170" t="s">
        <v>1358</v>
      </c>
      <c r="DK170">
        <v>850</v>
      </c>
      <c r="DM170">
        <v>1000</v>
      </c>
      <c r="DN170" t="s">
        <v>1584</v>
      </c>
      <c r="DO170" t="s">
        <v>1310</v>
      </c>
      <c r="DP170" t="s">
        <v>1309</v>
      </c>
      <c r="DQ170" t="s">
        <v>1309</v>
      </c>
      <c r="DR170" t="s">
        <v>1309</v>
      </c>
      <c r="DS170" t="s">
        <v>1310</v>
      </c>
      <c r="DT170" t="s">
        <v>1310</v>
      </c>
      <c r="DU170" t="s">
        <v>1309</v>
      </c>
      <c r="DV170" t="s">
        <v>1309</v>
      </c>
      <c r="DW170" t="s">
        <v>1309</v>
      </c>
      <c r="DY170" t="s">
        <v>1696</v>
      </c>
      <c r="DZ170">
        <v>300</v>
      </c>
      <c r="EA170" t="s">
        <v>1319</v>
      </c>
      <c r="EC170" t="s">
        <v>1658</v>
      </c>
      <c r="ED170">
        <v>1000</v>
      </c>
      <c r="EE170" t="s">
        <v>1319</v>
      </c>
      <c r="EG170" t="s">
        <v>5357</v>
      </c>
      <c r="ET170" t="s">
        <v>1307</v>
      </c>
      <c r="EV170" t="s">
        <v>1307</v>
      </c>
      <c r="EX170" t="s">
        <v>1307</v>
      </c>
      <c r="EY170" t="s">
        <v>1307</v>
      </c>
      <c r="EZ170" t="s">
        <v>1307</v>
      </c>
      <c r="FT170" t="s">
        <v>1307</v>
      </c>
      <c r="GI170" t="s">
        <v>1324</v>
      </c>
      <c r="GJ170" t="s">
        <v>1324</v>
      </c>
      <c r="GT170" t="s">
        <v>1325</v>
      </c>
      <c r="GU170" t="s">
        <v>1310</v>
      </c>
      <c r="GV170" t="s">
        <v>1309</v>
      </c>
      <c r="GW170" t="s">
        <v>1309</v>
      </c>
      <c r="GX170" t="s">
        <v>1309</v>
      </c>
      <c r="GY170" t="s">
        <v>1309</v>
      </c>
      <c r="GZ170" t="s">
        <v>1309</v>
      </c>
      <c r="HA170" t="s">
        <v>1309</v>
      </c>
      <c r="HB170" t="s">
        <v>1309</v>
      </c>
      <c r="HC170" t="s">
        <v>1309</v>
      </c>
      <c r="HD170" t="s">
        <v>1309</v>
      </c>
      <c r="HE170" t="s">
        <v>1309</v>
      </c>
      <c r="HF170" t="s">
        <v>1309</v>
      </c>
      <c r="HH170" t="s">
        <v>1390</v>
      </c>
      <c r="HI170" t="s">
        <v>1390</v>
      </c>
      <c r="HJ170" t="s">
        <v>1390</v>
      </c>
      <c r="HK170" t="s">
        <v>1327</v>
      </c>
      <c r="HL170" t="s">
        <v>1328</v>
      </c>
      <c r="HM170" t="s">
        <v>1390</v>
      </c>
      <c r="HN170" t="s">
        <v>1329</v>
      </c>
      <c r="HO170" t="s">
        <v>1309</v>
      </c>
      <c r="HP170" t="s">
        <v>1309</v>
      </c>
      <c r="HQ170" t="s">
        <v>1309</v>
      </c>
      <c r="HR170" t="s">
        <v>1310</v>
      </c>
      <c r="HS170" t="s">
        <v>1309</v>
      </c>
      <c r="HT170" t="s">
        <v>1309</v>
      </c>
      <c r="HU170" t="s">
        <v>1309</v>
      </c>
      <c r="HV170" t="s">
        <v>1309</v>
      </c>
      <c r="HW170" t="s">
        <v>1309</v>
      </c>
      <c r="HX170" t="s">
        <v>1309</v>
      </c>
      <c r="HY170" t="s">
        <v>1309</v>
      </c>
      <c r="IA170" t="s">
        <v>1414</v>
      </c>
      <c r="IQ170" t="s">
        <v>1330</v>
      </c>
      <c r="IS170" t="s">
        <v>1316</v>
      </c>
      <c r="JF170" t="s">
        <v>1331</v>
      </c>
      <c r="JG170" t="s">
        <v>1332</v>
      </c>
      <c r="JH170" t="s">
        <v>1309</v>
      </c>
      <c r="JI170" t="s">
        <v>1309</v>
      </c>
      <c r="JJ170" t="s">
        <v>1309</v>
      </c>
      <c r="JK170" t="s">
        <v>1309</v>
      </c>
      <c r="JL170" t="s">
        <v>1310</v>
      </c>
      <c r="JM170" t="s">
        <v>1309</v>
      </c>
      <c r="JN170" t="s">
        <v>1309</v>
      </c>
      <c r="JO170" t="s">
        <v>1309</v>
      </c>
      <c r="JQ170" s="92" t="s">
        <v>2092</v>
      </c>
      <c r="JR170" s="92" t="s">
        <v>2196</v>
      </c>
      <c r="JS170" s="92">
        <v>42</v>
      </c>
      <c r="JT170" s="92" t="s">
        <v>1319</v>
      </c>
      <c r="JU170" s="92" t="s">
        <v>1335</v>
      </c>
      <c r="JV170" s="92" t="s">
        <v>1368</v>
      </c>
      <c r="JW170" s="92" t="s">
        <v>1296</v>
      </c>
      <c r="JX170" s="92" t="s">
        <v>70</v>
      </c>
      <c r="JY170" s="92" t="s">
        <v>1397</v>
      </c>
      <c r="JZ170" s="92" t="s">
        <v>1337</v>
      </c>
      <c r="KA170" s="92" t="s">
        <v>4845</v>
      </c>
      <c r="KB170" s="92" t="s">
        <v>1415</v>
      </c>
      <c r="KC170" s="92" t="s">
        <v>109</v>
      </c>
      <c r="KD170" s="92" t="s">
        <v>4847</v>
      </c>
      <c r="KE170" s="92" t="s">
        <v>1424</v>
      </c>
      <c r="KF170" s="92">
        <v>1150</v>
      </c>
      <c r="KG170" s="92" t="s">
        <v>4438</v>
      </c>
      <c r="KH170" s="92" t="s">
        <v>192</v>
      </c>
      <c r="KI170" s="92" t="s">
        <v>109</v>
      </c>
      <c r="KJ170" s="92" t="s">
        <v>192</v>
      </c>
      <c r="KK170" s="92" t="s">
        <v>109</v>
      </c>
      <c r="KL170" s="92" t="s">
        <v>1440</v>
      </c>
      <c r="KM170" s="92">
        <v>1850</v>
      </c>
      <c r="KN170" s="92" t="s">
        <v>4438</v>
      </c>
      <c r="KO170" s="92" t="s">
        <v>1440</v>
      </c>
      <c r="KP170" s="92" t="s">
        <v>1401</v>
      </c>
      <c r="KQ170" s="92" t="s">
        <v>192</v>
      </c>
      <c r="KR170" s="92"/>
      <c r="KS170" s="92" t="s">
        <v>1343</v>
      </c>
      <c r="KT170" s="92" t="s">
        <v>1344</v>
      </c>
      <c r="KU170" s="92"/>
      <c r="KV170" s="92" t="s">
        <v>1461</v>
      </c>
      <c r="KW170" s="92" t="s">
        <v>1344</v>
      </c>
      <c r="KX170" s="92" t="s">
        <v>1346</v>
      </c>
      <c r="KY170" s="92" t="s">
        <v>1347</v>
      </c>
      <c r="KZ170" s="92" t="s">
        <v>1403</v>
      </c>
      <c r="LA170" s="92" t="s">
        <v>109</v>
      </c>
      <c r="LB170" s="92" t="s">
        <v>109</v>
      </c>
      <c r="LC170" s="92" t="s">
        <v>4438</v>
      </c>
      <c r="LD170" s="92" t="s">
        <v>4439</v>
      </c>
      <c r="LE170" s="92" t="s">
        <v>109</v>
      </c>
      <c r="LF170" s="92" t="s">
        <v>109</v>
      </c>
    </row>
    <row r="171" spans="1:318" x14ac:dyDescent="0.25">
      <c r="A171" t="s">
        <v>2197</v>
      </c>
      <c r="B171" t="s">
        <v>2198</v>
      </c>
      <c r="C171" t="s">
        <v>1304</v>
      </c>
      <c r="D171" t="s">
        <v>1305</v>
      </c>
      <c r="E171" t="s">
        <v>1306</v>
      </c>
      <c r="G171" t="s">
        <v>1307</v>
      </c>
      <c r="H171">
        <v>2</v>
      </c>
      <c r="I171" t="s">
        <v>1318</v>
      </c>
      <c r="J171" t="s">
        <v>1548</v>
      </c>
      <c r="K171" t="s">
        <v>1309</v>
      </c>
      <c r="L171" t="s">
        <v>1309</v>
      </c>
      <c r="M171" t="s">
        <v>1310</v>
      </c>
      <c r="N171" t="s">
        <v>1310</v>
      </c>
      <c r="O171" t="s">
        <v>1309</v>
      </c>
      <c r="P171" t="s">
        <v>1309</v>
      </c>
      <c r="Q171" t="s">
        <v>1309</v>
      </c>
      <c r="R171" t="s">
        <v>1309</v>
      </c>
      <c r="T171">
        <v>2</v>
      </c>
      <c r="U171" t="s">
        <v>1312</v>
      </c>
      <c r="V171" t="s">
        <v>1311</v>
      </c>
      <c r="W171" t="s">
        <v>1312</v>
      </c>
      <c r="X171" t="s">
        <v>1312</v>
      </c>
      <c r="Y171" t="s">
        <v>1312</v>
      </c>
      <c r="Z171" t="s">
        <v>1312</v>
      </c>
      <c r="AA171">
        <v>1</v>
      </c>
      <c r="AB171">
        <v>1</v>
      </c>
      <c r="AC171">
        <v>2</v>
      </c>
      <c r="AD171">
        <v>4000</v>
      </c>
      <c r="AE171">
        <v>3000</v>
      </c>
      <c r="AF171" t="s">
        <v>1351</v>
      </c>
      <c r="AH171" t="s">
        <v>1314</v>
      </c>
      <c r="AJ171" t="s">
        <v>1353</v>
      </c>
      <c r="AL171" t="s">
        <v>1354</v>
      </c>
      <c r="BA171" t="s">
        <v>1354</v>
      </c>
      <c r="BS171" t="s">
        <v>1307</v>
      </c>
      <c r="CE171" t="s">
        <v>1414</v>
      </c>
      <c r="CF171" t="s">
        <v>1309</v>
      </c>
      <c r="CG171" t="s">
        <v>1309</v>
      </c>
      <c r="CH171" t="s">
        <v>1309</v>
      </c>
      <c r="CI171" t="s">
        <v>1309</v>
      </c>
      <c r="CJ171" t="s">
        <v>1309</v>
      </c>
      <c r="CK171" t="s">
        <v>1309</v>
      </c>
      <c r="CL171" t="s">
        <v>1309</v>
      </c>
      <c r="CM171" t="s">
        <v>1309</v>
      </c>
      <c r="CN171" t="s">
        <v>1309</v>
      </c>
      <c r="CO171" t="s">
        <v>1309</v>
      </c>
      <c r="CP171" t="s">
        <v>1309</v>
      </c>
      <c r="CQ171" t="s">
        <v>1310</v>
      </c>
      <c r="CR171" t="s">
        <v>1309</v>
      </c>
      <c r="CT171" t="s">
        <v>4436</v>
      </c>
      <c r="CV171" t="s">
        <v>1308</v>
      </c>
      <c r="CW171" t="s">
        <v>1310</v>
      </c>
      <c r="CX171" t="s">
        <v>1309</v>
      </c>
      <c r="CY171" t="s">
        <v>1309</v>
      </c>
      <c r="CZ171" t="s">
        <v>1309</v>
      </c>
      <c r="DA171" t="s">
        <v>1309</v>
      </c>
      <c r="DB171" t="s">
        <v>1309</v>
      </c>
      <c r="DC171" t="s">
        <v>1309</v>
      </c>
      <c r="DE171" t="s">
        <v>1358</v>
      </c>
      <c r="DF171" t="s">
        <v>1319</v>
      </c>
      <c r="DG171">
        <v>150</v>
      </c>
      <c r="DI171">
        <v>150</v>
      </c>
      <c r="DJ171" t="s">
        <v>1358</v>
      </c>
      <c r="DK171">
        <v>150</v>
      </c>
      <c r="DM171">
        <v>200</v>
      </c>
      <c r="DN171" t="s">
        <v>1584</v>
      </c>
      <c r="DO171" t="s">
        <v>1310</v>
      </c>
      <c r="DP171" t="s">
        <v>1309</v>
      </c>
      <c r="DQ171" t="s">
        <v>1309</v>
      </c>
      <c r="DR171" t="s">
        <v>1309</v>
      </c>
      <c r="DS171" t="s">
        <v>1310</v>
      </c>
      <c r="DT171" t="s">
        <v>1310</v>
      </c>
      <c r="DU171" t="s">
        <v>1309</v>
      </c>
      <c r="DV171" t="s">
        <v>1309</v>
      </c>
      <c r="DW171" t="s">
        <v>1309</v>
      </c>
      <c r="DY171" t="s">
        <v>1456</v>
      </c>
      <c r="DZ171">
        <v>410</v>
      </c>
      <c r="EA171" t="s">
        <v>1319</v>
      </c>
      <c r="EC171" t="s">
        <v>1457</v>
      </c>
      <c r="ED171">
        <v>500</v>
      </c>
      <c r="EE171" t="s">
        <v>1319</v>
      </c>
      <c r="EG171" t="s">
        <v>5357</v>
      </c>
      <c r="ET171" t="s">
        <v>1307</v>
      </c>
      <c r="EV171" t="s">
        <v>1319</v>
      </c>
      <c r="EW171" t="s">
        <v>1409</v>
      </c>
      <c r="EX171" t="s">
        <v>1319</v>
      </c>
      <c r="EY171" t="s">
        <v>1319</v>
      </c>
      <c r="EZ171" t="s">
        <v>1319</v>
      </c>
      <c r="FA171" t="s">
        <v>2199</v>
      </c>
      <c r="FB171" t="s">
        <v>1309</v>
      </c>
      <c r="FC171" t="s">
        <v>1309</v>
      </c>
      <c r="FD171" t="s">
        <v>1309</v>
      </c>
      <c r="FE171" t="s">
        <v>1310</v>
      </c>
      <c r="FF171" t="s">
        <v>1309</v>
      </c>
      <c r="FG171" t="s">
        <v>1309</v>
      </c>
      <c r="FH171" t="s">
        <v>1309</v>
      </c>
      <c r="FI171" t="s">
        <v>1310</v>
      </c>
      <c r="FJ171" t="s">
        <v>1309</v>
      </c>
      <c r="FK171" t="s">
        <v>1309</v>
      </c>
      <c r="FL171" t="s">
        <v>1309</v>
      </c>
      <c r="FM171" t="s">
        <v>1309</v>
      </c>
      <c r="FN171" t="s">
        <v>1309</v>
      </c>
      <c r="FO171" t="s">
        <v>1309</v>
      </c>
      <c r="FP171" t="s">
        <v>1309</v>
      </c>
      <c r="FQ171" t="s">
        <v>1309</v>
      </c>
      <c r="FR171" t="s">
        <v>1309</v>
      </c>
      <c r="FT171" t="s">
        <v>1319</v>
      </c>
      <c r="FU171" t="s">
        <v>1435</v>
      </c>
      <c r="FV171" t="s">
        <v>1310</v>
      </c>
      <c r="FW171" t="s">
        <v>1309</v>
      </c>
      <c r="FX171" t="s">
        <v>1309</v>
      </c>
      <c r="FY171" t="s">
        <v>1309</v>
      </c>
      <c r="FZ171" t="s">
        <v>1309</v>
      </c>
      <c r="GA171" t="s">
        <v>1309</v>
      </c>
      <c r="GB171" t="s">
        <v>1309</v>
      </c>
      <c r="GC171" t="s">
        <v>1309</v>
      </c>
      <c r="GD171" t="s">
        <v>1309</v>
      </c>
      <c r="GE171" t="s">
        <v>1309</v>
      </c>
      <c r="GF171" t="s">
        <v>1309</v>
      </c>
      <c r="GG171" t="s">
        <v>1309</v>
      </c>
      <c r="GI171" t="s">
        <v>1324</v>
      </c>
      <c r="GJ171" t="s">
        <v>1324</v>
      </c>
      <c r="GT171" t="s">
        <v>1325</v>
      </c>
      <c r="GU171" t="s">
        <v>1310</v>
      </c>
      <c r="GV171" t="s">
        <v>1309</v>
      </c>
      <c r="GW171" t="s">
        <v>1309</v>
      </c>
      <c r="GX171" t="s">
        <v>1309</v>
      </c>
      <c r="GY171" t="s">
        <v>1309</v>
      </c>
      <c r="GZ171" t="s">
        <v>1309</v>
      </c>
      <c r="HA171" t="s">
        <v>1309</v>
      </c>
      <c r="HB171" t="s">
        <v>1309</v>
      </c>
      <c r="HC171" t="s">
        <v>1309</v>
      </c>
      <c r="HD171" t="s">
        <v>1309</v>
      </c>
      <c r="HE171" t="s">
        <v>1309</v>
      </c>
      <c r="HF171" t="s">
        <v>1309</v>
      </c>
      <c r="HH171" t="s">
        <v>1363</v>
      </c>
      <c r="HI171" t="s">
        <v>1363</v>
      </c>
      <c r="HJ171" t="s">
        <v>1363</v>
      </c>
      <c r="HK171" t="s">
        <v>1327</v>
      </c>
      <c r="HL171" t="s">
        <v>1364</v>
      </c>
      <c r="HM171" t="s">
        <v>1363</v>
      </c>
      <c r="IA171" t="s">
        <v>1307</v>
      </c>
      <c r="IQ171" t="s">
        <v>1308</v>
      </c>
      <c r="IS171" t="s">
        <v>1354</v>
      </c>
      <c r="JF171" t="s">
        <v>1316</v>
      </c>
      <c r="JG171" t="s">
        <v>1332</v>
      </c>
      <c r="JH171" t="s">
        <v>1309</v>
      </c>
      <c r="JI171" t="s">
        <v>1309</v>
      </c>
      <c r="JJ171" t="s">
        <v>1309</v>
      </c>
      <c r="JK171" t="s">
        <v>1309</v>
      </c>
      <c r="JL171" t="s">
        <v>1310</v>
      </c>
      <c r="JM171" t="s">
        <v>1309</v>
      </c>
      <c r="JN171" t="s">
        <v>1309</v>
      </c>
      <c r="JO171" t="s">
        <v>1309</v>
      </c>
      <c r="JQ171" s="92" t="s">
        <v>2076</v>
      </c>
      <c r="JR171" s="92" t="s">
        <v>1698</v>
      </c>
      <c r="JS171" s="92">
        <v>69</v>
      </c>
      <c r="JT171" s="92" t="s">
        <v>1319</v>
      </c>
      <c r="JU171" s="92" t="s">
        <v>1335</v>
      </c>
      <c r="JV171" s="92" t="s">
        <v>1368</v>
      </c>
      <c r="JW171" s="92" t="s">
        <v>1296</v>
      </c>
      <c r="JX171" s="92" t="s">
        <v>70</v>
      </c>
      <c r="JY171" s="92" t="s">
        <v>5549</v>
      </c>
      <c r="JZ171" s="92" t="s">
        <v>1369</v>
      </c>
      <c r="KA171" s="92" t="s">
        <v>4845</v>
      </c>
      <c r="KB171" s="92" t="s">
        <v>1476</v>
      </c>
      <c r="KC171" s="92" t="s">
        <v>109</v>
      </c>
      <c r="KD171" s="92" t="s">
        <v>4847</v>
      </c>
      <c r="KE171" s="92" t="s">
        <v>5560</v>
      </c>
      <c r="KF171" s="92">
        <v>300</v>
      </c>
      <c r="KG171" s="92" t="s">
        <v>1372</v>
      </c>
      <c r="KH171" s="92" t="s">
        <v>192</v>
      </c>
      <c r="KI171" s="92" t="s">
        <v>109</v>
      </c>
      <c r="KJ171" s="92" t="s">
        <v>192</v>
      </c>
      <c r="KK171" s="92" t="s">
        <v>109</v>
      </c>
      <c r="KL171" s="92" t="s">
        <v>1373</v>
      </c>
      <c r="KM171" s="92">
        <v>350</v>
      </c>
      <c r="KN171" s="92" t="s">
        <v>1372</v>
      </c>
      <c r="KO171" s="92" t="s">
        <v>1373</v>
      </c>
      <c r="KP171" s="92" t="s">
        <v>1401</v>
      </c>
      <c r="KQ171" s="92" t="s">
        <v>192</v>
      </c>
      <c r="KR171" s="92"/>
      <c r="KS171" s="92" t="s">
        <v>1343</v>
      </c>
      <c r="KT171" s="92" t="s">
        <v>1344</v>
      </c>
      <c r="KU171" s="92"/>
      <c r="KV171" s="92" t="s">
        <v>1345</v>
      </c>
      <c r="KW171" s="92" t="s">
        <v>1344</v>
      </c>
      <c r="KX171" s="92" t="s">
        <v>1376</v>
      </c>
      <c r="KY171" s="92" t="s">
        <v>1377</v>
      </c>
      <c r="KZ171" s="92" t="s">
        <v>1378</v>
      </c>
      <c r="LA171" s="92" t="s">
        <v>192</v>
      </c>
      <c r="LB171" s="92" t="s">
        <v>192</v>
      </c>
      <c r="LC171" s="92" t="s">
        <v>1372</v>
      </c>
      <c r="LD171" s="92" t="s">
        <v>1372</v>
      </c>
      <c r="LE171" s="92" t="s">
        <v>109</v>
      </c>
      <c r="LF171" s="92" t="s">
        <v>109</v>
      </c>
    </row>
    <row r="172" spans="1:318" x14ac:dyDescent="0.25">
      <c r="A172" t="s">
        <v>2200</v>
      </c>
      <c r="B172" t="s">
        <v>2201</v>
      </c>
      <c r="C172" t="s">
        <v>1304</v>
      </c>
      <c r="D172" t="s">
        <v>1305</v>
      </c>
      <c r="E172" t="s">
        <v>1306</v>
      </c>
      <c r="G172" t="s">
        <v>1307</v>
      </c>
      <c r="H172">
        <v>3</v>
      </c>
      <c r="I172" t="s">
        <v>1318</v>
      </c>
      <c r="J172" t="s">
        <v>1350</v>
      </c>
      <c r="K172" t="s">
        <v>1309</v>
      </c>
      <c r="L172" t="s">
        <v>1310</v>
      </c>
      <c r="M172" t="s">
        <v>1310</v>
      </c>
      <c r="N172" t="s">
        <v>1310</v>
      </c>
      <c r="O172" t="s">
        <v>1310</v>
      </c>
      <c r="P172" t="s">
        <v>1309</v>
      </c>
      <c r="Q172" t="s">
        <v>1309</v>
      </c>
      <c r="R172" t="s">
        <v>1309</v>
      </c>
      <c r="S172">
        <v>1</v>
      </c>
      <c r="T172">
        <v>2</v>
      </c>
      <c r="U172" t="s">
        <v>1312</v>
      </c>
      <c r="V172" t="s">
        <v>1312</v>
      </c>
      <c r="W172" t="s">
        <v>1311</v>
      </c>
      <c r="X172" t="s">
        <v>1312</v>
      </c>
      <c r="Y172" t="s">
        <v>1312</v>
      </c>
      <c r="Z172" t="s">
        <v>1312</v>
      </c>
      <c r="AA172">
        <v>0</v>
      </c>
      <c r="AC172">
        <v>3</v>
      </c>
      <c r="AD172">
        <v>6500</v>
      </c>
      <c r="AE172">
        <v>5000</v>
      </c>
      <c r="AF172" t="s">
        <v>1351</v>
      </c>
      <c r="AH172" t="s">
        <v>1314</v>
      </c>
      <c r="AJ172" t="s">
        <v>1353</v>
      </c>
      <c r="AL172" t="s">
        <v>1354</v>
      </c>
      <c r="BA172" t="s">
        <v>1354</v>
      </c>
      <c r="BS172" t="s">
        <v>1307</v>
      </c>
      <c r="CE172" t="s">
        <v>1355</v>
      </c>
      <c r="CF172" t="s">
        <v>1309</v>
      </c>
      <c r="CG172" t="s">
        <v>1309</v>
      </c>
      <c r="CH172" t="s">
        <v>1309</v>
      </c>
      <c r="CI172" t="s">
        <v>1309</v>
      </c>
      <c r="CJ172" t="s">
        <v>1309</v>
      </c>
      <c r="CK172" t="s">
        <v>1309</v>
      </c>
      <c r="CL172" t="s">
        <v>1309</v>
      </c>
      <c r="CM172" t="s">
        <v>1309</v>
      </c>
      <c r="CN172" t="s">
        <v>1310</v>
      </c>
      <c r="CO172" t="s">
        <v>1309</v>
      </c>
      <c r="CP172" t="s">
        <v>1309</v>
      </c>
      <c r="CQ172" t="s">
        <v>1309</v>
      </c>
      <c r="CR172" t="s">
        <v>1309</v>
      </c>
      <c r="CT172" t="s">
        <v>4436</v>
      </c>
      <c r="CV172" t="s">
        <v>1308</v>
      </c>
      <c r="CW172" t="s">
        <v>1310</v>
      </c>
      <c r="CX172" t="s">
        <v>1309</v>
      </c>
      <c r="CY172" t="s">
        <v>1309</v>
      </c>
      <c r="CZ172" t="s">
        <v>1309</v>
      </c>
      <c r="DA172" t="s">
        <v>1309</v>
      </c>
      <c r="DB172" t="s">
        <v>1309</v>
      </c>
      <c r="DC172" t="s">
        <v>1309</v>
      </c>
      <c r="DE172" t="s">
        <v>1358</v>
      </c>
      <c r="DF172" t="s">
        <v>1319</v>
      </c>
      <c r="DG172">
        <v>150</v>
      </c>
      <c r="DH172">
        <v>5200</v>
      </c>
      <c r="DI172">
        <v>200</v>
      </c>
      <c r="DJ172" t="s">
        <v>1358</v>
      </c>
      <c r="DK172">
        <v>150</v>
      </c>
      <c r="DM172">
        <v>200</v>
      </c>
      <c r="DN172" t="s">
        <v>2202</v>
      </c>
      <c r="DO172" t="s">
        <v>1309</v>
      </c>
      <c r="DP172" t="s">
        <v>1309</v>
      </c>
      <c r="DQ172" t="s">
        <v>1309</v>
      </c>
      <c r="DR172" t="s">
        <v>1309</v>
      </c>
      <c r="DS172" t="s">
        <v>1310</v>
      </c>
      <c r="DT172" t="s">
        <v>1310</v>
      </c>
      <c r="DU172" t="s">
        <v>1309</v>
      </c>
      <c r="DV172" t="s">
        <v>1309</v>
      </c>
      <c r="DW172" t="s">
        <v>1309</v>
      </c>
      <c r="DY172" t="s">
        <v>1419</v>
      </c>
      <c r="DZ172">
        <v>450</v>
      </c>
      <c r="EA172" t="s">
        <v>1319</v>
      </c>
      <c r="EC172" t="s">
        <v>1420</v>
      </c>
      <c r="ED172">
        <v>500</v>
      </c>
      <c r="EE172" t="s">
        <v>1319</v>
      </c>
      <c r="EG172" t="s">
        <v>5356</v>
      </c>
      <c r="EI172" t="s">
        <v>1307</v>
      </c>
      <c r="ET172" t="s">
        <v>1307</v>
      </c>
      <c r="EV172" t="s">
        <v>1307</v>
      </c>
      <c r="EX172" t="s">
        <v>1319</v>
      </c>
      <c r="EY172" t="s">
        <v>1319</v>
      </c>
      <c r="EZ172" t="s">
        <v>1319</v>
      </c>
      <c r="FA172" t="s">
        <v>2203</v>
      </c>
      <c r="FB172" t="s">
        <v>1309</v>
      </c>
      <c r="FC172" t="s">
        <v>1309</v>
      </c>
      <c r="FD172" t="s">
        <v>1309</v>
      </c>
      <c r="FE172" t="s">
        <v>1310</v>
      </c>
      <c r="FF172" t="s">
        <v>1309</v>
      </c>
      <c r="FG172" t="s">
        <v>1309</v>
      </c>
      <c r="FH172" t="s">
        <v>1309</v>
      </c>
      <c r="FI172" t="s">
        <v>1310</v>
      </c>
      <c r="FJ172" t="s">
        <v>1309</v>
      </c>
      <c r="FK172" t="s">
        <v>1310</v>
      </c>
      <c r="FL172" t="s">
        <v>1309</v>
      </c>
      <c r="FM172" t="s">
        <v>1309</v>
      </c>
      <c r="FN172" t="s">
        <v>1309</v>
      </c>
      <c r="FO172" t="s">
        <v>1309</v>
      </c>
      <c r="FP172" t="s">
        <v>1309</v>
      </c>
      <c r="FQ172" t="s">
        <v>1309</v>
      </c>
      <c r="FR172" t="s">
        <v>1309</v>
      </c>
      <c r="FT172" t="s">
        <v>1319</v>
      </c>
      <c r="FU172" t="s">
        <v>1435</v>
      </c>
      <c r="FV172" t="s">
        <v>1310</v>
      </c>
      <c r="FW172" t="s">
        <v>1309</v>
      </c>
      <c r="FX172" t="s">
        <v>1309</v>
      </c>
      <c r="FY172" t="s">
        <v>1309</v>
      </c>
      <c r="FZ172" t="s">
        <v>1309</v>
      </c>
      <c r="GA172" t="s">
        <v>1309</v>
      </c>
      <c r="GB172" t="s">
        <v>1309</v>
      </c>
      <c r="GC172" t="s">
        <v>1309</v>
      </c>
      <c r="GD172" t="s">
        <v>1309</v>
      </c>
      <c r="GE172" t="s">
        <v>1309</v>
      </c>
      <c r="GF172" t="s">
        <v>1309</v>
      </c>
      <c r="GG172" t="s">
        <v>1309</v>
      </c>
      <c r="GI172" t="s">
        <v>1324</v>
      </c>
      <c r="GJ172" t="s">
        <v>1324</v>
      </c>
      <c r="GT172" t="s">
        <v>1325</v>
      </c>
      <c r="GU172" t="s">
        <v>1310</v>
      </c>
      <c r="GV172" t="s">
        <v>1309</v>
      </c>
      <c r="GW172" t="s">
        <v>1309</v>
      </c>
      <c r="GX172" t="s">
        <v>1309</v>
      </c>
      <c r="GY172" t="s">
        <v>1309</v>
      </c>
      <c r="GZ172" t="s">
        <v>1309</v>
      </c>
      <c r="HA172" t="s">
        <v>1309</v>
      </c>
      <c r="HB172" t="s">
        <v>1309</v>
      </c>
      <c r="HC172" t="s">
        <v>1309</v>
      </c>
      <c r="HD172" t="s">
        <v>1309</v>
      </c>
      <c r="HE172" t="s">
        <v>1309</v>
      </c>
      <c r="HF172" t="s">
        <v>1309</v>
      </c>
      <c r="HH172" t="s">
        <v>1363</v>
      </c>
      <c r="HI172" t="s">
        <v>1363</v>
      </c>
      <c r="HJ172" t="s">
        <v>1363</v>
      </c>
      <c r="HK172" t="s">
        <v>1327</v>
      </c>
      <c r="HL172" t="s">
        <v>1364</v>
      </c>
      <c r="HM172" t="s">
        <v>1363</v>
      </c>
      <c r="IA172" t="s">
        <v>1307</v>
      </c>
      <c r="IQ172" t="s">
        <v>1308</v>
      </c>
      <c r="IS172" t="s">
        <v>1354</v>
      </c>
      <c r="JF172" t="s">
        <v>1354</v>
      </c>
      <c r="JG172" t="s">
        <v>1332</v>
      </c>
      <c r="JH172" t="s">
        <v>1309</v>
      </c>
      <c r="JI172" t="s">
        <v>1309</v>
      </c>
      <c r="JJ172" t="s">
        <v>1309</v>
      </c>
      <c r="JK172" t="s">
        <v>1309</v>
      </c>
      <c r="JL172" t="s">
        <v>1310</v>
      </c>
      <c r="JM172" t="s">
        <v>1309</v>
      </c>
      <c r="JN172" t="s">
        <v>1309</v>
      </c>
      <c r="JO172" t="s">
        <v>1309</v>
      </c>
      <c r="JQ172" s="92" t="s">
        <v>2076</v>
      </c>
      <c r="JR172" s="92" t="s">
        <v>1698</v>
      </c>
      <c r="JS172" s="92">
        <v>61</v>
      </c>
      <c r="JT172" s="92" t="s">
        <v>1319</v>
      </c>
      <c r="JU172" s="92" t="s">
        <v>1335</v>
      </c>
      <c r="JV172" s="92" t="s">
        <v>1368</v>
      </c>
      <c r="JW172" s="92" t="s">
        <v>1296</v>
      </c>
      <c r="JX172" s="92" t="s">
        <v>70</v>
      </c>
      <c r="JY172" s="92" t="s">
        <v>5549</v>
      </c>
      <c r="JZ172" s="92" t="s">
        <v>1369</v>
      </c>
      <c r="KA172" s="92" t="s">
        <v>4845</v>
      </c>
      <c r="KB172" s="92" t="s">
        <v>5476</v>
      </c>
      <c r="KC172" s="92" t="s">
        <v>109</v>
      </c>
      <c r="KD172" s="92" t="s">
        <v>4848</v>
      </c>
      <c r="KE172" s="92" t="s">
        <v>1424</v>
      </c>
      <c r="KF172" s="92">
        <v>5550</v>
      </c>
      <c r="KG172" s="92" t="s">
        <v>1426</v>
      </c>
      <c r="KH172" s="92" t="s">
        <v>192</v>
      </c>
      <c r="KI172" s="92" t="s">
        <v>192</v>
      </c>
      <c r="KJ172" s="92" t="s">
        <v>192</v>
      </c>
      <c r="KK172" s="92" t="s">
        <v>109</v>
      </c>
      <c r="KL172" s="92" t="s">
        <v>1341</v>
      </c>
      <c r="KM172" s="92">
        <v>350</v>
      </c>
      <c r="KN172" s="92" t="s">
        <v>1372</v>
      </c>
      <c r="KO172" s="92" t="s">
        <v>1373</v>
      </c>
      <c r="KP172" s="92" t="s">
        <v>1401</v>
      </c>
      <c r="KQ172" s="92" t="s">
        <v>192</v>
      </c>
      <c r="KR172" s="92"/>
      <c r="KS172" s="92" t="s">
        <v>1343</v>
      </c>
      <c r="KT172" s="92" t="s">
        <v>1344</v>
      </c>
      <c r="KU172" s="92"/>
      <c r="KV172" s="92" t="s">
        <v>1345</v>
      </c>
      <c r="KW172" s="92" t="s">
        <v>1344</v>
      </c>
      <c r="KX172" s="92" t="s">
        <v>1376</v>
      </c>
      <c r="KY172" s="92" t="s">
        <v>1377</v>
      </c>
      <c r="KZ172" s="92" t="s">
        <v>1378</v>
      </c>
      <c r="LA172" s="92" t="s">
        <v>109</v>
      </c>
      <c r="LB172" s="92" t="s">
        <v>109</v>
      </c>
      <c r="LC172" s="92" t="s">
        <v>1400</v>
      </c>
      <c r="LD172" s="92" t="s">
        <v>1372</v>
      </c>
      <c r="LE172" s="92" t="s">
        <v>192</v>
      </c>
      <c r="LF172" s="92" t="s">
        <v>109</v>
      </c>
    </row>
    <row r="173" spans="1:318" x14ac:dyDescent="0.25">
      <c r="A173" t="s">
        <v>2204</v>
      </c>
      <c r="B173" t="s">
        <v>2205</v>
      </c>
      <c r="C173" t="s">
        <v>1304</v>
      </c>
      <c r="D173" t="s">
        <v>1305</v>
      </c>
      <c r="E173" t="s">
        <v>1306</v>
      </c>
      <c r="G173" t="s">
        <v>1307</v>
      </c>
      <c r="H173">
        <v>1</v>
      </c>
      <c r="J173" t="s">
        <v>1891</v>
      </c>
      <c r="K173" t="s">
        <v>1309</v>
      </c>
      <c r="L173" t="s">
        <v>1309</v>
      </c>
      <c r="M173" t="s">
        <v>1310</v>
      </c>
      <c r="N173" t="s">
        <v>1309</v>
      </c>
      <c r="O173" t="s">
        <v>1310</v>
      </c>
      <c r="P173" t="s">
        <v>1309</v>
      </c>
      <c r="Q173" t="s">
        <v>1309</v>
      </c>
      <c r="R173" t="s">
        <v>1309</v>
      </c>
      <c r="T173">
        <v>1</v>
      </c>
      <c r="U173" t="s">
        <v>1311</v>
      </c>
      <c r="V173" t="s">
        <v>1312</v>
      </c>
      <c r="W173" t="s">
        <v>1311</v>
      </c>
      <c r="X173" t="s">
        <v>1312</v>
      </c>
      <c r="Y173" t="s">
        <v>1312</v>
      </c>
      <c r="Z173" t="s">
        <v>1312</v>
      </c>
      <c r="AC173">
        <v>1</v>
      </c>
      <c r="AD173">
        <v>9000</v>
      </c>
      <c r="AE173">
        <v>8000</v>
      </c>
      <c r="AF173" t="s">
        <v>1351</v>
      </c>
      <c r="AH173" t="s">
        <v>1314</v>
      </c>
      <c r="AJ173" t="s">
        <v>1353</v>
      </c>
      <c r="AL173" t="s">
        <v>1316</v>
      </c>
      <c r="BA173" t="s">
        <v>1354</v>
      </c>
      <c r="BS173" t="s">
        <v>1307</v>
      </c>
      <c r="CE173" t="s">
        <v>1355</v>
      </c>
      <c r="CF173" t="s">
        <v>1309</v>
      </c>
      <c r="CG173" t="s">
        <v>1309</v>
      </c>
      <c r="CH173" t="s">
        <v>1309</v>
      </c>
      <c r="CI173" t="s">
        <v>1309</v>
      </c>
      <c r="CJ173" t="s">
        <v>1309</v>
      </c>
      <c r="CK173" t="s">
        <v>1309</v>
      </c>
      <c r="CL173" t="s">
        <v>1309</v>
      </c>
      <c r="CM173" t="s">
        <v>1309</v>
      </c>
      <c r="CN173" t="s">
        <v>1310</v>
      </c>
      <c r="CO173" t="s">
        <v>1309</v>
      </c>
      <c r="CP173" t="s">
        <v>1309</v>
      </c>
      <c r="CQ173" t="s">
        <v>1309</v>
      </c>
      <c r="CR173" t="s">
        <v>1309</v>
      </c>
      <c r="CT173" t="s">
        <v>4436</v>
      </c>
      <c r="CV173" t="s">
        <v>1444</v>
      </c>
      <c r="CW173" t="s">
        <v>1309</v>
      </c>
      <c r="CX173" t="s">
        <v>1310</v>
      </c>
      <c r="CY173" t="s">
        <v>1309</v>
      </c>
      <c r="CZ173" t="s">
        <v>1309</v>
      </c>
      <c r="DA173" t="s">
        <v>1309</v>
      </c>
      <c r="DB173" t="s">
        <v>1309</v>
      </c>
      <c r="DC173" t="s">
        <v>1309</v>
      </c>
      <c r="DE173" t="s">
        <v>1358</v>
      </c>
      <c r="DG173">
        <v>500</v>
      </c>
      <c r="DI173">
        <v>600</v>
      </c>
      <c r="DJ173" t="s">
        <v>1358</v>
      </c>
      <c r="DK173">
        <v>900</v>
      </c>
      <c r="DM173">
        <v>600</v>
      </c>
      <c r="DN173" t="s">
        <v>1432</v>
      </c>
      <c r="DO173" t="s">
        <v>1310</v>
      </c>
      <c r="DP173" t="s">
        <v>1309</v>
      </c>
      <c r="DQ173" t="s">
        <v>1309</v>
      </c>
      <c r="DR173" t="s">
        <v>1310</v>
      </c>
      <c r="DS173" t="s">
        <v>1309</v>
      </c>
      <c r="DT173" t="s">
        <v>1310</v>
      </c>
      <c r="DU173" t="s">
        <v>1309</v>
      </c>
      <c r="DV173" t="s">
        <v>1309</v>
      </c>
      <c r="DW173" t="s">
        <v>1309</v>
      </c>
      <c r="DY173" t="s">
        <v>1321</v>
      </c>
      <c r="DZ173">
        <v>360</v>
      </c>
      <c r="EA173" t="s">
        <v>1386</v>
      </c>
      <c r="EC173" t="s">
        <v>1457</v>
      </c>
      <c r="ED173">
        <v>1000</v>
      </c>
      <c r="EE173" t="s">
        <v>1386</v>
      </c>
      <c r="EG173" t="s">
        <v>5356</v>
      </c>
      <c r="EI173" t="s">
        <v>1307</v>
      </c>
      <c r="ET173" t="s">
        <v>1434</v>
      </c>
      <c r="EV173" t="s">
        <v>1319</v>
      </c>
      <c r="EW173" t="s">
        <v>1361</v>
      </c>
      <c r="EX173" t="s">
        <v>1319</v>
      </c>
      <c r="EY173" t="s">
        <v>1319</v>
      </c>
      <c r="EZ173" t="s">
        <v>1307</v>
      </c>
      <c r="FA173" t="s">
        <v>2206</v>
      </c>
      <c r="FB173" t="s">
        <v>1309</v>
      </c>
      <c r="FC173" t="s">
        <v>1310</v>
      </c>
      <c r="FD173" t="s">
        <v>1309</v>
      </c>
      <c r="FE173" t="s">
        <v>1309</v>
      </c>
      <c r="FF173" t="s">
        <v>1310</v>
      </c>
      <c r="FG173" t="s">
        <v>1309</v>
      </c>
      <c r="FH173" t="s">
        <v>1310</v>
      </c>
      <c r="FI173" t="s">
        <v>1309</v>
      </c>
      <c r="FJ173" t="s">
        <v>1309</v>
      </c>
      <c r="FK173" t="s">
        <v>1309</v>
      </c>
      <c r="FL173" t="s">
        <v>1309</v>
      </c>
      <c r="FM173" t="s">
        <v>1309</v>
      </c>
      <c r="FN173" t="s">
        <v>1309</v>
      </c>
      <c r="FO173" t="s">
        <v>1309</v>
      </c>
      <c r="FP173" t="s">
        <v>1309</v>
      </c>
      <c r="FQ173" t="s">
        <v>1309</v>
      </c>
      <c r="FR173" t="s">
        <v>1309</v>
      </c>
      <c r="FT173" t="s">
        <v>1319</v>
      </c>
      <c r="FU173" t="s">
        <v>1635</v>
      </c>
      <c r="FV173" t="s">
        <v>1310</v>
      </c>
      <c r="FW173" t="s">
        <v>1309</v>
      </c>
      <c r="FX173" t="s">
        <v>1309</v>
      </c>
      <c r="FY173" t="s">
        <v>1309</v>
      </c>
      <c r="FZ173" t="s">
        <v>1309</v>
      </c>
      <c r="GA173" t="s">
        <v>1310</v>
      </c>
      <c r="GB173" t="s">
        <v>1309</v>
      </c>
      <c r="GC173" t="s">
        <v>1309</v>
      </c>
      <c r="GD173" t="s">
        <v>1309</v>
      </c>
      <c r="GE173" t="s">
        <v>1309</v>
      </c>
      <c r="GF173" t="s">
        <v>1309</v>
      </c>
      <c r="GG173" t="s">
        <v>1309</v>
      </c>
      <c r="GI173" t="s">
        <v>1324</v>
      </c>
      <c r="GJ173" t="s">
        <v>1324</v>
      </c>
      <c r="GT173" t="s">
        <v>2207</v>
      </c>
      <c r="GU173" t="s">
        <v>1310</v>
      </c>
      <c r="GV173" t="s">
        <v>1309</v>
      </c>
      <c r="GW173" t="s">
        <v>1309</v>
      </c>
      <c r="GX173" t="s">
        <v>1310</v>
      </c>
      <c r="GY173" t="s">
        <v>1309</v>
      </c>
      <c r="GZ173" t="s">
        <v>1309</v>
      </c>
      <c r="HA173" t="s">
        <v>1309</v>
      </c>
      <c r="HB173" t="s">
        <v>1309</v>
      </c>
      <c r="HC173" t="s">
        <v>1309</v>
      </c>
      <c r="HD173" t="s">
        <v>1309</v>
      </c>
      <c r="HE173" t="s">
        <v>1309</v>
      </c>
      <c r="HF173" t="s">
        <v>1309</v>
      </c>
      <c r="HH173" t="s">
        <v>1390</v>
      </c>
      <c r="HI173" t="s">
        <v>1327</v>
      </c>
      <c r="HJ173" t="s">
        <v>1390</v>
      </c>
      <c r="HK173" t="s">
        <v>1327</v>
      </c>
      <c r="HL173" t="s">
        <v>1328</v>
      </c>
      <c r="HM173" t="s">
        <v>1390</v>
      </c>
      <c r="HN173" t="s">
        <v>2208</v>
      </c>
      <c r="HO173" t="s">
        <v>1310</v>
      </c>
      <c r="HP173" t="s">
        <v>1310</v>
      </c>
      <c r="HQ173" t="s">
        <v>1309</v>
      </c>
      <c r="HR173" t="s">
        <v>1309</v>
      </c>
      <c r="HS173" t="s">
        <v>1310</v>
      </c>
      <c r="HT173" t="s">
        <v>1309</v>
      </c>
      <c r="HU173" t="s">
        <v>1309</v>
      </c>
      <c r="HV173" t="s">
        <v>1309</v>
      </c>
      <c r="HW173" t="s">
        <v>1310</v>
      </c>
      <c r="HX173" t="s">
        <v>1309</v>
      </c>
      <c r="HY173" t="s">
        <v>1309</v>
      </c>
      <c r="HZ173" t="s">
        <v>2041</v>
      </c>
      <c r="IA173" t="s">
        <v>1319</v>
      </c>
      <c r="IB173" t="s">
        <v>1540</v>
      </c>
      <c r="IC173" t="s">
        <v>1309</v>
      </c>
      <c r="ID173" t="s">
        <v>1309</v>
      </c>
      <c r="IE173" t="s">
        <v>1309</v>
      </c>
      <c r="IF173" t="s">
        <v>1309</v>
      </c>
      <c r="IG173" t="s">
        <v>1310</v>
      </c>
      <c r="IH173" t="s">
        <v>1309</v>
      </c>
      <c r="II173" t="s">
        <v>1310</v>
      </c>
      <c r="IJ173" t="s">
        <v>1309</v>
      </c>
      <c r="IK173" t="s">
        <v>1310</v>
      </c>
      <c r="IL173" t="s">
        <v>1309</v>
      </c>
      <c r="IM173" t="s">
        <v>1309</v>
      </c>
      <c r="IN173" t="s">
        <v>1309</v>
      </c>
      <c r="IO173" t="s">
        <v>1309</v>
      </c>
      <c r="IQ173" t="s">
        <v>1330</v>
      </c>
      <c r="IS173" t="s">
        <v>1354</v>
      </c>
      <c r="JF173" t="s">
        <v>1316</v>
      </c>
      <c r="JG173" t="s">
        <v>1414</v>
      </c>
      <c r="JH173" t="s">
        <v>1309</v>
      </c>
      <c r="JI173" t="s">
        <v>1309</v>
      </c>
      <c r="JJ173" t="s">
        <v>1309</v>
      </c>
      <c r="JK173" t="s">
        <v>1309</v>
      </c>
      <c r="JL173" t="s">
        <v>1309</v>
      </c>
      <c r="JM173" t="s">
        <v>1309</v>
      </c>
      <c r="JN173" t="s">
        <v>1310</v>
      </c>
      <c r="JO173" t="s">
        <v>1309</v>
      </c>
      <c r="JQ173" s="92" t="s">
        <v>2061</v>
      </c>
      <c r="JR173" s="92" t="s">
        <v>2062</v>
      </c>
      <c r="JS173" s="92">
        <v>68</v>
      </c>
      <c r="JT173" s="92" t="s">
        <v>1319</v>
      </c>
      <c r="JU173" s="92" t="s">
        <v>1335</v>
      </c>
      <c r="JV173" s="92" t="s">
        <v>1526</v>
      </c>
      <c r="JW173" s="92" t="s">
        <v>1296</v>
      </c>
      <c r="JX173" s="92" t="s">
        <v>70</v>
      </c>
      <c r="JY173" s="92" t="s">
        <v>5549</v>
      </c>
      <c r="JZ173" s="92" t="s">
        <v>1369</v>
      </c>
      <c r="KA173" s="92" t="s">
        <v>4844</v>
      </c>
      <c r="KB173" s="92" t="s">
        <v>1476</v>
      </c>
      <c r="KC173" s="92" t="s">
        <v>109</v>
      </c>
      <c r="KD173" s="92" t="s">
        <v>4844</v>
      </c>
      <c r="KE173" s="92" t="s">
        <v>1424</v>
      </c>
      <c r="KF173" s="92">
        <v>1100</v>
      </c>
      <c r="KG173" s="92" t="s">
        <v>4438</v>
      </c>
      <c r="KH173" s="92" t="s">
        <v>192</v>
      </c>
      <c r="KI173" s="92" t="s">
        <v>109</v>
      </c>
      <c r="KJ173" s="92" t="s">
        <v>192</v>
      </c>
      <c r="KK173" s="92" t="s">
        <v>109</v>
      </c>
      <c r="KL173" s="92" t="s">
        <v>1440</v>
      </c>
      <c r="KM173" s="92">
        <v>1500</v>
      </c>
      <c r="KN173" s="92" t="s">
        <v>4438</v>
      </c>
      <c r="KO173" s="92" t="s">
        <v>1440</v>
      </c>
      <c r="KP173" s="92" t="s">
        <v>1375</v>
      </c>
      <c r="KQ173" s="92" t="s">
        <v>192</v>
      </c>
      <c r="KR173" s="92"/>
      <c r="KS173" s="92" t="s">
        <v>1343</v>
      </c>
      <c r="KT173" s="92" t="s">
        <v>1402</v>
      </c>
      <c r="KU173" s="92"/>
      <c r="KV173" s="92" t="s">
        <v>1461</v>
      </c>
      <c r="KW173" s="92" t="s">
        <v>1402</v>
      </c>
      <c r="KX173" s="92" t="s">
        <v>1346</v>
      </c>
      <c r="KY173" s="92" t="s">
        <v>1377</v>
      </c>
      <c r="KZ173" s="92" t="s">
        <v>5795</v>
      </c>
      <c r="LA173" s="92" t="s">
        <v>109</v>
      </c>
      <c r="LB173" s="92" t="s">
        <v>109</v>
      </c>
      <c r="LC173" s="92" t="s">
        <v>4438</v>
      </c>
      <c r="LD173" s="92" t="s">
        <v>4438</v>
      </c>
      <c r="LE173" s="92" t="s">
        <v>192</v>
      </c>
      <c r="LF173" s="92" t="s">
        <v>192</v>
      </c>
    </row>
    <row r="174" spans="1:318" x14ac:dyDescent="0.25">
      <c r="A174" t="s">
        <v>2209</v>
      </c>
      <c r="B174" t="s">
        <v>2210</v>
      </c>
      <c r="C174" t="s">
        <v>1304</v>
      </c>
      <c r="D174" t="s">
        <v>1305</v>
      </c>
      <c r="E174" t="s">
        <v>1306</v>
      </c>
      <c r="G174" t="s">
        <v>1307</v>
      </c>
      <c r="H174">
        <v>4</v>
      </c>
      <c r="I174" t="s">
        <v>1307</v>
      </c>
      <c r="J174" t="s">
        <v>1382</v>
      </c>
      <c r="K174" t="s">
        <v>1309</v>
      </c>
      <c r="L174" t="s">
        <v>1310</v>
      </c>
      <c r="M174" t="s">
        <v>1309</v>
      </c>
      <c r="N174" t="s">
        <v>1309</v>
      </c>
      <c r="O174" t="s">
        <v>1309</v>
      </c>
      <c r="P174" t="s">
        <v>1310</v>
      </c>
      <c r="Q174" t="s">
        <v>1309</v>
      </c>
      <c r="R174" t="s">
        <v>1309</v>
      </c>
      <c r="S174">
        <v>3</v>
      </c>
      <c r="U174" t="s">
        <v>1311</v>
      </c>
      <c r="V174" t="s">
        <v>1312</v>
      </c>
      <c r="W174" t="s">
        <v>1312</v>
      </c>
      <c r="X174" t="s">
        <v>1312</v>
      </c>
      <c r="Y174" t="s">
        <v>1312</v>
      </c>
      <c r="Z174" t="s">
        <v>1312</v>
      </c>
      <c r="AC174">
        <v>1</v>
      </c>
      <c r="AD174">
        <v>15000</v>
      </c>
      <c r="AE174">
        <v>13000</v>
      </c>
      <c r="AF174" t="s">
        <v>1351</v>
      </c>
      <c r="AH174" t="s">
        <v>1352</v>
      </c>
      <c r="AJ174" t="s">
        <v>1353</v>
      </c>
      <c r="AL174" t="s">
        <v>1316</v>
      </c>
      <c r="BA174" t="s">
        <v>1354</v>
      </c>
      <c r="BS174" t="s">
        <v>1307</v>
      </c>
      <c r="CE174" t="s">
        <v>1837</v>
      </c>
      <c r="CF174" t="s">
        <v>1309</v>
      </c>
      <c r="CG174" t="s">
        <v>1309</v>
      </c>
      <c r="CH174" t="s">
        <v>1309</v>
      </c>
      <c r="CI174" t="s">
        <v>1310</v>
      </c>
      <c r="CJ174" t="s">
        <v>1309</v>
      </c>
      <c r="CK174" t="s">
        <v>1309</v>
      </c>
      <c r="CL174" t="s">
        <v>1310</v>
      </c>
      <c r="CM174" t="s">
        <v>1309</v>
      </c>
      <c r="CN174" t="s">
        <v>1310</v>
      </c>
      <c r="CO174" t="s">
        <v>1309</v>
      </c>
      <c r="CP174" t="s">
        <v>1309</v>
      </c>
      <c r="CQ174" t="s">
        <v>1309</v>
      </c>
      <c r="CR174" t="s">
        <v>1309</v>
      </c>
      <c r="CT174" t="s">
        <v>4434</v>
      </c>
      <c r="CV174" t="s">
        <v>1356</v>
      </c>
      <c r="CW174" t="s">
        <v>1309</v>
      </c>
      <c r="CX174" t="s">
        <v>1309</v>
      </c>
      <c r="CY174" t="s">
        <v>1309</v>
      </c>
      <c r="CZ174" t="s">
        <v>1310</v>
      </c>
      <c r="DA174" t="s">
        <v>1309</v>
      </c>
      <c r="DB174" t="s">
        <v>1309</v>
      </c>
      <c r="DC174" t="s">
        <v>1309</v>
      </c>
      <c r="DE174" t="s">
        <v>1358</v>
      </c>
      <c r="DG174">
        <v>2400</v>
      </c>
      <c r="DI174">
        <v>750</v>
      </c>
      <c r="DJ174" t="s">
        <v>1358</v>
      </c>
      <c r="DK174">
        <v>3000</v>
      </c>
      <c r="DM174">
        <v>900</v>
      </c>
      <c r="DN174" t="s">
        <v>1385</v>
      </c>
      <c r="DO174" t="s">
        <v>1309</v>
      </c>
      <c r="DP174" t="s">
        <v>1309</v>
      </c>
      <c r="DQ174" t="s">
        <v>1309</v>
      </c>
      <c r="DR174" t="s">
        <v>1310</v>
      </c>
      <c r="DS174" t="s">
        <v>1309</v>
      </c>
      <c r="DT174" t="s">
        <v>1310</v>
      </c>
      <c r="DU174" t="s">
        <v>1309</v>
      </c>
      <c r="DV174" t="s">
        <v>1309</v>
      </c>
      <c r="DW174" t="s">
        <v>1309</v>
      </c>
      <c r="DY174" t="s">
        <v>1359</v>
      </c>
      <c r="DZ174">
        <v>500</v>
      </c>
      <c r="EA174" t="s">
        <v>1386</v>
      </c>
      <c r="EC174" t="s">
        <v>1322</v>
      </c>
      <c r="ED174">
        <v>1000</v>
      </c>
      <c r="EE174" t="s">
        <v>1386</v>
      </c>
      <c r="EG174" t="s">
        <v>5356</v>
      </c>
      <c r="EI174" t="s">
        <v>1307</v>
      </c>
      <c r="ET174" t="s">
        <v>1307</v>
      </c>
      <c r="EV174" t="s">
        <v>1319</v>
      </c>
      <c r="EW174" t="s">
        <v>1414</v>
      </c>
      <c r="EX174" t="s">
        <v>1319</v>
      </c>
      <c r="EY174" t="s">
        <v>1319</v>
      </c>
      <c r="EZ174" t="s">
        <v>1319</v>
      </c>
      <c r="FA174" t="s">
        <v>2211</v>
      </c>
      <c r="FB174" t="s">
        <v>1309</v>
      </c>
      <c r="FC174" t="s">
        <v>1309</v>
      </c>
      <c r="FD174" t="s">
        <v>1310</v>
      </c>
      <c r="FE174" t="s">
        <v>1309</v>
      </c>
      <c r="FF174" t="s">
        <v>1310</v>
      </c>
      <c r="FG174" t="s">
        <v>1310</v>
      </c>
      <c r="FH174" t="s">
        <v>1310</v>
      </c>
      <c r="FI174" t="s">
        <v>1310</v>
      </c>
      <c r="FJ174" t="s">
        <v>1309</v>
      </c>
      <c r="FK174" t="s">
        <v>1309</v>
      </c>
      <c r="FL174" t="s">
        <v>1309</v>
      </c>
      <c r="FM174" t="s">
        <v>1310</v>
      </c>
      <c r="FN174" t="s">
        <v>1310</v>
      </c>
      <c r="FO174" t="s">
        <v>1310</v>
      </c>
      <c r="FP174" t="s">
        <v>1309</v>
      </c>
      <c r="FQ174" t="s">
        <v>1309</v>
      </c>
      <c r="FR174" t="s">
        <v>1309</v>
      </c>
      <c r="FT174" t="s">
        <v>1307</v>
      </c>
      <c r="GI174" t="s">
        <v>1324</v>
      </c>
      <c r="GJ174" t="s">
        <v>1324</v>
      </c>
      <c r="GT174" t="s">
        <v>1325</v>
      </c>
      <c r="GU174" t="s">
        <v>1310</v>
      </c>
      <c r="GV174" t="s">
        <v>1309</v>
      </c>
      <c r="GW174" t="s">
        <v>1309</v>
      </c>
      <c r="GX174" t="s">
        <v>1309</v>
      </c>
      <c r="GY174" t="s">
        <v>1309</v>
      </c>
      <c r="GZ174" t="s">
        <v>1309</v>
      </c>
      <c r="HA174" t="s">
        <v>1309</v>
      </c>
      <c r="HB174" t="s">
        <v>1309</v>
      </c>
      <c r="HC174" t="s">
        <v>1309</v>
      </c>
      <c r="HD174" t="s">
        <v>1309</v>
      </c>
      <c r="HE174" t="s">
        <v>1309</v>
      </c>
      <c r="HF174" t="s">
        <v>1309</v>
      </c>
      <c r="HH174" t="s">
        <v>1326</v>
      </c>
      <c r="HI174" t="s">
        <v>1326</v>
      </c>
      <c r="HJ174" t="s">
        <v>1326</v>
      </c>
      <c r="HK174" t="s">
        <v>1327</v>
      </c>
      <c r="HL174" t="s">
        <v>1364</v>
      </c>
      <c r="HM174" t="s">
        <v>1326</v>
      </c>
      <c r="IA174" t="s">
        <v>1319</v>
      </c>
      <c r="IB174" t="s">
        <v>2212</v>
      </c>
      <c r="IC174" t="s">
        <v>1310</v>
      </c>
      <c r="ID174" t="s">
        <v>1309</v>
      </c>
      <c r="IE174" t="s">
        <v>1309</v>
      </c>
      <c r="IF174" t="s">
        <v>1310</v>
      </c>
      <c r="IG174" t="s">
        <v>1309</v>
      </c>
      <c r="IH174" t="s">
        <v>1309</v>
      </c>
      <c r="II174" t="s">
        <v>1310</v>
      </c>
      <c r="IJ174" t="s">
        <v>1309</v>
      </c>
      <c r="IK174" t="s">
        <v>1309</v>
      </c>
      <c r="IL174" t="s">
        <v>1309</v>
      </c>
      <c r="IM174" t="s">
        <v>1309</v>
      </c>
      <c r="IN174" t="s">
        <v>1309</v>
      </c>
      <c r="IO174" t="s">
        <v>1309</v>
      </c>
      <c r="IQ174" t="s">
        <v>1308</v>
      </c>
      <c r="IS174" t="s">
        <v>1316</v>
      </c>
      <c r="JF174" t="s">
        <v>1331</v>
      </c>
      <c r="JG174" t="s">
        <v>1523</v>
      </c>
      <c r="JH174" t="s">
        <v>1309</v>
      </c>
      <c r="JI174" t="s">
        <v>1309</v>
      </c>
      <c r="JJ174" t="s">
        <v>1309</v>
      </c>
      <c r="JK174" t="s">
        <v>1310</v>
      </c>
      <c r="JL174" t="s">
        <v>1309</v>
      </c>
      <c r="JM174" t="s">
        <v>1309</v>
      </c>
      <c r="JN174" t="s">
        <v>1309</v>
      </c>
      <c r="JO174" t="s">
        <v>1309</v>
      </c>
      <c r="JQ174" s="92" t="s">
        <v>2061</v>
      </c>
      <c r="JR174" s="92" t="s">
        <v>2062</v>
      </c>
      <c r="JS174" s="92">
        <v>37</v>
      </c>
      <c r="JT174" s="92" t="s">
        <v>1319</v>
      </c>
      <c r="JU174" s="92" t="s">
        <v>1335</v>
      </c>
      <c r="JV174" s="92" t="s">
        <v>1526</v>
      </c>
      <c r="JW174" s="92" t="s">
        <v>1296</v>
      </c>
      <c r="JX174" s="92" t="s">
        <v>70</v>
      </c>
      <c r="JY174" s="92" t="s">
        <v>5549</v>
      </c>
      <c r="JZ174" s="92" t="s">
        <v>1337</v>
      </c>
      <c r="KA174" s="92" t="s">
        <v>4845</v>
      </c>
      <c r="KB174" s="92" t="s">
        <v>1399</v>
      </c>
      <c r="KC174" s="92" t="s">
        <v>109</v>
      </c>
      <c r="KD174" s="92" t="s">
        <v>4844</v>
      </c>
      <c r="KE174" s="92" t="s">
        <v>1371</v>
      </c>
      <c r="KF174" s="92">
        <v>3150</v>
      </c>
      <c r="KG174" s="92" t="s">
        <v>4438</v>
      </c>
      <c r="KH174" s="92" t="s">
        <v>192</v>
      </c>
      <c r="KI174" s="92" t="s">
        <v>109</v>
      </c>
      <c r="KJ174" s="92" t="s">
        <v>192</v>
      </c>
      <c r="KK174" s="92" t="s">
        <v>109</v>
      </c>
      <c r="KL174" s="92" t="s">
        <v>1341</v>
      </c>
      <c r="KM174" s="92">
        <v>3900</v>
      </c>
      <c r="KN174" s="92" t="s">
        <v>4439</v>
      </c>
      <c r="KO174" s="92" t="s">
        <v>1341</v>
      </c>
      <c r="KP174" s="92" t="s">
        <v>1375</v>
      </c>
      <c r="KQ174" s="92" t="s">
        <v>192</v>
      </c>
      <c r="KR174" s="92">
        <v>16</v>
      </c>
      <c r="KS174" s="92" t="s">
        <v>1345</v>
      </c>
      <c r="KT174" s="92" t="s">
        <v>1402</v>
      </c>
      <c r="KU174" s="92">
        <v>26</v>
      </c>
      <c r="KV174" s="92" t="s">
        <v>1461</v>
      </c>
      <c r="KW174" s="92" t="s">
        <v>1402</v>
      </c>
      <c r="KX174" s="92" t="s">
        <v>1376</v>
      </c>
      <c r="KY174" s="92" t="s">
        <v>1347</v>
      </c>
      <c r="KZ174" s="92" t="s">
        <v>5795</v>
      </c>
      <c r="LA174" s="92" t="s">
        <v>109</v>
      </c>
      <c r="LB174" s="92" t="s">
        <v>109</v>
      </c>
      <c r="LC174" s="92" t="s">
        <v>4438</v>
      </c>
      <c r="LD174" s="92" t="s">
        <v>4438</v>
      </c>
      <c r="LE174" s="92" t="s">
        <v>192</v>
      </c>
      <c r="LF174" s="92" t="s">
        <v>192</v>
      </c>
    </row>
    <row r="175" spans="1:318" x14ac:dyDescent="0.25">
      <c r="A175" t="s">
        <v>2213</v>
      </c>
      <c r="B175" t="s">
        <v>2214</v>
      </c>
      <c r="C175" t="s">
        <v>1304</v>
      </c>
      <c r="D175" t="s">
        <v>1305</v>
      </c>
      <c r="E175" t="s">
        <v>1381</v>
      </c>
      <c r="G175" t="s">
        <v>1319</v>
      </c>
      <c r="H175">
        <v>4</v>
      </c>
      <c r="I175" t="s">
        <v>1307</v>
      </c>
      <c r="J175" t="s">
        <v>1663</v>
      </c>
      <c r="K175" t="s">
        <v>1309</v>
      </c>
      <c r="L175" t="s">
        <v>1310</v>
      </c>
      <c r="M175" t="s">
        <v>1310</v>
      </c>
      <c r="N175" t="s">
        <v>1309</v>
      </c>
      <c r="O175" t="s">
        <v>1309</v>
      </c>
      <c r="P175" t="s">
        <v>1309</v>
      </c>
      <c r="Q175" t="s">
        <v>1309</v>
      </c>
      <c r="R175" t="s">
        <v>1309</v>
      </c>
      <c r="S175">
        <v>1</v>
      </c>
      <c r="T175">
        <v>1</v>
      </c>
      <c r="U175" t="s">
        <v>1311</v>
      </c>
      <c r="V175" t="s">
        <v>1312</v>
      </c>
      <c r="W175" t="s">
        <v>1312</v>
      </c>
      <c r="X175" t="s">
        <v>1311</v>
      </c>
      <c r="Y175" t="s">
        <v>1312</v>
      </c>
      <c r="Z175" t="s">
        <v>1312</v>
      </c>
      <c r="AC175">
        <v>3</v>
      </c>
      <c r="AD175">
        <v>14000</v>
      </c>
      <c r="AE175">
        <v>12000</v>
      </c>
      <c r="AF175" t="s">
        <v>1351</v>
      </c>
      <c r="AH175" t="s">
        <v>1383</v>
      </c>
      <c r="AJ175" t="s">
        <v>1315</v>
      </c>
      <c r="AL175" t="s">
        <v>1316</v>
      </c>
      <c r="BS175" t="s">
        <v>1307</v>
      </c>
      <c r="CE175" t="s">
        <v>1355</v>
      </c>
      <c r="CF175" t="s">
        <v>1309</v>
      </c>
      <c r="CG175" t="s">
        <v>1309</v>
      </c>
      <c r="CH175" t="s">
        <v>1309</v>
      </c>
      <c r="CI175" t="s">
        <v>1309</v>
      </c>
      <c r="CJ175" t="s">
        <v>1309</v>
      </c>
      <c r="CK175" t="s">
        <v>1309</v>
      </c>
      <c r="CL175" t="s">
        <v>1309</v>
      </c>
      <c r="CM175" t="s">
        <v>1309</v>
      </c>
      <c r="CN175" t="s">
        <v>1310</v>
      </c>
      <c r="CO175" t="s">
        <v>1309</v>
      </c>
      <c r="CP175" t="s">
        <v>1309</v>
      </c>
      <c r="CQ175" t="s">
        <v>1309</v>
      </c>
      <c r="CR175" t="s">
        <v>1309</v>
      </c>
      <c r="CT175" t="s">
        <v>4436</v>
      </c>
      <c r="CV175" t="s">
        <v>1308</v>
      </c>
      <c r="CW175" t="s">
        <v>1310</v>
      </c>
      <c r="CX175" t="s">
        <v>1309</v>
      </c>
      <c r="CY175" t="s">
        <v>1309</v>
      </c>
      <c r="CZ175" t="s">
        <v>1309</v>
      </c>
      <c r="DA175" t="s">
        <v>1309</v>
      </c>
      <c r="DB175" t="s">
        <v>1309</v>
      </c>
      <c r="DC175" t="s">
        <v>1309</v>
      </c>
      <c r="DE175" t="s">
        <v>1358</v>
      </c>
      <c r="DF175" t="s">
        <v>1319</v>
      </c>
      <c r="DH175">
        <v>9000</v>
      </c>
      <c r="DI175">
        <v>600</v>
      </c>
      <c r="DJ175" t="s">
        <v>1358</v>
      </c>
      <c r="DM175">
        <v>800</v>
      </c>
      <c r="DN175" t="s">
        <v>1320</v>
      </c>
      <c r="DO175" t="s">
        <v>1310</v>
      </c>
      <c r="DP175" t="s">
        <v>1309</v>
      </c>
      <c r="DQ175" t="s">
        <v>1309</v>
      </c>
      <c r="DR175" t="s">
        <v>1309</v>
      </c>
      <c r="DS175" t="s">
        <v>1309</v>
      </c>
      <c r="DT175" t="s">
        <v>1310</v>
      </c>
      <c r="DU175" t="s">
        <v>1309</v>
      </c>
      <c r="DV175" t="s">
        <v>1309</v>
      </c>
      <c r="DW175" t="s">
        <v>1309</v>
      </c>
      <c r="DY175" t="s">
        <v>1481</v>
      </c>
      <c r="DZ175">
        <v>800</v>
      </c>
      <c r="EA175" t="s">
        <v>1319</v>
      </c>
      <c r="EC175" t="s">
        <v>1624</v>
      </c>
      <c r="ED175">
        <v>800</v>
      </c>
      <c r="EE175" t="s">
        <v>1319</v>
      </c>
      <c r="EG175" t="s">
        <v>5356</v>
      </c>
      <c r="EI175" t="s">
        <v>1307</v>
      </c>
      <c r="ET175" t="s">
        <v>1307</v>
      </c>
      <c r="EV175" t="s">
        <v>1414</v>
      </c>
      <c r="EX175" t="s">
        <v>1307</v>
      </c>
      <c r="EY175" t="s">
        <v>1307</v>
      </c>
      <c r="EZ175" t="s">
        <v>1307</v>
      </c>
      <c r="FT175" t="s">
        <v>1307</v>
      </c>
      <c r="GI175" t="s">
        <v>1324</v>
      </c>
      <c r="GJ175" t="s">
        <v>1324</v>
      </c>
      <c r="GT175" t="s">
        <v>1325</v>
      </c>
      <c r="GU175" t="s">
        <v>1310</v>
      </c>
      <c r="GV175" t="s">
        <v>1309</v>
      </c>
      <c r="GW175" t="s">
        <v>1309</v>
      </c>
      <c r="GX175" t="s">
        <v>1309</v>
      </c>
      <c r="GY175" t="s">
        <v>1309</v>
      </c>
      <c r="GZ175" t="s">
        <v>1309</v>
      </c>
      <c r="HA175" t="s">
        <v>1309</v>
      </c>
      <c r="HB175" t="s">
        <v>1309</v>
      </c>
      <c r="HC175" t="s">
        <v>1309</v>
      </c>
      <c r="HD175" t="s">
        <v>1309</v>
      </c>
      <c r="HE175" t="s">
        <v>1309</v>
      </c>
      <c r="HF175" t="s">
        <v>1309</v>
      </c>
      <c r="HH175" t="s">
        <v>1390</v>
      </c>
      <c r="HI175" t="s">
        <v>1390</v>
      </c>
      <c r="HJ175" t="s">
        <v>1390</v>
      </c>
      <c r="HK175" t="s">
        <v>1327</v>
      </c>
      <c r="HL175" t="s">
        <v>1328</v>
      </c>
      <c r="HM175" t="s">
        <v>1390</v>
      </c>
      <c r="HN175" t="s">
        <v>2215</v>
      </c>
      <c r="HO175" t="s">
        <v>1309</v>
      </c>
      <c r="HP175" t="s">
        <v>1310</v>
      </c>
      <c r="HQ175" t="s">
        <v>1310</v>
      </c>
      <c r="HR175" t="s">
        <v>1309</v>
      </c>
      <c r="HS175" t="s">
        <v>1309</v>
      </c>
      <c r="HT175" t="s">
        <v>1309</v>
      </c>
      <c r="HU175" t="s">
        <v>1309</v>
      </c>
      <c r="HV175" t="s">
        <v>1309</v>
      </c>
      <c r="HW175" t="s">
        <v>1309</v>
      </c>
      <c r="HX175" t="s">
        <v>1309</v>
      </c>
      <c r="HY175" t="s">
        <v>1309</v>
      </c>
      <c r="IA175" t="s">
        <v>1319</v>
      </c>
      <c r="IB175" t="s">
        <v>1769</v>
      </c>
      <c r="IC175" t="s">
        <v>1310</v>
      </c>
      <c r="ID175" t="s">
        <v>1309</v>
      </c>
      <c r="IE175" t="s">
        <v>1309</v>
      </c>
      <c r="IF175" t="s">
        <v>1309</v>
      </c>
      <c r="IG175" t="s">
        <v>1310</v>
      </c>
      <c r="IH175" t="s">
        <v>1309</v>
      </c>
      <c r="II175" t="s">
        <v>1310</v>
      </c>
      <c r="IJ175" t="s">
        <v>1309</v>
      </c>
      <c r="IK175" t="s">
        <v>1309</v>
      </c>
      <c r="IL175" t="s">
        <v>1309</v>
      </c>
      <c r="IM175" t="s">
        <v>1309</v>
      </c>
      <c r="IN175" t="s">
        <v>1309</v>
      </c>
      <c r="IO175" t="s">
        <v>1309</v>
      </c>
      <c r="IQ175" t="s">
        <v>1365</v>
      </c>
      <c r="IS175" t="s">
        <v>1316</v>
      </c>
      <c r="JF175" t="s">
        <v>1316</v>
      </c>
      <c r="JG175" t="s">
        <v>1566</v>
      </c>
      <c r="JH175" t="s">
        <v>1310</v>
      </c>
      <c r="JI175" t="s">
        <v>1309</v>
      </c>
      <c r="JJ175" t="s">
        <v>1309</v>
      </c>
      <c r="JK175" t="s">
        <v>1309</v>
      </c>
      <c r="JL175" t="s">
        <v>1310</v>
      </c>
      <c r="JM175" t="s">
        <v>1309</v>
      </c>
      <c r="JN175" t="s">
        <v>1309</v>
      </c>
      <c r="JO175" t="s">
        <v>1309</v>
      </c>
      <c r="JQ175" s="92" t="s">
        <v>2061</v>
      </c>
      <c r="JR175" s="92" t="s">
        <v>2216</v>
      </c>
      <c r="JS175" s="92">
        <v>51</v>
      </c>
      <c r="JT175" s="92" t="s">
        <v>1319</v>
      </c>
      <c r="JU175" s="92" t="s">
        <v>1575</v>
      </c>
      <c r="JV175" s="92" t="s">
        <v>1526</v>
      </c>
      <c r="JW175" s="92" t="s">
        <v>1296</v>
      </c>
      <c r="JX175" s="92" t="s">
        <v>70</v>
      </c>
      <c r="JY175" s="92" t="s">
        <v>5549</v>
      </c>
      <c r="JZ175" s="92" t="s">
        <v>1337</v>
      </c>
      <c r="KA175" s="92" t="s">
        <v>4845</v>
      </c>
      <c r="KB175" s="92" t="s">
        <v>1370</v>
      </c>
      <c r="KC175" s="92" t="s">
        <v>109</v>
      </c>
      <c r="KD175" s="92" t="s">
        <v>4848</v>
      </c>
      <c r="KE175" s="92" t="s">
        <v>1371</v>
      </c>
      <c r="KF175" s="92">
        <v>9600</v>
      </c>
      <c r="KG175" s="92" t="s">
        <v>1400</v>
      </c>
      <c r="KH175" s="92" t="s">
        <v>109</v>
      </c>
      <c r="KI175" s="92" t="s">
        <v>192</v>
      </c>
      <c r="KJ175" s="92" t="s">
        <v>109</v>
      </c>
      <c r="KK175" s="92" t="s">
        <v>109</v>
      </c>
      <c r="KL175" s="92" t="s">
        <v>1341</v>
      </c>
      <c r="KM175" s="92">
        <v>800</v>
      </c>
      <c r="KN175" s="92" t="s">
        <v>1372</v>
      </c>
      <c r="KO175" s="92" t="s">
        <v>1374</v>
      </c>
      <c r="KP175" s="92" t="s">
        <v>1401</v>
      </c>
      <c r="KQ175" s="92" t="s">
        <v>192</v>
      </c>
      <c r="KR175" s="92"/>
      <c r="KS175" s="92" t="s">
        <v>1466</v>
      </c>
      <c r="KT175" s="92" t="s">
        <v>1344</v>
      </c>
      <c r="KU175" s="92"/>
      <c r="KV175" s="92" t="s">
        <v>1441</v>
      </c>
      <c r="KW175" s="92" t="s">
        <v>1344</v>
      </c>
      <c r="KX175" s="92" t="s">
        <v>1376</v>
      </c>
      <c r="KY175" s="92" t="s">
        <v>1377</v>
      </c>
      <c r="KZ175" s="92" t="s">
        <v>1378</v>
      </c>
      <c r="LA175" s="92" t="s">
        <v>109</v>
      </c>
      <c r="LB175" s="92" t="s">
        <v>109</v>
      </c>
      <c r="LC175" s="92" t="s">
        <v>4439</v>
      </c>
      <c r="LD175" s="92" t="s">
        <v>1372</v>
      </c>
      <c r="LE175" s="92" t="s">
        <v>192</v>
      </c>
      <c r="LF175" s="92" t="s">
        <v>109</v>
      </c>
    </row>
    <row r="176" spans="1:318" x14ac:dyDescent="0.25">
      <c r="A176" t="s">
        <v>2217</v>
      </c>
      <c r="B176" t="s">
        <v>2218</v>
      </c>
      <c r="C176" t="s">
        <v>1304</v>
      </c>
      <c r="D176" t="s">
        <v>1305</v>
      </c>
      <c r="E176" t="s">
        <v>1381</v>
      </c>
      <c r="G176" t="s">
        <v>1319</v>
      </c>
      <c r="H176">
        <v>4</v>
      </c>
      <c r="I176" t="s">
        <v>1358</v>
      </c>
      <c r="J176" t="s">
        <v>1406</v>
      </c>
      <c r="K176" t="s">
        <v>1309</v>
      </c>
      <c r="L176" t="s">
        <v>1310</v>
      </c>
      <c r="M176" t="s">
        <v>1309</v>
      </c>
      <c r="N176" t="s">
        <v>1309</v>
      </c>
      <c r="O176" t="s">
        <v>1309</v>
      </c>
      <c r="P176" t="s">
        <v>1309</v>
      </c>
      <c r="Q176" t="s">
        <v>1309</v>
      </c>
      <c r="R176" t="s">
        <v>1309</v>
      </c>
      <c r="S176">
        <v>2</v>
      </c>
      <c r="U176" t="s">
        <v>1312</v>
      </c>
      <c r="V176" t="s">
        <v>1312</v>
      </c>
      <c r="W176" t="s">
        <v>1312</v>
      </c>
      <c r="X176" t="s">
        <v>1312</v>
      </c>
      <c r="Y176" t="s">
        <v>1312</v>
      </c>
      <c r="Z176" t="s">
        <v>1312</v>
      </c>
      <c r="AC176">
        <v>4</v>
      </c>
      <c r="AD176">
        <v>15000</v>
      </c>
      <c r="AE176">
        <v>10000</v>
      </c>
      <c r="AF176" t="s">
        <v>1351</v>
      </c>
      <c r="AH176" t="s">
        <v>1315</v>
      </c>
      <c r="AJ176" t="s">
        <v>1315</v>
      </c>
      <c r="AL176" t="s">
        <v>1316</v>
      </c>
      <c r="BS176" t="s">
        <v>1307</v>
      </c>
      <c r="CE176" t="s">
        <v>1355</v>
      </c>
      <c r="CF176" t="s">
        <v>1309</v>
      </c>
      <c r="CG176" t="s">
        <v>1309</v>
      </c>
      <c r="CH176" t="s">
        <v>1309</v>
      </c>
      <c r="CI176" t="s">
        <v>1309</v>
      </c>
      <c r="CJ176" t="s">
        <v>1309</v>
      </c>
      <c r="CK176" t="s">
        <v>1309</v>
      </c>
      <c r="CL176" t="s">
        <v>1309</v>
      </c>
      <c r="CM176" t="s">
        <v>1309</v>
      </c>
      <c r="CN176" t="s">
        <v>1310</v>
      </c>
      <c r="CO176" t="s">
        <v>1309</v>
      </c>
      <c r="CP176" t="s">
        <v>1309</v>
      </c>
      <c r="CQ176" t="s">
        <v>1309</v>
      </c>
      <c r="CR176" t="s">
        <v>1309</v>
      </c>
      <c r="CT176" t="s">
        <v>4434</v>
      </c>
      <c r="CV176" t="s">
        <v>1308</v>
      </c>
      <c r="CW176" t="s">
        <v>1310</v>
      </c>
      <c r="CX176" t="s">
        <v>1309</v>
      </c>
      <c r="CY176" t="s">
        <v>1309</v>
      </c>
      <c r="CZ176" t="s">
        <v>1309</v>
      </c>
      <c r="DA176" t="s">
        <v>1309</v>
      </c>
      <c r="DB176" t="s">
        <v>1309</v>
      </c>
      <c r="DC176" t="s">
        <v>1309</v>
      </c>
      <c r="DE176" t="s">
        <v>1358</v>
      </c>
      <c r="DG176">
        <v>2000</v>
      </c>
      <c r="DI176">
        <v>800</v>
      </c>
      <c r="DJ176" t="s">
        <v>1358</v>
      </c>
      <c r="DK176">
        <v>3000</v>
      </c>
      <c r="DM176">
        <v>1000</v>
      </c>
      <c r="DN176" t="s">
        <v>1584</v>
      </c>
      <c r="DO176" t="s">
        <v>1310</v>
      </c>
      <c r="DP176" t="s">
        <v>1309</v>
      </c>
      <c r="DQ176" t="s">
        <v>1309</v>
      </c>
      <c r="DR176" t="s">
        <v>1309</v>
      </c>
      <c r="DS176" t="s">
        <v>1310</v>
      </c>
      <c r="DT176" t="s">
        <v>1310</v>
      </c>
      <c r="DU176" t="s">
        <v>1309</v>
      </c>
      <c r="DV176" t="s">
        <v>1309</v>
      </c>
      <c r="DW176" t="s">
        <v>1309</v>
      </c>
      <c r="DY176" t="s">
        <v>1481</v>
      </c>
      <c r="DZ176">
        <v>500</v>
      </c>
      <c r="EA176" t="s">
        <v>1319</v>
      </c>
      <c r="EC176" t="s">
        <v>1658</v>
      </c>
      <c r="ED176">
        <v>800</v>
      </c>
      <c r="EE176" t="s">
        <v>1319</v>
      </c>
      <c r="EG176" t="s">
        <v>5356</v>
      </c>
      <c r="EI176" t="s">
        <v>1307</v>
      </c>
      <c r="ET176" t="s">
        <v>1307</v>
      </c>
      <c r="EV176" t="s">
        <v>1307</v>
      </c>
      <c r="EX176" t="s">
        <v>1307</v>
      </c>
      <c r="EY176" t="s">
        <v>1319</v>
      </c>
      <c r="FA176" t="s">
        <v>1323</v>
      </c>
      <c r="FB176" t="s">
        <v>1310</v>
      </c>
      <c r="FC176" t="s">
        <v>1309</v>
      </c>
      <c r="FD176" t="s">
        <v>1309</v>
      </c>
      <c r="FE176" t="s">
        <v>1309</v>
      </c>
      <c r="FF176" t="s">
        <v>1309</v>
      </c>
      <c r="FG176" t="s">
        <v>1309</v>
      </c>
      <c r="FH176" t="s">
        <v>1309</v>
      </c>
      <c r="FI176" t="s">
        <v>1309</v>
      </c>
      <c r="FJ176" t="s">
        <v>1309</v>
      </c>
      <c r="FK176" t="s">
        <v>1309</v>
      </c>
      <c r="FL176" t="s">
        <v>1309</v>
      </c>
      <c r="FM176" t="s">
        <v>1309</v>
      </c>
      <c r="FN176" t="s">
        <v>1309</v>
      </c>
      <c r="FO176" t="s">
        <v>1309</v>
      </c>
      <c r="FP176" t="s">
        <v>1309</v>
      </c>
      <c r="FQ176" t="s">
        <v>1309</v>
      </c>
      <c r="FR176" t="s">
        <v>1309</v>
      </c>
      <c r="FT176" t="s">
        <v>1319</v>
      </c>
      <c r="FU176" t="s">
        <v>1435</v>
      </c>
      <c r="FV176" t="s">
        <v>1310</v>
      </c>
      <c r="FW176" t="s">
        <v>1309</v>
      </c>
      <c r="FX176" t="s">
        <v>1309</v>
      </c>
      <c r="FY176" t="s">
        <v>1309</v>
      </c>
      <c r="FZ176" t="s">
        <v>1309</v>
      </c>
      <c r="GA176" t="s">
        <v>1309</v>
      </c>
      <c r="GB176" t="s">
        <v>1309</v>
      </c>
      <c r="GC176" t="s">
        <v>1309</v>
      </c>
      <c r="GD176" t="s">
        <v>1309</v>
      </c>
      <c r="GE176" t="s">
        <v>1309</v>
      </c>
      <c r="GF176" t="s">
        <v>1309</v>
      </c>
      <c r="GG176" t="s">
        <v>1309</v>
      </c>
      <c r="GI176" t="s">
        <v>1324</v>
      </c>
      <c r="GJ176" t="s">
        <v>1324</v>
      </c>
      <c r="GT176" t="s">
        <v>1325</v>
      </c>
      <c r="GU176" t="s">
        <v>1310</v>
      </c>
      <c r="GV176" t="s">
        <v>1309</v>
      </c>
      <c r="GW176" t="s">
        <v>1309</v>
      </c>
      <c r="GX176" t="s">
        <v>1309</v>
      </c>
      <c r="GY176" t="s">
        <v>1309</v>
      </c>
      <c r="GZ176" t="s">
        <v>1309</v>
      </c>
      <c r="HA176" t="s">
        <v>1309</v>
      </c>
      <c r="HB176" t="s">
        <v>1309</v>
      </c>
      <c r="HC176" t="s">
        <v>1309</v>
      </c>
      <c r="HD176" t="s">
        <v>1309</v>
      </c>
      <c r="HE176" t="s">
        <v>1309</v>
      </c>
      <c r="HF176" t="s">
        <v>1309</v>
      </c>
      <c r="HH176" t="s">
        <v>1390</v>
      </c>
      <c r="HI176" t="s">
        <v>1326</v>
      </c>
      <c r="HJ176" t="s">
        <v>1390</v>
      </c>
      <c r="HK176" t="s">
        <v>1327</v>
      </c>
      <c r="HL176" t="s">
        <v>1328</v>
      </c>
      <c r="HM176" t="s">
        <v>1390</v>
      </c>
      <c r="HN176" t="s">
        <v>1329</v>
      </c>
      <c r="HO176" t="s">
        <v>1309</v>
      </c>
      <c r="HP176" t="s">
        <v>1309</v>
      </c>
      <c r="HQ176" t="s">
        <v>1309</v>
      </c>
      <c r="HR176" t="s">
        <v>1310</v>
      </c>
      <c r="HS176" t="s">
        <v>1309</v>
      </c>
      <c r="HT176" t="s">
        <v>1309</v>
      </c>
      <c r="HU176" t="s">
        <v>1309</v>
      </c>
      <c r="HV176" t="s">
        <v>1309</v>
      </c>
      <c r="HW176" t="s">
        <v>1309</v>
      </c>
      <c r="HX176" t="s">
        <v>1309</v>
      </c>
      <c r="HY176" t="s">
        <v>1309</v>
      </c>
      <c r="IA176" t="s">
        <v>1307</v>
      </c>
      <c r="IQ176" t="s">
        <v>1330</v>
      </c>
      <c r="IS176" t="s">
        <v>1316</v>
      </c>
      <c r="JF176" t="s">
        <v>1331</v>
      </c>
      <c r="JG176" t="s">
        <v>1414</v>
      </c>
      <c r="JH176" t="s">
        <v>1309</v>
      </c>
      <c r="JI176" t="s">
        <v>1309</v>
      </c>
      <c r="JJ176" t="s">
        <v>1309</v>
      </c>
      <c r="JK176" t="s">
        <v>1309</v>
      </c>
      <c r="JL176" t="s">
        <v>1309</v>
      </c>
      <c r="JM176" t="s">
        <v>1309</v>
      </c>
      <c r="JN176" t="s">
        <v>1310</v>
      </c>
      <c r="JO176" t="s">
        <v>1309</v>
      </c>
      <c r="JQ176" s="92" t="s">
        <v>2092</v>
      </c>
      <c r="JR176" s="92" t="s">
        <v>2219</v>
      </c>
      <c r="JS176" s="92">
        <v>46</v>
      </c>
      <c r="JT176" s="92" t="s">
        <v>1319</v>
      </c>
      <c r="JU176" s="92" t="s">
        <v>1396</v>
      </c>
      <c r="JV176" s="92" t="s">
        <v>1368</v>
      </c>
      <c r="JW176" s="92" t="s">
        <v>1296</v>
      </c>
      <c r="JX176" s="92" t="s">
        <v>70</v>
      </c>
      <c r="JY176" s="92" t="s">
        <v>1397</v>
      </c>
      <c r="JZ176" s="92" t="s">
        <v>1337</v>
      </c>
      <c r="KA176" s="92" t="s">
        <v>4845</v>
      </c>
      <c r="KB176" s="92" t="s">
        <v>1415</v>
      </c>
      <c r="KC176" s="92" t="s">
        <v>109</v>
      </c>
      <c r="KD176" s="92" t="s">
        <v>4848</v>
      </c>
      <c r="KE176" s="92" t="s">
        <v>1371</v>
      </c>
      <c r="KF176" s="92">
        <v>2800</v>
      </c>
      <c r="KG176" s="92" t="s">
        <v>4438</v>
      </c>
      <c r="KH176" s="92" t="s">
        <v>192</v>
      </c>
      <c r="KI176" s="92" t="s">
        <v>109</v>
      </c>
      <c r="KJ176" s="92" t="s">
        <v>192</v>
      </c>
      <c r="KK176" s="92" t="s">
        <v>109</v>
      </c>
      <c r="KL176" s="92" t="s">
        <v>1425</v>
      </c>
      <c r="KM176" s="92">
        <v>4000</v>
      </c>
      <c r="KN176" s="92" t="s">
        <v>4439</v>
      </c>
      <c r="KO176" s="92" t="s">
        <v>1341</v>
      </c>
      <c r="KP176" s="92" t="s">
        <v>1460</v>
      </c>
      <c r="KQ176" s="92" t="s">
        <v>192</v>
      </c>
      <c r="KR176" s="92">
        <v>18</v>
      </c>
      <c r="KS176" s="92" t="s">
        <v>1345</v>
      </c>
      <c r="KT176" s="92" t="s">
        <v>1344</v>
      </c>
      <c r="KU176" s="92">
        <v>20</v>
      </c>
      <c r="KV176" s="92" t="s">
        <v>1441</v>
      </c>
      <c r="KW176" s="92" t="s">
        <v>1344</v>
      </c>
      <c r="KX176" s="92" t="s">
        <v>1376</v>
      </c>
      <c r="KY176" s="92" t="s">
        <v>1347</v>
      </c>
      <c r="KZ176" s="92" t="s">
        <v>1403</v>
      </c>
      <c r="LA176" s="92" t="s">
        <v>109</v>
      </c>
      <c r="LB176" s="92" t="s">
        <v>109</v>
      </c>
      <c r="LC176" s="92" t="s">
        <v>4438</v>
      </c>
      <c r="LD176" s="92" t="s">
        <v>4439</v>
      </c>
      <c r="LE176" s="92" t="s">
        <v>109</v>
      </c>
      <c r="LF176" s="92" t="s">
        <v>109</v>
      </c>
    </row>
    <row r="177" spans="1:318" x14ac:dyDescent="0.25">
      <c r="A177" t="s">
        <v>2220</v>
      </c>
      <c r="B177" t="s">
        <v>2221</v>
      </c>
      <c r="C177" t="s">
        <v>1304</v>
      </c>
      <c r="D177" t="s">
        <v>1305</v>
      </c>
      <c r="E177" t="s">
        <v>1381</v>
      </c>
      <c r="G177" t="s">
        <v>1319</v>
      </c>
      <c r="H177">
        <v>4</v>
      </c>
      <c r="I177" t="s">
        <v>1358</v>
      </c>
      <c r="J177" t="s">
        <v>1350</v>
      </c>
      <c r="K177" t="s">
        <v>1309</v>
      </c>
      <c r="L177" t="s">
        <v>1310</v>
      </c>
      <c r="M177" t="s">
        <v>1310</v>
      </c>
      <c r="N177" t="s">
        <v>1310</v>
      </c>
      <c r="O177" t="s">
        <v>1310</v>
      </c>
      <c r="P177" t="s">
        <v>1309</v>
      </c>
      <c r="Q177" t="s">
        <v>1309</v>
      </c>
      <c r="R177" t="s">
        <v>1309</v>
      </c>
      <c r="S177">
        <v>1</v>
      </c>
      <c r="T177">
        <v>1</v>
      </c>
      <c r="U177" t="s">
        <v>1311</v>
      </c>
      <c r="V177" t="s">
        <v>1312</v>
      </c>
      <c r="W177" t="s">
        <v>1311</v>
      </c>
      <c r="X177" t="s">
        <v>1312</v>
      </c>
      <c r="Y177" t="s">
        <v>1312</v>
      </c>
      <c r="Z177" t="s">
        <v>1312</v>
      </c>
      <c r="AA177">
        <v>0</v>
      </c>
      <c r="AC177">
        <v>4</v>
      </c>
      <c r="AD177">
        <v>11000</v>
      </c>
      <c r="AE177">
        <v>11000</v>
      </c>
      <c r="AF177" t="s">
        <v>2222</v>
      </c>
      <c r="AH177" t="s">
        <v>1314</v>
      </c>
      <c r="AJ177" t="s">
        <v>1664</v>
      </c>
      <c r="AL177" t="s">
        <v>1316</v>
      </c>
      <c r="BS177" t="s">
        <v>1319</v>
      </c>
      <c r="BT177" t="s">
        <v>1698</v>
      </c>
      <c r="BU177" t="s">
        <v>1309</v>
      </c>
      <c r="BV177" t="s">
        <v>1309</v>
      </c>
      <c r="BW177" t="s">
        <v>1309</v>
      </c>
      <c r="BX177" t="s">
        <v>1309</v>
      </c>
      <c r="BY177" t="s">
        <v>1309</v>
      </c>
      <c r="BZ177" t="s">
        <v>1309</v>
      </c>
      <c r="CA177" t="s">
        <v>1310</v>
      </c>
      <c r="CB177" t="s">
        <v>1309</v>
      </c>
      <c r="CC177" t="s">
        <v>1309</v>
      </c>
      <c r="CD177" t="s">
        <v>2223</v>
      </c>
      <c r="CE177" t="s">
        <v>2224</v>
      </c>
      <c r="CF177" t="s">
        <v>1309</v>
      </c>
      <c r="CG177" t="s">
        <v>1309</v>
      </c>
      <c r="CH177" t="s">
        <v>1309</v>
      </c>
      <c r="CI177" t="s">
        <v>1310</v>
      </c>
      <c r="CJ177" t="s">
        <v>1309</v>
      </c>
      <c r="CK177" t="s">
        <v>1310</v>
      </c>
      <c r="CL177" t="s">
        <v>1309</v>
      </c>
      <c r="CM177" t="s">
        <v>1309</v>
      </c>
      <c r="CN177" t="s">
        <v>1310</v>
      </c>
      <c r="CO177" t="s">
        <v>1309</v>
      </c>
      <c r="CP177" t="s">
        <v>1309</v>
      </c>
      <c r="CQ177" t="s">
        <v>1309</v>
      </c>
      <c r="CR177" t="s">
        <v>1309</v>
      </c>
      <c r="CT177" t="s">
        <v>4434</v>
      </c>
      <c r="CV177" t="s">
        <v>1357</v>
      </c>
      <c r="CW177" t="s">
        <v>1309</v>
      </c>
      <c r="CX177" t="s">
        <v>1309</v>
      </c>
      <c r="CY177" t="s">
        <v>1309</v>
      </c>
      <c r="CZ177" t="s">
        <v>1309</v>
      </c>
      <c r="DA177" t="s">
        <v>1310</v>
      </c>
      <c r="DB177" t="s">
        <v>1309</v>
      </c>
      <c r="DC177" t="s">
        <v>1309</v>
      </c>
      <c r="DE177" t="s">
        <v>1358</v>
      </c>
      <c r="DJ177" t="s">
        <v>1358</v>
      </c>
      <c r="DN177" t="s">
        <v>1320</v>
      </c>
      <c r="DO177" t="s">
        <v>1310</v>
      </c>
      <c r="DP177" t="s">
        <v>1309</v>
      </c>
      <c r="DQ177" t="s">
        <v>1309</v>
      </c>
      <c r="DR177" t="s">
        <v>1309</v>
      </c>
      <c r="DS177" t="s">
        <v>1309</v>
      </c>
      <c r="DT177" t="s">
        <v>1310</v>
      </c>
      <c r="DU177" t="s">
        <v>1309</v>
      </c>
      <c r="DV177" t="s">
        <v>1309</v>
      </c>
      <c r="DW177" t="s">
        <v>1309</v>
      </c>
      <c r="DY177" t="s">
        <v>1456</v>
      </c>
      <c r="DZ177">
        <v>300</v>
      </c>
      <c r="EA177" t="s">
        <v>1386</v>
      </c>
      <c r="EC177" t="s">
        <v>1457</v>
      </c>
      <c r="ED177">
        <v>500</v>
      </c>
      <c r="EE177" t="s">
        <v>1386</v>
      </c>
      <c r="EG177" t="s">
        <v>5356</v>
      </c>
      <c r="EI177" t="s">
        <v>1307</v>
      </c>
      <c r="ET177" t="s">
        <v>1307</v>
      </c>
      <c r="EV177" t="s">
        <v>1307</v>
      </c>
      <c r="EX177" t="s">
        <v>1319</v>
      </c>
      <c r="EY177" t="s">
        <v>1319</v>
      </c>
      <c r="FA177" t="s">
        <v>2225</v>
      </c>
      <c r="FB177" t="s">
        <v>1310</v>
      </c>
      <c r="FC177" t="s">
        <v>1309</v>
      </c>
      <c r="FD177" t="s">
        <v>1310</v>
      </c>
      <c r="FE177" t="s">
        <v>1310</v>
      </c>
      <c r="FF177" t="s">
        <v>1309</v>
      </c>
      <c r="FG177" t="s">
        <v>1309</v>
      </c>
      <c r="FH177" t="s">
        <v>1309</v>
      </c>
      <c r="FI177" t="s">
        <v>1309</v>
      </c>
      <c r="FJ177" t="s">
        <v>1309</v>
      </c>
      <c r="FK177" t="s">
        <v>1309</v>
      </c>
      <c r="FL177" t="s">
        <v>1309</v>
      </c>
      <c r="FM177" t="s">
        <v>1310</v>
      </c>
      <c r="FN177" t="s">
        <v>1310</v>
      </c>
      <c r="FO177" t="s">
        <v>1309</v>
      </c>
      <c r="FP177" t="s">
        <v>1309</v>
      </c>
      <c r="FQ177" t="s">
        <v>1309</v>
      </c>
      <c r="FR177" t="s">
        <v>1309</v>
      </c>
      <c r="FT177" t="s">
        <v>1319</v>
      </c>
      <c r="FU177" t="s">
        <v>1435</v>
      </c>
      <c r="FV177" t="s">
        <v>1310</v>
      </c>
      <c r="FW177" t="s">
        <v>1309</v>
      </c>
      <c r="FX177" t="s">
        <v>1309</v>
      </c>
      <c r="FY177" t="s">
        <v>1309</v>
      </c>
      <c r="FZ177" t="s">
        <v>1309</v>
      </c>
      <c r="GA177" t="s">
        <v>1309</v>
      </c>
      <c r="GB177" t="s">
        <v>1309</v>
      </c>
      <c r="GC177" t="s">
        <v>1309</v>
      </c>
      <c r="GD177" t="s">
        <v>1309</v>
      </c>
      <c r="GE177" t="s">
        <v>1309</v>
      </c>
      <c r="GF177" t="s">
        <v>1309</v>
      </c>
      <c r="GG177" t="s">
        <v>1309</v>
      </c>
      <c r="GI177" t="s">
        <v>1436</v>
      </c>
      <c r="GJ177" t="s">
        <v>1436</v>
      </c>
      <c r="GK177" t="s">
        <v>1319</v>
      </c>
      <c r="GL177" t="s">
        <v>2226</v>
      </c>
      <c r="GM177" t="s">
        <v>1309</v>
      </c>
      <c r="GN177" t="s">
        <v>1310</v>
      </c>
      <c r="GO177" t="s">
        <v>1309</v>
      </c>
      <c r="GP177" t="s">
        <v>1309</v>
      </c>
      <c r="GQ177" t="s">
        <v>1309</v>
      </c>
      <c r="GR177" t="s">
        <v>1309</v>
      </c>
      <c r="GT177" t="s">
        <v>1325</v>
      </c>
      <c r="GU177" t="s">
        <v>1310</v>
      </c>
      <c r="GV177" t="s">
        <v>1309</v>
      </c>
      <c r="GW177" t="s">
        <v>1309</v>
      </c>
      <c r="GX177" t="s">
        <v>1309</v>
      </c>
      <c r="GY177" t="s">
        <v>1309</v>
      </c>
      <c r="GZ177" t="s">
        <v>1309</v>
      </c>
      <c r="HA177" t="s">
        <v>1309</v>
      </c>
      <c r="HB177" t="s">
        <v>1309</v>
      </c>
      <c r="HC177" t="s">
        <v>1309</v>
      </c>
      <c r="HD177" t="s">
        <v>1309</v>
      </c>
      <c r="HE177" t="s">
        <v>1309</v>
      </c>
      <c r="HF177" t="s">
        <v>1309</v>
      </c>
      <c r="HH177" t="s">
        <v>1390</v>
      </c>
      <c r="HI177" t="s">
        <v>1390</v>
      </c>
      <c r="HJ177" t="s">
        <v>1390</v>
      </c>
      <c r="HK177" t="s">
        <v>1390</v>
      </c>
      <c r="HL177" t="s">
        <v>1364</v>
      </c>
      <c r="HM177" t="s">
        <v>1390</v>
      </c>
      <c r="IA177" t="s">
        <v>1414</v>
      </c>
      <c r="IQ177" t="s">
        <v>1308</v>
      </c>
      <c r="IS177" t="s">
        <v>1316</v>
      </c>
      <c r="JF177" t="s">
        <v>1413</v>
      </c>
      <c r="JG177" t="s">
        <v>1523</v>
      </c>
      <c r="JH177" t="s">
        <v>1309</v>
      </c>
      <c r="JI177" t="s">
        <v>1309</v>
      </c>
      <c r="JJ177" t="s">
        <v>1309</v>
      </c>
      <c r="JK177" t="s">
        <v>1310</v>
      </c>
      <c r="JL177" t="s">
        <v>1309</v>
      </c>
      <c r="JM177" t="s">
        <v>1309</v>
      </c>
      <c r="JN177" t="s">
        <v>1309</v>
      </c>
      <c r="JO177" t="s">
        <v>1309</v>
      </c>
      <c r="JQ177" s="92" t="s">
        <v>1524</v>
      </c>
      <c r="JR177" s="92" t="s">
        <v>1525</v>
      </c>
      <c r="JS177" s="92">
        <v>43</v>
      </c>
      <c r="JT177" s="92" t="s">
        <v>1319</v>
      </c>
      <c r="JU177" s="92" t="s">
        <v>1396</v>
      </c>
      <c r="JV177" s="92" t="s">
        <v>1526</v>
      </c>
      <c r="JW177" s="92" t="s">
        <v>1296</v>
      </c>
      <c r="JX177" s="92" t="s">
        <v>71</v>
      </c>
      <c r="JY177" s="92" t="s">
        <v>1397</v>
      </c>
      <c r="JZ177" s="92" t="s">
        <v>1337</v>
      </c>
      <c r="KA177" s="92" t="s">
        <v>4845</v>
      </c>
      <c r="KB177" s="92" t="s">
        <v>1370</v>
      </c>
      <c r="KC177" s="92" t="s">
        <v>109</v>
      </c>
      <c r="KD177" s="92" t="s">
        <v>4848</v>
      </c>
      <c r="KE177" s="92" t="s">
        <v>1371</v>
      </c>
      <c r="KF177" s="92">
        <v>0</v>
      </c>
      <c r="KG177" s="92" t="s">
        <v>1372</v>
      </c>
      <c r="KH177" s="92" t="s">
        <v>109</v>
      </c>
      <c r="KI177" s="92" t="s">
        <v>109</v>
      </c>
      <c r="KJ177" s="92" t="s">
        <v>109</v>
      </c>
      <c r="KK177" s="92" t="s">
        <v>109</v>
      </c>
      <c r="KL177" s="92" t="s">
        <v>1373</v>
      </c>
      <c r="KM177" s="92">
        <v>0</v>
      </c>
      <c r="KN177" s="92" t="s">
        <v>1372</v>
      </c>
      <c r="KO177" s="92" t="s">
        <v>1373</v>
      </c>
      <c r="KP177" s="92" t="s">
        <v>1375</v>
      </c>
      <c r="KQ177" s="92" t="s">
        <v>192</v>
      </c>
      <c r="KR177" s="92"/>
      <c r="KS177" s="92" t="s">
        <v>1343</v>
      </c>
      <c r="KT177" s="92" t="s">
        <v>1402</v>
      </c>
      <c r="KU177" s="92"/>
      <c r="KV177" s="92" t="s">
        <v>1345</v>
      </c>
      <c r="KW177" s="92" t="s">
        <v>1402</v>
      </c>
      <c r="KX177" s="92" t="s">
        <v>1376</v>
      </c>
      <c r="KY177" s="92" t="s">
        <v>1377</v>
      </c>
      <c r="KZ177" s="92" t="s">
        <v>1403</v>
      </c>
      <c r="LA177" s="92" t="s">
        <v>109</v>
      </c>
      <c r="LB177" s="92" t="s">
        <v>109</v>
      </c>
      <c r="LC177" s="92" t="s">
        <v>1372</v>
      </c>
      <c r="LD177" s="92" t="s">
        <v>1372</v>
      </c>
      <c r="LE177" s="92" t="s">
        <v>109</v>
      </c>
      <c r="LF177" s="92" t="s">
        <v>109</v>
      </c>
    </row>
    <row r="178" spans="1:318" x14ac:dyDescent="0.25">
      <c r="A178" t="s">
        <v>2227</v>
      </c>
      <c r="B178" t="s">
        <v>2228</v>
      </c>
      <c r="C178" t="s">
        <v>1304</v>
      </c>
      <c r="D178" t="s">
        <v>1305</v>
      </c>
      <c r="E178" t="s">
        <v>1381</v>
      </c>
      <c r="G178" t="s">
        <v>1319</v>
      </c>
      <c r="H178">
        <v>1</v>
      </c>
      <c r="J178" t="s">
        <v>1891</v>
      </c>
      <c r="K178" t="s">
        <v>1309</v>
      </c>
      <c r="L178" t="s">
        <v>1309</v>
      </c>
      <c r="M178" t="s">
        <v>1310</v>
      </c>
      <c r="N178" t="s">
        <v>1309</v>
      </c>
      <c r="O178" t="s">
        <v>1310</v>
      </c>
      <c r="P178" t="s">
        <v>1309</v>
      </c>
      <c r="Q178" t="s">
        <v>1309</v>
      </c>
      <c r="R178" t="s">
        <v>1309</v>
      </c>
      <c r="T178">
        <v>1</v>
      </c>
      <c r="U178" t="s">
        <v>1486</v>
      </c>
      <c r="V178" t="s">
        <v>1312</v>
      </c>
      <c r="W178" t="s">
        <v>1312</v>
      </c>
      <c r="X178" t="s">
        <v>1311</v>
      </c>
      <c r="Y178" t="s">
        <v>1312</v>
      </c>
      <c r="Z178" t="s">
        <v>1312</v>
      </c>
      <c r="AC178">
        <v>1</v>
      </c>
      <c r="AD178">
        <v>5000</v>
      </c>
      <c r="AE178">
        <v>3000</v>
      </c>
      <c r="AF178" t="s">
        <v>1351</v>
      </c>
      <c r="AH178" t="s">
        <v>1314</v>
      </c>
      <c r="AJ178" t="s">
        <v>1315</v>
      </c>
      <c r="AL178" t="s">
        <v>1354</v>
      </c>
      <c r="BS178" t="s">
        <v>1307</v>
      </c>
      <c r="CE178" t="s">
        <v>1355</v>
      </c>
      <c r="CF178" t="s">
        <v>1309</v>
      </c>
      <c r="CG178" t="s">
        <v>1309</v>
      </c>
      <c r="CH178" t="s">
        <v>1309</v>
      </c>
      <c r="CI178" t="s">
        <v>1309</v>
      </c>
      <c r="CJ178" t="s">
        <v>1309</v>
      </c>
      <c r="CK178" t="s">
        <v>1309</v>
      </c>
      <c r="CL178" t="s">
        <v>1309</v>
      </c>
      <c r="CM178" t="s">
        <v>1309</v>
      </c>
      <c r="CN178" t="s">
        <v>1310</v>
      </c>
      <c r="CO178" t="s">
        <v>1309</v>
      </c>
      <c r="CP178" t="s">
        <v>1309</v>
      </c>
      <c r="CQ178" t="s">
        <v>1309</v>
      </c>
      <c r="CR178" t="s">
        <v>1309</v>
      </c>
      <c r="CT178" t="s">
        <v>4436</v>
      </c>
      <c r="CV178" t="s">
        <v>1308</v>
      </c>
      <c r="CW178" t="s">
        <v>1310</v>
      </c>
      <c r="CX178" t="s">
        <v>1309</v>
      </c>
      <c r="CY178" t="s">
        <v>1309</v>
      </c>
      <c r="CZ178" t="s">
        <v>1309</v>
      </c>
      <c r="DA178" t="s">
        <v>1309</v>
      </c>
      <c r="DB178" t="s">
        <v>1309</v>
      </c>
      <c r="DC178" t="s">
        <v>1309</v>
      </c>
      <c r="DE178" t="s">
        <v>1358</v>
      </c>
      <c r="DF178" t="s">
        <v>1319</v>
      </c>
      <c r="DG178">
        <v>150</v>
      </c>
      <c r="DH178">
        <v>1000</v>
      </c>
      <c r="DI178">
        <v>250</v>
      </c>
      <c r="DJ178" t="s">
        <v>1358</v>
      </c>
      <c r="DK178">
        <v>150</v>
      </c>
      <c r="DL178">
        <v>1000</v>
      </c>
      <c r="DM178">
        <v>250</v>
      </c>
      <c r="DN178" t="s">
        <v>1584</v>
      </c>
      <c r="DO178" t="s">
        <v>1310</v>
      </c>
      <c r="DP178" t="s">
        <v>1309</v>
      </c>
      <c r="DQ178" t="s">
        <v>1309</v>
      </c>
      <c r="DR178" t="s">
        <v>1309</v>
      </c>
      <c r="DS178" t="s">
        <v>1310</v>
      </c>
      <c r="DT178" t="s">
        <v>1310</v>
      </c>
      <c r="DU178" t="s">
        <v>1309</v>
      </c>
      <c r="DV178" t="s">
        <v>1309</v>
      </c>
      <c r="DW178" t="s">
        <v>1309</v>
      </c>
      <c r="DY178" t="s">
        <v>1481</v>
      </c>
      <c r="DZ178">
        <v>300</v>
      </c>
      <c r="EA178" t="s">
        <v>1386</v>
      </c>
      <c r="EC178" t="s">
        <v>1854</v>
      </c>
      <c r="ED178">
        <v>1000</v>
      </c>
      <c r="EE178" t="s">
        <v>1386</v>
      </c>
      <c r="EG178" t="s">
        <v>5356</v>
      </c>
      <c r="EI178" t="s">
        <v>1307</v>
      </c>
      <c r="ET178" t="s">
        <v>1307</v>
      </c>
      <c r="EV178" t="s">
        <v>1307</v>
      </c>
      <c r="EX178" t="s">
        <v>1319</v>
      </c>
      <c r="EY178" t="s">
        <v>1319</v>
      </c>
      <c r="EZ178" t="s">
        <v>1319</v>
      </c>
      <c r="FA178" t="s">
        <v>2229</v>
      </c>
      <c r="FB178" t="s">
        <v>1309</v>
      </c>
      <c r="FC178" t="s">
        <v>1309</v>
      </c>
      <c r="FD178" t="s">
        <v>1310</v>
      </c>
      <c r="FE178" t="s">
        <v>1309</v>
      </c>
      <c r="FF178" t="s">
        <v>1309</v>
      </c>
      <c r="FG178" t="s">
        <v>1309</v>
      </c>
      <c r="FH178" t="s">
        <v>1310</v>
      </c>
      <c r="FI178" t="s">
        <v>1310</v>
      </c>
      <c r="FJ178" t="s">
        <v>1309</v>
      </c>
      <c r="FK178" t="s">
        <v>1309</v>
      </c>
      <c r="FL178" t="s">
        <v>1309</v>
      </c>
      <c r="FM178" t="s">
        <v>1309</v>
      </c>
      <c r="FN178" t="s">
        <v>1310</v>
      </c>
      <c r="FO178" t="s">
        <v>1309</v>
      </c>
      <c r="FP178" t="s">
        <v>1309</v>
      </c>
      <c r="FQ178" t="s">
        <v>1309</v>
      </c>
      <c r="FR178" t="s">
        <v>1309</v>
      </c>
      <c r="FT178" t="s">
        <v>1307</v>
      </c>
      <c r="GI178" t="s">
        <v>1324</v>
      </c>
      <c r="GJ178" t="s">
        <v>1324</v>
      </c>
      <c r="GT178" t="s">
        <v>1325</v>
      </c>
      <c r="GU178" t="s">
        <v>1310</v>
      </c>
      <c r="GV178" t="s">
        <v>1309</v>
      </c>
      <c r="GW178" t="s">
        <v>1309</v>
      </c>
      <c r="GX178" t="s">
        <v>1309</v>
      </c>
      <c r="GY178" t="s">
        <v>1309</v>
      </c>
      <c r="GZ178" t="s">
        <v>1309</v>
      </c>
      <c r="HA178" t="s">
        <v>1309</v>
      </c>
      <c r="HB178" t="s">
        <v>1309</v>
      </c>
      <c r="HC178" t="s">
        <v>1309</v>
      </c>
      <c r="HD178" t="s">
        <v>1309</v>
      </c>
      <c r="HE178" t="s">
        <v>1309</v>
      </c>
      <c r="HF178" t="s">
        <v>1309</v>
      </c>
      <c r="HH178" t="s">
        <v>1390</v>
      </c>
      <c r="HI178" t="s">
        <v>1390</v>
      </c>
      <c r="HJ178" t="s">
        <v>1363</v>
      </c>
      <c r="HK178" t="s">
        <v>1327</v>
      </c>
      <c r="HL178" t="s">
        <v>1328</v>
      </c>
      <c r="HM178" t="s">
        <v>1390</v>
      </c>
      <c r="HN178" t="s">
        <v>1435</v>
      </c>
      <c r="HO178" t="s">
        <v>1309</v>
      </c>
      <c r="HP178" t="s">
        <v>1310</v>
      </c>
      <c r="HQ178" t="s">
        <v>1309</v>
      </c>
      <c r="HR178" t="s">
        <v>1309</v>
      </c>
      <c r="HS178" t="s">
        <v>1309</v>
      </c>
      <c r="HT178" t="s">
        <v>1309</v>
      </c>
      <c r="HU178" t="s">
        <v>1309</v>
      </c>
      <c r="HV178" t="s">
        <v>1309</v>
      </c>
      <c r="HW178" t="s">
        <v>1309</v>
      </c>
      <c r="HX178" t="s">
        <v>1309</v>
      </c>
      <c r="HY178" t="s">
        <v>1309</v>
      </c>
      <c r="IA178" t="s">
        <v>1307</v>
      </c>
      <c r="IQ178" t="s">
        <v>1308</v>
      </c>
      <c r="IS178" t="s">
        <v>1316</v>
      </c>
      <c r="JF178" t="s">
        <v>1316</v>
      </c>
      <c r="JG178" t="s">
        <v>1332</v>
      </c>
      <c r="JH178" t="s">
        <v>1309</v>
      </c>
      <c r="JI178" t="s">
        <v>1309</v>
      </c>
      <c r="JJ178" t="s">
        <v>1309</v>
      </c>
      <c r="JK178" t="s">
        <v>1309</v>
      </c>
      <c r="JL178" t="s">
        <v>1310</v>
      </c>
      <c r="JM178" t="s">
        <v>1309</v>
      </c>
      <c r="JN178" t="s">
        <v>1309</v>
      </c>
      <c r="JO178" t="s">
        <v>1309</v>
      </c>
      <c r="JQ178" s="92" t="s">
        <v>2230</v>
      </c>
      <c r="JR178" s="92" t="s">
        <v>2231</v>
      </c>
      <c r="JS178" s="92">
        <v>71</v>
      </c>
      <c r="JT178" s="92" t="s">
        <v>1319</v>
      </c>
      <c r="JU178" s="92" t="s">
        <v>1396</v>
      </c>
      <c r="JV178" s="92" t="s">
        <v>1526</v>
      </c>
      <c r="JW178" s="92" t="s">
        <v>1296</v>
      </c>
      <c r="JX178" s="92" t="s">
        <v>70</v>
      </c>
      <c r="JY178" s="92" t="s">
        <v>1397</v>
      </c>
      <c r="JZ178" s="92" t="s">
        <v>1369</v>
      </c>
      <c r="KA178" s="92" t="s">
        <v>4844</v>
      </c>
      <c r="KB178" s="92" t="s">
        <v>1476</v>
      </c>
      <c r="KC178" s="92" t="s">
        <v>192</v>
      </c>
      <c r="KD178" s="92" t="s">
        <v>4844</v>
      </c>
      <c r="KE178" s="92" t="s">
        <v>5560</v>
      </c>
      <c r="KF178" s="92">
        <v>1400</v>
      </c>
      <c r="KG178" s="92" t="s">
        <v>4439</v>
      </c>
      <c r="KH178" s="92" t="s">
        <v>192</v>
      </c>
      <c r="KI178" s="92" t="s">
        <v>192</v>
      </c>
      <c r="KJ178" s="92" t="s">
        <v>192</v>
      </c>
      <c r="KK178" s="92" t="s">
        <v>192</v>
      </c>
      <c r="KL178" s="92" t="s">
        <v>1440</v>
      </c>
      <c r="KM178" s="92">
        <v>1400</v>
      </c>
      <c r="KN178" s="92" t="s">
        <v>4439</v>
      </c>
      <c r="KO178" s="92" t="s">
        <v>1440</v>
      </c>
      <c r="KP178" s="92" t="s">
        <v>1401</v>
      </c>
      <c r="KQ178" s="92" t="s">
        <v>192</v>
      </c>
      <c r="KR178" s="92"/>
      <c r="KS178" s="92" t="s">
        <v>1343</v>
      </c>
      <c r="KT178" s="92" t="s">
        <v>1402</v>
      </c>
      <c r="KU178" s="92"/>
      <c r="KV178" s="92" t="s">
        <v>1461</v>
      </c>
      <c r="KW178" s="92" t="s">
        <v>1402</v>
      </c>
      <c r="KX178" s="92" t="s">
        <v>1376</v>
      </c>
      <c r="KY178" s="92" t="s">
        <v>1377</v>
      </c>
      <c r="KZ178" s="92" t="s">
        <v>1403</v>
      </c>
      <c r="LA178" s="92" t="s">
        <v>109</v>
      </c>
      <c r="LB178" s="92" t="s">
        <v>109</v>
      </c>
      <c r="LC178" s="92" t="s">
        <v>4439</v>
      </c>
      <c r="LD178" s="92" t="s">
        <v>4439</v>
      </c>
      <c r="LE178" s="92" t="s">
        <v>109</v>
      </c>
      <c r="LF178" s="92" t="s">
        <v>109</v>
      </c>
    </row>
    <row r="179" spans="1:318" x14ac:dyDescent="0.25">
      <c r="A179" t="s">
        <v>2232</v>
      </c>
      <c r="B179" t="s">
        <v>2233</v>
      </c>
      <c r="C179" t="s">
        <v>1304</v>
      </c>
      <c r="D179" t="s">
        <v>1305</v>
      </c>
      <c r="E179" t="s">
        <v>2234</v>
      </c>
      <c r="G179" t="s">
        <v>1319</v>
      </c>
      <c r="H179">
        <v>3</v>
      </c>
      <c r="I179" t="s">
        <v>1358</v>
      </c>
      <c r="J179" t="s">
        <v>1406</v>
      </c>
      <c r="K179" t="s">
        <v>1309</v>
      </c>
      <c r="L179" t="s">
        <v>1310</v>
      </c>
      <c r="M179" t="s">
        <v>1309</v>
      </c>
      <c r="N179" t="s">
        <v>1309</v>
      </c>
      <c r="O179" t="s">
        <v>1309</v>
      </c>
      <c r="P179" t="s">
        <v>1309</v>
      </c>
      <c r="Q179" t="s">
        <v>1309</v>
      </c>
      <c r="R179" t="s">
        <v>1309</v>
      </c>
      <c r="S179">
        <v>1</v>
      </c>
      <c r="U179" t="s">
        <v>1312</v>
      </c>
      <c r="V179" t="s">
        <v>1312</v>
      </c>
      <c r="W179" t="s">
        <v>1312</v>
      </c>
      <c r="X179" t="s">
        <v>1312</v>
      </c>
      <c r="Y179" t="s">
        <v>1312</v>
      </c>
      <c r="Z179" t="s">
        <v>1312</v>
      </c>
      <c r="AC179">
        <v>1</v>
      </c>
      <c r="AD179">
        <v>10000</v>
      </c>
      <c r="AE179">
        <v>8000</v>
      </c>
      <c r="AF179" t="s">
        <v>1351</v>
      </c>
      <c r="AH179" t="s">
        <v>1383</v>
      </c>
      <c r="AJ179" t="s">
        <v>1353</v>
      </c>
      <c r="AL179" t="s">
        <v>1316</v>
      </c>
      <c r="BA179" t="s">
        <v>1316</v>
      </c>
      <c r="BS179" t="s">
        <v>1307</v>
      </c>
      <c r="CE179" t="s">
        <v>1355</v>
      </c>
      <c r="CF179" t="s">
        <v>1309</v>
      </c>
      <c r="CG179" t="s">
        <v>1309</v>
      </c>
      <c r="CH179" t="s">
        <v>1309</v>
      </c>
      <c r="CI179" t="s">
        <v>1309</v>
      </c>
      <c r="CJ179" t="s">
        <v>1309</v>
      </c>
      <c r="CK179" t="s">
        <v>1309</v>
      </c>
      <c r="CL179" t="s">
        <v>1309</v>
      </c>
      <c r="CM179" t="s">
        <v>1309</v>
      </c>
      <c r="CN179" t="s">
        <v>1310</v>
      </c>
      <c r="CO179" t="s">
        <v>1309</v>
      </c>
      <c r="CP179" t="s">
        <v>1309</v>
      </c>
      <c r="CQ179" t="s">
        <v>1309</v>
      </c>
      <c r="CR179" t="s">
        <v>1309</v>
      </c>
      <c r="CT179" t="s">
        <v>4436</v>
      </c>
      <c r="CV179" t="s">
        <v>1308</v>
      </c>
      <c r="CW179" t="s">
        <v>1310</v>
      </c>
      <c r="CX179" t="s">
        <v>1309</v>
      </c>
      <c r="CY179" t="s">
        <v>1309</v>
      </c>
      <c r="CZ179" t="s">
        <v>1309</v>
      </c>
      <c r="DA179" t="s">
        <v>1309</v>
      </c>
      <c r="DB179" t="s">
        <v>1309</v>
      </c>
      <c r="DC179" t="s">
        <v>1309</v>
      </c>
      <c r="DE179" t="s">
        <v>1358</v>
      </c>
      <c r="DF179" t="s">
        <v>1319</v>
      </c>
      <c r="DG179">
        <v>300</v>
      </c>
      <c r="DH179">
        <v>2600</v>
      </c>
      <c r="DI179">
        <v>400</v>
      </c>
      <c r="DJ179" t="s">
        <v>1358</v>
      </c>
      <c r="DK179">
        <v>400</v>
      </c>
      <c r="DL179">
        <v>2600</v>
      </c>
      <c r="DM179">
        <v>300</v>
      </c>
      <c r="DN179" t="s">
        <v>1489</v>
      </c>
      <c r="DO179" t="s">
        <v>1310</v>
      </c>
      <c r="DP179" t="s">
        <v>1310</v>
      </c>
      <c r="DQ179" t="s">
        <v>1309</v>
      </c>
      <c r="DR179" t="s">
        <v>1309</v>
      </c>
      <c r="DS179" t="s">
        <v>1309</v>
      </c>
      <c r="DT179" t="s">
        <v>1310</v>
      </c>
      <c r="DU179" t="s">
        <v>1309</v>
      </c>
      <c r="DV179" t="s">
        <v>1309</v>
      </c>
      <c r="DW179" t="s">
        <v>1309</v>
      </c>
      <c r="DY179" t="s">
        <v>1446</v>
      </c>
      <c r="DZ179">
        <v>800</v>
      </c>
      <c r="EA179" t="s">
        <v>1386</v>
      </c>
      <c r="EC179" t="s">
        <v>1474</v>
      </c>
      <c r="ED179">
        <v>800</v>
      </c>
      <c r="EE179" t="s">
        <v>1386</v>
      </c>
      <c r="EG179" t="s">
        <v>5356</v>
      </c>
      <c r="EI179" t="s">
        <v>1307</v>
      </c>
      <c r="ET179" t="s">
        <v>1434</v>
      </c>
      <c r="EV179" t="s">
        <v>1307</v>
      </c>
      <c r="EX179" t="s">
        <v>1319</v>
      </c>
      <c r="EY179" t="s">
        <v>1307</v>
      </c>
      <c r="EZ179" t="s">
        <v>1319</v>
      </c>
      <c r="FA179" t="s">
        <v>2235</v>
      </c>
      <c r="FB179" t="s">
        <v>1310</v>
      </c>
      <c r="FC179" t="s">
        <v>1310</v>
      </c>
      <c r="FD179" t="s">
        <v>1310</v>
      </c>
      <c r="FE179" t="s">
        <v>1310</v>
      </c>
      <c r="FF179" t="s">
        <v>1310</v>
      </c>
      <c r="FG179" t="s">
        <v>1309</v>
      </c>
      <c r="FH179" t="s">
        <v>1309</v>
      </c>
      <c r="FI179" t="s">
        <v>1310</v>
      </c>
      <c r="FJ179" t="s">
        <v>1309</v>
      </c>
      <c r="FK179" t="s">
        <v>1309</v>
      </c>
      <c r="FL179" t="s">
        <v>1309</v>
      </c>
      <c r="FM179" t="s">
        <v>1309</v>
      </c>
      <c r="FN179" t="s">
        <v>1310</v>
      </c>
      <c r="FO179" t="s">
        <v>1309</v>
      </c>
      <c r="FP179" t="s">
        <v>1309</v>
      </c>
      <c r="FQ179" t="s">
        <v>1309</v>
      </c>
      <c r="FR179" t="s">
        <v>1309</v>
      </c>
      <c r="FT179" t="s">
        <v>1307</v>
      </c>
      <c r="GI179" t="s">
        <v>1324</v>
      </c>
      <c r="GJ179" t="s">
        <v>1324</v>
      </c>
      <c r="GT179" t="s">
        <v>1325</v>
      </c>
      <c r="GU179" t="s">
        <v>1310</v>
      </c>
      <c r="GV179" t="s">
        <v>1309</v>
      </c>
      <c r="GW179" t="s">
        <v>1309</v>
      </c>
      <c r="GX179" t="s">
        <v>1309</v>
      </c>
      <c r="GY179" t="s">
        <v>1309</v>
      </c>
      <c r="GZ179" t="s">
        <v>1309</v>
      </c>
      <c r="HA179" t="s">
        <v>1309</v>
      </c>
      <c r="HB179" t="s">
        <v>1309</v>
      </c>
      <c r="HC179" t="s">
        <v>1309</v>
      </c>
      <c r="HD179" t="s">
        <v>1309</v>
      </c>
      <c r="HE179" t="s">
        <v>1309</v>
      </c>
      <c r="HF179" t="s">
        <v>1309</v>
      </c>
      <c r="HH179" t="s">
        <v>1326</v>
      </c>
      <c r="HI179" t="s">
        <v>1326</v>
      </c>
      <c r="HJ179" t="s">
        <v>1326</v>
      </c>
      <c r="HK179" t="s">
        <v>1327</v>
      </c>
      <c r="HL179" t="s">
        <v>1328</v>
      </c>
      <c r="HM179" t="s">
        <v>1326</v>
      </c>
      <c r="HN179" t="s">
        <v>1435</v>
      </c>
      <c r="HO179" t="s">
        <v>1309</v>
      </c>
      <c r="HP179" t="s">
        <v>1310</v>
      </c>
      <c r="HQ179" t="s">
        <v>1309</v>
      </c>
      <c r="HR179" t="s">
        <v>1309</v>
      </c>
      <c r="HS179" t="s">
        <v>1309</v>
      </c>
      <c r="HT179" t="s">
        <v>1309</v>
      </c>
      <c r="HU179" t="s">
        <v>1309</v>
      </c>
      <c r="HV179" t="s">
        <v>1309</v>
      </c>
      <c r="HW179" t="s">
        <v>1309</v>
      </c>
      <c r="HX179" t="s">
        <v>1309</v>
      </c>
      <c r="HY179" t="s">
        <v>1309</v>
      </c>
      <c r="IA179" t="s">
        <v>1319</v>
      </c>
      <c r="IB179" t="s">
        <v>2236</v>
      </c>
      <c r="IC179" t="s">
        <v>1309</v>
      </c>
      <c r="ID179" t="s">
        <v>1309</v>
      </c>
      <c r="IE179" t="s">
        <v>1309</v>
      </c>
      <c r="IF179" t="s">
        <v>1309</v>
      </c>
      <c r="IG179" t="s">
        <v>1310</v>
      </c>
      <c r="IH179" t="s">
        <v>1309</v>
      </c>
      <c r="II179" t="s">
        <v>1310</v>
      </c>
      <c r="IJ179" t="s">
        <v>1309</v>
      </c>
      <c r="IK179" t="s">
        <v>1310</v>
      </c>
      <c r="IL179" t="s">
        <v>1309</v>
      </c>
      <c r="IM179" t="s">
        <v>1309</v>
      </c>
      <c r="IN179" t="s">
        <v>1309</v>
      </c>
      <c r="IO179" t="s">
        <v>1309</v>
      </c>
      <c r="IQ179" t="s">
        <v>1308</v>
      </c>
      <c r="IS179" t="s">
        <v>1331</v>
      </c>
      <c r="JF179" t="s">
        <v>1331</v>
      </c>
      <c r="JG179" t="s">
        <v>1523</v>
      </c>
      <c r="JH179" t="s">
        <v>1309</v>
      </c>
      <c r="JI179" t="s">
        <v>1309</v>
      </c>
      <c r="JJ179" t="s">
        <v>1309</v>
      </c>
      <c r="JK179" t="s">
        <v>1310</v>
      </c>
      <c r="JL179" t="s">
        <v>1309</v>
      </c>
      <c r="JM179" t="s">
        <v>1309</v>
      </c>
      <c r="JN179" t="s">
        <v>1309</v>
      </c>
      <c r="JO179" t="s">
        <v>1309</v>
      </c>
      <c r="JQ179" s="92" t="s">
        <v>2092</v>
      </c>
      <c r="JR179" s="92" t="s">
        <v>2093</v>
      </c>
      <c r="JS179" s="92">
        <v>44</v>
      </c>
      <c r="JT179" s="92" t="s">
        <v>1319</v>
      </c>
      <c r="JU179" s="92" t="s">
        <v>1396</v>
      </c>
      <c r="JV179" s="92" t="s">
        <v>1368</v>
      </c>
      <c r="JW179" s="92" t="s">
        <v>1296</v>
      </c>
      <c r="JX179" s="92" t="s">
        <v>71</v>
      </c>
      <c r="JY179" s="92" t="s">
        <v>1397</v>
      </c>
      <c r="JZ179" s="92" t="s">
        <v>1337</v>
      </c>
      <c r="KA179" s="92" t="s">
        <v>4845</v>
      </c>
      <c r="KB179" s="92" t="s">
        <v>1415</v>
      </c>
      <c r="KC179" s="92" t="s">
        <v>109</v>
      </c>
      <c r="KD179" s="92" t="s">
        <v>4844</v>
      </c>
      <c r="KE179" s="92" t="s">
        <v>1424</v>
      </c>
      <c r="KF179" s="92">
        <v>3300</v>
      </c>
      <c r="KG179" s="92" t="s">
        <v>4439</v>
      </c>
      <c r="KH179" s="92" t="s">
        <v>192</v>
      </c>
      <c r="KI179" s="92" t="s">
        <v>192</v>
      </c>
      <c r="KJ179" s="92" t="s">
        <v>192</v>
      </c>
      <c r="KK179" s="92" t="s">
        <v>192</v>
      </c>
      <c r="KL179" s="92" t="s">
        <v>1341</v>
      </c>
      <c r="KM179" s="92">
        <v>3300</v>
      </c>
      <c r="KN179" s="92" t="s">
        <v>4439</v>
      </c>
      <c r="KO179" s="92" t="s">
        <v>1341</v>
      </c>
      <c r="KP179" s="92" t="s">
        <v>1401</v>
      </c>
      <c r="KQ179" s="92" t="s">
        <v>192</v>
      </c>
      <c r="KR179" s="92"/>
      <c r="KS179" s="92" t="s">
        <v>1466</v>
      </c>
      <c r="KT179" s="92" t="s">
        <v>1402</v>
      </c>
      <c r="KU179" s="92"/>
      <c r="KV179" s="92" t="s">
        <v>1441</v>
      </c>
      <c r="KW179" s="92" t="s">
        <v>1402</v>
      </c>
      <c r="KX179" s="92" t="s">
        <v>1376</v>
      </c>
      <c r="KY179" s="92" t="s">
        <v>1377</v>
      </c>
      <c r="KZ179" s="92" t="s">
        <v>1403</v>
      </c>
      <c r="LA179" s="92" t="s">
        <v>109</v>
      </c>
      <c r="LB179" s="92" t="s">
        <v>109</v>
      </c>
      <c r="LC179" s="92" t="s">
        <v>4439</v>
      </c>
      <c r="LD179" s="92" t="s">
        <v>4439</v>
      </c>
      <c r="LE179" s="92" t="s">
        <v>192</v>
      </c>
      <c r="LF179" s="92" t="s">
        <v>192</v>
      </c>
    </row>
    <row r="180" spans="1:318" x14ac:dyDescent="0.25">
      <c r="A180" t="s">
        <v>2237</v>
      </c>
      <c r="B180" t="s">
        <v>2238</v>
      </c>
      <c r="C180" t="s">
        <v>1304</v>
      </c>
      <c r="D180" t="s">
        <v>1305</v>
      </c>
      <c r="E180" t="s">
        <v>1306</v>
      </c>
      <c r="G180" t="s">
        <v>1307</v>
      </c>
      <c r="H180">
        <v>4</v>
      </c>
      <c r="I180" t="s">
        <v>1307</v>
      </c>
      <c r="J180" t="s">
        <v>1502</v>
      </c>
      <c r="K180" t="s">
        <v>1310</v>
      </c>
      <c r="L180" t="s">
        <v>1310</v>
      </c>
      <c r="M180" t="s">
        <v>1309</v>
      </c>
      <c r="N180" t="s">
        <v>1309</v>
      </c>
      <c r="O180" t="s">
        <v>1309</v>
      </c>
      <c r="P180" t="s">
        <v>1309</v>
      </c>
      <c r="Q180" t="s">
        <v>1309</v>
      </c>
      <c r="R180" t="s">
        <v>1309</v>
      </c>
      <c r="S180">
        <v>2</v>
      </c>
      <c r="U180" t="s">
        <v>1311</v>
      </c>
      <c r="V180" t="s">
        <v>1312</v>
      </c>
      <c r="W180" t="s">
        <v>1311</v>
      </c>
      <c r="X180" t="s">
        <v>1311</v>
      </c>
      <c r="Y180" t="s">
        <v>1312</v>
      </c>
      <c r="Z180" t="s">
        <v>1312</v>
      </c>
      <c r="AC180">
        <v>1</v>
      </c>
      <c r="AD180">
        <v>8000</v>
      </c>
      <c r="AE180">
        <v>15000</v>
      </c>
      <c r="AF180" t="s">
        <v>1313</v>
      </c>
      <c r="AH180" t="s">
        <v>1314</v>
      </c>
      <c r="AJ180" t="s">
        <v>1315</v>
      </c>
      <c r="AL180" t="s">
        <v>1354</v>
      </c>
      <c r="BS180" t="s">
        <v>1307</v>
      </c>
      <c r="CE180" t="s">
        <v>1355</v>
      </c>
      <c r="CF180" t="s">
        <v>1309</v>
      </c>
      <c r="CG180" t="s">
        <v>1309</v>
      </c>
      <c r="CH180" t="s">
        <v>1309</v>
      </c>
      <c r="CI180" t="s">
        <v>1309</v>
      </c>
      <c r="CJ180" t="s">
        <v>1309</v>
      </c>
      <c r="CK180" t="s">
        <v>1309</v>
      </c>
      <c r="CL180" t="s">
        <v>1309</v>
      </c>
      <c r="CM180" t="s">
        <v>1309</v>
      </c>
      <c r="CN180" t="s">
        <v>1310</v>
      </c>
      <c r="CO180" t="s">
        <v>1309</v>
      </c>
      <c r="CP180" t="s">
        <v>1309</v>
      </c>
      <c r="CQ180" t="s">
        <v>1309</v>
      </c>
      <c r="CR180" t="s">
        <v>1309</v>
      </c>
      <c r="CT180" t="s">
        <v>4435</v>
      </c>
      <c r="CV180" t="s">
        <v>1357</v>
      </c>
      <c r="CW180" t="s">
        <v>1309</v>
      </c>
      <c r="CX180" t="s">
        <v>1309</v>
      </c>
      <c r="CY180" t="s">
        <v>1309</v>
      </c>
      <c r="CZ180" t="s">
        <v>1309</v>
      </c>
      <c r="DA180" t="s">
        <v>1310</v>
      </c>
      <c r="DB180" t="s">
        <v>1309</v>
      </c>
      <c r="DC180" t="s">
        <v>1309</v>
      </c>
      <c r="DE180" t="s">
        <v>1318</v>
      </c>
      <c r="DF180" t="s">
        <v>1319</v>
      </c>
      <c r="DG180">
        <v>250</v>
      </c>
      <c r="DH180">
        <v>1100</v>
      </c>
      <c r="DI180">
        <v>800</v>
      </c>
      <c r="DJ180" t="s">
        <v>1318</v>
      </c>
      <c r="DK180">
        <v>150</v>
      </c>
      <c r="DL180">
        <v>800</v>
      </c>
      <c r="DM180">
        <v>800</v>
      </c>
      <c r="DN180" t="s">
        <v>1320</v>
      </c>
      <c r="DO180" t="s">
        <v>1310</v>
      </c>
      <c r="DP180" t="s">
        <v>1309</v>
      </c>
      <c r="DQ180" t="s">
        <v>1309</v>
      </c>
      <c r="DR180" t="s">
        <v>1309</v>
      </c>
      <c r="DS180" t="s">
        <v>1309</v>
      </c>
      <c r="DT180" t="s">
        <v>1310</v>
      </c>
      <c r="DU180" t="s">
        <v>1309</v>
      </c>
      <c r="DV180" t="s">
        <v>1309</v>
      </c>
      <c r="DW180" t="s">
        <v>1309</v>
      </c>
      <c r="DY180" t="s">
        <v>1456</v>
      </c>
      <c r="DZ180">
        <v>420</v>
      </c>
      <c r="EA180" t="s">
        <v>1319</v>
      </c>
      <c r="EC180" t="s">
        <v>1360</v>
      </c>
      <c r="ED180">
        <v>520</v>
      </c>
      <c r="EE180" t="s">
        <v>1319</v>
      </c>
      <c r="EG180" t="s">
        <v>5356</v>
      </c>
      <c r="EI180" t="s">
        <v>1307</v>
      </c>
      <c r="ET180" t="s">
        <v>1307</v>
      </c>
      <c r="EV180" t="s">
        <v>1319</v>
      </c>
      <c r="EW180" t="s">
        <v>1361</v>
      </c>
      <c r="EX180" t="s">
        <v>1319</v>
      </c>
      <c r="EY180" t="s">
        <v>1319</v>
      </c>
      <c r="FA180" t="s">
        <v>2239</v>
      </c>
      <c r="FB180" t="s">
        <v>1309</v>
      </c>
      <c r="FC180" t="s">
        <v>1309</v>
      </c>
      <c r="FD180" t="s">
        <v>1310</v>
      </c>
      <c r="FE180" t="s">
        <v>1309</v>
      </c>
      <c r="FF180" t="s">
        <v>1309</v>
      </c>
      <c r="FG180" t="s">
        <v>1309</v>
      </c>
      <c r="FH180" t="s">
        <v>1309</v>
      </c>
      <c r="FI180" t="s">
        <v>1310</v>
      </c>
      <c r="FJ180" t="s">
        <v>1309</v>
      </c>
      <c r="FK180" t="s">
        <v>1310</v>
      </c>
      <c r="FL180" t="s">
        <v>1309</v>
      </c>
      <c r="FM180" t="s">
        <v>1309</v>
      </c>
      <c r="FN180" t="s">
        <v>1309</v>
      </c>
      <c r="FO180" t="s">
        <v>1309</v>
      </c>
      <c r="FP180" t="s">
        <v>1309</v>
      </c>
      <c r="FQ180" t="s">
        <v>1309</v>
      </c>
      <c r="FR180" t="s">
        <v>1309</v>
      </c>
      <c r="FT180" t="s">
        <v>1319</v>
      </c>
      <c r="FU180" t="s">
        <v>1649</v>
      </c>
      <c r="FV180" t="s">
        <v>1310</v>
      </c>
      <c r="FW180" t="s">
        <v>1310</v>
      </c>
      <c r="FX180" t="s">
        <v>1309</v>
      </c>
      <c r="FY180" t="s">
        <v>1309</v>
      </c>
      <c r="FZ180" t="s">
        <v>1309</v>
      </c>
      <c r="GA180" t="s">
        <v>1309</v>
      </c>
      <c r="GB180" t="s">
        <v>1309</v>
      </c>
      <c r="GC180" t="s">
        <v>1309</v>
      </c>
      <c r="GD180" t="s">
        <v>1309</v>
      </c>
      <c r="GE180" t="s">
        <v>1309</v>
      </c>
      <c r="GF180" t="s">
        <v>1309</v>
      </c>
      <c r="GG180" t="s">
        <v>1309</v>
      </c>
      <c r="GI180" t="s">
        <v>1436</v>
      </c>
      <c r="GJ180" t="s">
        <v>1436</v>
      </c>
      <c r="GK180" t="s">
        <v>1319</v>
      </c>
      <c r="GL180" t="s">
        <v>1619</v>
      </c>
      <c r="GM180" t="s">
        <v>1310</v>
      </c>
      <c r="GN180" t="s">
        <v>1309</v>
      </c>
      <c r="GO180" t="s">
        <v>1309</v>
      </c>
      <c r="GP180" t="s">
        <v>1309</v>
      </c>
      <c r="GQ180" t="s">
        <v>1309</v>
      </c>
      <c r="GR180" t="s">
        <v>1309</v>
      </c>
      <c r="GT180" t="s">
        <v>1325</v>
      </c>
      <c r="GU180" t="s">
        <v>1310</v>
      </c>
      <c r="GV180" t="s">
        <v>1309</v>
      </c>
      <c r="GW180" t="s">
        <v>1309</v>
      </c>
      <c r="GX180" t="s">
        <v>1309</v>
      </c>
      <c r="GY180" t="s">
        <v>1309</v>
      </c>
      <c r="GZ180" t="s">
        <v>1309</v>
      </c>
      <c r="HA180" t="s">
        <v>1309</v>
      </c>
      <c r="HB180" t="s">
        <v>1309</v>
      </c>
      <c r="HC180" t="s">
        <v>1309</v>
      </c>
      <c r="HD180" t="s">
        <v>1309</v>
      </c>
      <c r="HE180" t="s">
        <v>1309</v>
      </c>
      <c r="HF180" t="s">
        <v>1309</v>
      </c>
      <c r="HH180" t="s">
        <v>1308</v>
      </c>
      <c r="HI180" t="s">
        <v>1327</v>
      </c>
      <c r="HJ180" t="s">
        <v>1308</v>
      </c>
      <c r="HK180" t="s">
        <v>1327</v>
      </c>
      <c r="HL180" t="s">
        <v>1437</v>
      </c>
      <c r="HM180" t="s">
        <v>1326</v>
      </c>
      <c r="HN180" t="s">
        <v>1549</v>
      </c>
      <c r="HO180" t="s">
        <v>1310</v>
      </c>
      <c r="HP180" t="s">
        <v>1310</v>
      </c>
      <c r="HQ180" t="s">
        <v>1309</v>
      </c>
      <c r="HR180" t="s">
        <v>1309</v>
      </c>
      <c r="HS180" t="s">
        <v>1309</v>
      </c>
      <c r="HT180" t="s">
        <v>1309</v>
      </c>
      <c r="HU180" t="s">
        <v>1309</v>
      </c>
      <c r="HV180" t="s">
        <v>1309</v>
      </c>
      <c r="HW180" t="s">
        <v>1309</v>
      </c>
      <c r="HX180" t="s">
        <v>1309</v>
      </c>
      <c r="HY180" t="s">
        <v>1309</v>
      </c>
      <c r="IA180" t="s">
        <v>1307</v>
      </c>
      <c r="IQ180" t="s">
        <v>1308</v>
      </c>
      <c r="IS180" t="s">
        <v>1316</v>
      </c>
      <c r="JF180" t="s">
        <v>1450</v>
      </c>
      <c r="JG180" t="s">
        <v>2240</v>
      </c>
      <c r="JH180" t="s">
        <v>1310</v>
      </c>
      <c r="JI180" t="s">
        <v>1310</v>
      </c>
      <c r="JJ180" t="s">
        <v>1310</v>
      </c>
      <c r="JK180" t="s">
        <v>1310</v>
      </c>
      <c r="JL180" t="s">
        <v>1309</v>
      </c>
      <c r="JM180" t="s">
        <v>1309</v>
      </c>
      <c r="JN180" t="s">
        <v>1309</v>
      </c>
      <c r="JO180" t="s">
        <v>1309</v>
      </c>
      <c r="JQ180" s="92" t="s">
        <v>1524</v>
      </c>
      <c r="JR180" s="92" t="s">
        <v>1525</v>
      </c>
      <c r="JS180" s="92">
        <v>35</v>
      </c>
      <c r="JT180" s="92" t="s">
        <v>1319</v>
      </c>
      <c r="JU180" s="92" t="s">
        <v>1335</v>
      </c>
      <c r="JV180" s="92" t="s">
        <v>1526</v>
      </c>
      <c r="JW180" s="92" t="s">
        <v>1296</v>
      </c>
      <c r="JX180" s="92" t="s">
        <v>71</v>
      </c>
      <c r="JY180" s="92" t="s">
        <v>5549</v>
      </c>
      <c r="JZ180" s="92" t="s">
        <v>1337</v>
      </c>
      <c r="KA180" s="92" t="s">
        <v>4845</v>
      </c>
      <c r="KB180" s="92" t="s">
        <v>1415</v>
      </c>
      <c r="KC180" s="92" t="s">
        <v>109</v>
      </c>
      <c r="KD180" s="92" t="s">
        <v>4844</v>
      </c>
      <c r="KE180" s="92" t="s">
        <v>1424</v>
      </c>
      <c r="KF180" s="92">
        <v>2150</v>
      </c>
      <c r="KG180" s="92" t="s">
        <v>4439</v>
      </c>
      <c r="KH180" s="92" t="s">
        <v>192</v>
      </c>
      <c r="KI180" s="92" t="s">
        <v>192</v>
      </c>
      <c r="KJ180" s="92" t="s">
        <v>192</v>
      </c>
      <c r="KK180" s="92" t="s">
        <v>192</v>
      </c>
      <c r="KL180" s="92" t="s">
        <v>1425</v>
      </c>
      <c r="KM180" s="92">
        <v>1750</v>
      </c>
      <c r="KN180" s="92" t="s">
        <v>4438</v>
      </c>
      <c r="KO180" s="92" t="s">
        <v>1440</v>
      </c>
      <c r="KP180" s="92" t="s">
        <v>1375</v>
      </c>
      <c r="KQ180" s="92" t="s">
        <v>192</v>
      </c>
      <c r="KR180" s="92">
        <v>20</v>
      </c>
      <c r="KS180" s="92" t="s">
        <v>1343</v>
      </c>
      <c r="KT180" s="92" t="s">
        <v>1344</v>
      </c>
      <c r="KU180" s="92">
        <v>30</v>
      </c>
      <c r="KV180" s="92" t="s">
        <v>1345</v>
      </c>
      <c r="KW180" s="92" t="s">
        <v>1344</v>
      </c>
      <c r="KX180" s="92" t="s">
        <v>1376</v>
      </c>
      <c r="KY180" s="92" t="s">
        <v>1377</v>
      </c>
      <c r="KZ180" s="92" t="s">
        <v>5795</v>
      </c>
      <c r="LA180" s="92" t="s">
        <v>109</v>
      </c>
      <c r="LB180" s="92" t="s">
        <v>109</v>
      </c>
      <c r="LC180" s="92" t="s">
        <v>4438</v>
      </c>
      <c r="LD180" s="92" t="s">
        <v>1372</v>
      </c>
      <c r="LE180" s="92" t="s">
        <v>192</v>
      </c>
      <c r="LF180" s="92" t="s">
        <v>192</v>
      </c>
    </row>
    <row r="181" spans="1:318" x14ac:dyDescent="0.25">
      <c r="A181" t="s">
        <v>2241</v>
      </c>
      <c r="B181" t="s">
        <v>2242</v>
      </c>
      <c r="C181" t="s">
        <v>1304</v>
      </c>
      <c r="D181" t="s">
        <v>1305</v>
      </c>
      <c r="E181" t="s">
        <v>1381</v>
      </c>
      <c r="G181" t="s">
        <v>1319</v>
      </c>
      <c r="H181">
        <v>3</v>
      </c>
      <c r="I181" t="s">
        <v>1358</v>
      </c>
      <c r="J181" t="s">
        <v>1715</v>
      </c>
      <c r="K181" t="s">
        <v>1309</v>
      </c>
      <c r="L181" t="s">
        <v>1310</v>
      </c>
      <c r="M181" t="s">
        <v>1309</v>
      </c>
      <c r="N181" t="s">
        <v>1309</v>
      </c>
      <c r="O181" t="s">
        <v>1310</v>
      </c>
      <c r="P181" t="s">
        <v>1309</v>
      </c>
      <c r="Q181" t="s">
        <v>1309</v>
      </c>
      <c r="R181" t="s">
        <v>1309</v>
      </c>
      <c r="S181">
        <v>1</v>
      </c>
      <c r="U181" t="s">
        <v>1312</v>
      </c>
      <c r="V181" t="s">
        <v>1312</v>
      </c>
      <c r="W181" t="s">
        <v>1312</v>
      </c>
      <c r="X181" t="s">
        <v>1311</v>
      </c>
      <c r="Y181" t="s">
        <v>1312</v>
      </c>
      <c r="Z181" t="s">
        <v>1312</v>
      </c>
      <c r="AC181">
        <v>1</v>
      </c>
      <c r="AD181">
        <v>2000</v>
      </c>
      <c r="AE181">
        <v>10000</v>
      </c>
      <c r="AF181" t="s">
        <v>1313</v>
      </c>
      <c r="AH181" t="s">
        <v>1383</v>
      </c>
      <c r="AJ181" t="s">
        <v>1315</v>
      </c>
      <c r="AL181" t="s">
        <v>1316</v>
      </c>
      <c r="BS181" t="s">
        <v>1307</v>
      </c>
      <c r="CE181" t="s">
        <v>1590</v>
      </c>
      <c r="CF181" t="s">
        <v>1310</v>
      </c>
      <c r="CG181" t="s">
        <v>1309</v>
      </c>
      <c r="CH181" t="s">
        <v>1309</v>
      </c>
      <c r="CI181" t="s">
        <v>1309</v>
      </c>
      <c r="CJ181" t="s">
        <v>1309</v>
      </c>
      <c r="CK181" t="s">
        <v>1309</v>
      </c>
      <c r="CL181" t="s">
        <v>1309</v>
      </c>
      <c r="CM181" t="s">
        <v>1309</v>
      </c>
      <c r="CN181" t="s">
        <v>1310</v>
      </c>
      <c r="CO181" t="s">
        <v>1309</v>
      </c>
      <c r="CP181" t="s">
        <v>1309</v>
      </c>
      <c r="CQ181" t="s">
        <v>1309</v>
      </c>
      <c r="CR181" t="s">
        <v>1309</v>
      </c>
      <c r="CT181" t="s">
        <v>4435</v>
      </c>
      <c r="CV181" t="s">
        <v>1357</v>
      </c>
      <c r="CW181" t="s">
        <v>1309</v>
      </c>
      <c r="CX181" t="s">
        <v>1309</v>
      </c>
      <c r="CY181" t="s">
        <v>1309</v>
      </c>
      <c r="CZ181" t="s">
        <v>1309</v>
      </c>
      <c r="DA181" t="s">
        <v>1310</v>
      </c>
      <c r="DB181" t="s">
        <v>1309</v>
      </c>
      <c r="DC181" t="s">
        <v>1309</v>
      </c>
      <c r="DE181" t="s">
        <v>1358</v>
      </c>
      <c r="DF181" t="s">
        <v>1307</v>
      </c>
      <c r="DH181">
        <v>1000</v>
      </c>
      <c r="DI181">
        <v>600</v>
      </c>
      <c r="DJ181" t="s">
        <v>1358</v>
      </c>
      <c r="DL181">
        <v>1500</v>
      </c>
      <c r="DM181">
        <v>700</v>
      </c>
      <c r="DN181" t="s">
        <v>1521</v>
      </c>
      <c r="DO181" t="s">
        <v>1309</v>
      </c>
      <c r="DP181" t="s">
        <v>1310</v>
      </c>
      <c r="DQ181" t="s">
        <v>1309</v>
      </c>
      <c r="DR181" t="s">
        <v>1309</v>
      </c>
      <c r="DS181" t="s">
        <v>1309</v>
      </c>
      <c r="DT181" t="s">
        <v>1310</v>
      </c>
      <c r="DU181" t="s">
        <v>1309</v>
      </c>
      <c r="DV181" t="s">
        <v>1309</v>
      </c>
      <c r="DW181" t="s">
        <v>1309</v>
      </c>
      <c r="DY181" t="s">
        <v>1456</v>
      </c>
      <c r="DZ181">
        <v>370</v>
      </c>
      <c r="EA181" t="s">
        <v>1386</v>
      </c>
      <c r="EC181" t="s">
        <v>1457</v>
      </c>
      <c r="ED181">
        <v>800</v>
      </c>
      <c r="EE181" t="s">
        <v>1319</v>
      </c>
      <c r="EG181" t="s">
        <v>5356</v>
      </c>
      <c r="EI181" t="s">
        <v>1307</v>
      </c>
      <c r="ET181" t="s">
        <v>1307</v>
      </c>
      <c r="EV181" t="s">
        <v>1307</v>
      </c>
      <c r="EX181" t="s">
        <v>1319</v>
      </c>
      <c r="FA181" t="s">
        <v>1924</v>
      </c>
      <c r="FB181" t="s">
        <v>1309</v>
      </c>
      <c r="FC181" t="s">
        <v>1309</v>
      </c>
      <c r="FD181" t="s">
        <v>1309</v>
      </c>
      <c r="FE181" t="s">
        <v>1309</v>
      </c>
      <c r="FF181" t="s">
        <v>1309</v>
      </c>
      <c r="FG181" t="s">
        <v>1310</v>
      </c>
      <c r="FH181" t="s">
        <v>1309</v>
      </c>
      <c r="FI181" t="s">
        <v>1310</v>
      </c>
      <c r="FJ181" t="s">
        <v>1309</v>
      </c>
      <c r="FK181" t="s">
        <v>1309</v>
      </c>
      <c r="FL181" t="s">
        <v>1309</v>
      </c>
      <c r="FM181" t="s">
        <v>1309</v>
      </c>
      <c r="FN181" t="s">
        <v>1309</v>
      </c>
      <c r="FO181" t="s">
        <v>1309</v>
      </c>
      <c r="FP181" t="s">
        <v>1309</v>
      </c>
      <c r="FQ181" t="s">
        <v>1309</v>
      </c>
      <c r="FR181" t="s">
        <v>1309</v>
      </c>
      <c r="FT181" t="s">
        <v>1319</v>
      </c>
      <c r="FU181" t="s">
        <v>1635</v>
      </c>
      <c r="FV181" t="s">
        <v>1310</v>
      </c>
      <c r="FW181" t="s">
        <v>1309</v>
      </c>
      <c r="FX181" t="s">
        <v>1309</v>
      </c>
      <c r="FY181" t="s">
        <v>1309</v>
      </c>
      <c r="FZ181" t="s">
        <v>1309</v>
      </c>
      <c r="GA181" t="s">
        <v>1310</v>
      </c>
      <c r="GB181" t="s">
        <v>1309</v>
      </c>
      <c r="GC181" t="s">
        <v>1309</v>
      </c>
      <c r="GD181" t="s">
        <v>1309</v>
      </c>
      <c r="GE181" t="s">
        <v>1309</v>
      </c>
      <c r="GF181" t="s">
        <v>1309</v>
      </c>
      <c r="GG181" t="s">
        <v>1309</v>
      </c>
      <c r="GI181" t="s">
        <v>1324</v>
      </c>
      <c r="GJ181" t="s">
        <v>1324</v>
      </c>
      <c r="GT181" t="s">
        <v>1325</v>
      </c>
      <c r="GU181" t="s">
        <v>1310</v>
      </c>
      <c r="GV181" t="s">
        <v>1309</v>
      </c>
      <c r="GW181" t="s">
        <v>1309</v>
      </c>
      <c r="GX181" t="s">
        <v>1309</v>
      </c>
      <c r="GY181" t="s">
        <v>1309</v>
      </c>
      <c r="GZ181" t="s">
        <v>1309</v>
      </c>
      <c r="HA181" t="s">
        <v>1309</v>
      </c>
      <c r="HB181" t="s">
        <v>1309</v>
      </c>
      <c r="HC181" t="s">
        <v>1309</v>
      </c>
      <c r="HD181" t="s">
        <v>1309</v>
      </c>
      <c r="HE181" t="s">
        <v>1309</v>
      </c>
      <c r="HF181" t="s">
        <v>1309</v>
      </c>
      <c r="HH181" t="s">
        <v>1390</v>
      </c>
      <c r="HI181" t="s">
        <v>1390</v>
      </c>
      <c r="HJ181" t="s">
        <v>1390</v>
      </c>
      <c r="HK181" t="s">
        <v>1390</v>
      </c>
      <c r="HL181" t="s">
        <v>1364</v>
      </c>
      <c r="HM181" t="s">
        <v>1390</v>
      </c>
      <c r="IA181" t="s">
        <v>1414</v>
      </c>
      <c r="IQ181" t="s">
        <v>1330</v>
      </c>
      <c r="IS181" t="s">
        <v>1316</v>
      </c>
      <c r="JF181" t="s">
        <v>1316</v>
      </c>
      <c r="JG181" t="s">
        <v>1451</v>
      </c>
      <c r="JH181" t="s">
        <v>1310</v>
      </c>
      <c r="JI181" t="s">
        <v>1309</v>
      </c>
      <c r="JJ181" t="s">
        <v>1309</v>
      </c>
      <c r="JK181" t="s">
        <v>1310</v>
      </c>
      <c r="JL181" t="s">
        <v>1309</v>
      </c>
      <c r="JM181" t="s">
        <v>1309</v>
      </c>
      <c r="JN181" t="s">
        <v>1309</v>
      </c>
      <c r="JO181" t="s">
        <v>1309</v>
      </c>
      <c r="JQ181" s="92" t="s">
        <v>1333</v>
      </c>
      <c r="JR181" s="92" t="s">
        <v>1334</v>
      </c>
      <c r="JS181" s="92">
        <v>40</v>
      </c>
      <c r="JT181" s="92" t="s">
        <v>1319</v>
      </c>
      <c r="JU181" s="92" t="s">
        <v>1396</v>
      </c>
      <c r="JV181" s="92" t="s">
        <v>1336</v>
      </c>
      <c r="JW181" s="92" t="s">
        <v>1296</v>
      </c>
      <c r="JX181" s="92" t="s">
        <v>71</v>
      </c>
      <c r="JY181" s="92" t="s">
        <v>1397</v>
      </c>
      <c r="JZ181" s="92" t="s">
        <v>1337</v>
      </c>
      <c r="KA181" s="92" t="s">
        <v>4845</v>
      </c>
      <c r="KB181" s="92" t="s">
        <v>1415</v>
      </c>
      <c r="KC181" s="92" t="s">
        <v>109</v>
      </c>
      <c r="KD181" s="92" t="s">
        <v>4844</v>
      </c>
      <c r="KE181" s="92" t="s">
        <v>5561</v>
      </c>
      <c r="KF181" s="92">
        <v>1600</v>
      </c>
      <c r="KG181" s="92" t="s">
        <v>1426</v>
      </c>
      <c r="KH181" s="92" t="s">
        <v>109</v>
      </c>
      <c r="KI181" s="92" t="s">
        <v>192</v>
      </c>
      <c r="KJ181" s="92" t="s">
        <v>109</v>
      </c>
      <c r="KK181" s="92" t="s">
        <v>192</v>
      </c>
      <c r="KL181" s="92" t="s">
        <v>1440</v>
      </c>
      <c r="KM181" s="92">
        <v>2200</v>
      </c>
      <c r="KN181" s="92" t="s">
        <v>1426</v>
      </c>
      <c r="KO181" s="92" t="s">
        <v>1425</v>
      </c>
      <c r="KP181" s="92" t="s">
        <v>1375</v>
      </c>
      <c r="KQ181" s="92" t="s">
        <v>109</v>
      </c>
      <c r="KR181" s="92">
        <v>23</v>
      </c>
      <c r="KS181" s="92" t="s">
        <v>1343</v>
      </c>
      <c r="KT181" s="92" t="s">
        <v>1402</v>
      </c>
      <c r="KU181" s="92">
        <v>36</v>
      </c>
      <c r="KV181" s="92" t="s">
        <v>1441</v>
      </c>
      <c r="KW181" s="92" t="s">
        <v>1344</v>
      </c>
      <c r="KX181" s="92" t="s">
        <v>1376</v>
      </c>
      <c r="KY181" s="92" t="s">
        <v>1377</v>
      </c>
      <c r="KZ181" s="92" t="s">
        <v>1403</v>
      </c>
      <c r="LA181" s="92" t="s">
        <v>109</v>
      </c>
      <c r="LB181" s="92" t="s">
        <v>109</v>
      </c>
      <c r="LC181" s="92" t="s">
        <v>4438</v>
      </c>
      <c r="LD181" s="92" t="s">
        <v>4438</v>
      </c>
      <c r="LE181" s="92" t="s">
        <v>192</v>
      </c>
      <c r="LF181" s="92" t="s">
        <v>192</v>
      </c>
    </row>
    <row r="182" spans="1:318" x14ac:dyDescent="0.25">
      <c r="A182" t="s">
        <v>2243</v>
      </c>
      <c r="B182" t="s">
        <v>2244</v>
      </c>
      <c r="C182" t="s">
        <v>1304</v>
      </c>
      <c r="D182" t="s">
        <v>1305</v>
      </c>
      <c r="E182" t="s">
        <v>1381</v>
      </c>
      <c r="G182" t="s">
        <v>1319</v>
      </c>
      <c r="H182">
        <v>2</v>
      </c>
      <c r="I182" t="s">
        <v>1358</v>
      </c>
      <c r="J182" t="s">
        <v>1891</v>
      </c>
      <c r="K182" t="s">
        <v>1309</v>
      </c>
      <c r="L182" t="s">
        <v>1309</v>
      </c>
      <c r="M182" t="s">
        <v>1310</v>
      </c>
      <c r="N182" t="s">
        <v>1309</v>
      </c>
      <c r="O182" t="s">
        <v>1310</v>
      </c>
      <c r="P182" t="s">
        <v>1309</v>
      </c>
      <c r="Q182" t="s">
        <v>1309</v>
      </c>
      <c r="R182" t="s">
        <v>1309</v>
      </c>
      <c r="T182">
        <v>2</v>
      </c>
      <c r="U182" t="s">
        <v>1455</v>
      </c>
      <c r="V182" t="s">
        <v>1312</v>
      </c>
      <c r="W182" t="s">
        <v>1311</v>
      </c>
      <c r="X182" t="s">
        <v>1312</v>
      </c>
      <c r="Y182" t="s">
        <v>1312</v>
      </c>
      <c r="Z182" t="s">
        <v>1312</v>
      </c>
      <c r="AC182">
        <v>2</v>
      </c>
      <c r="AD182">
        <v>8000</v>
      </c>
      <c r="AE182">
        <v>3500</v>
      </c>
      <c r="AF182" t="s">
        <v>1313</v>
      </c>
      <c r="AH182" t="s">
        <v>1383</v>
      </c>
      <c r="AJ182" t="s">
        <v>1353</v>
      </c>
      <c r="AL182" t="s">
        <v>1354</v>
      </c>
      <c r="BA182" t="s">
        <v>1316</v>
      </c>
      <c r="BS182" t="s">
        <v>1307</v>
      </c>
      <c r="CE182" t="s">
        <v>1414</v>
      </c>
      <c r="CF182" t="s">
        <v>1309</v>
      </c>
      <c r="CG182" t="s">
        <v>1309</v>
      </c>
      <c r="CH182" t="s">
        <v>1309</v>
      </c>
      <c r="CI182" t="s">
        <v>1309</v>
      </c>
      <c r="CJ182" t="s">
        <v>1309</v>
      </c>
      <c r="CK182" t="s">
        <v>1309</v>
      </c>
      <c r="CL182" t="s">
        <v>1309</v>
      </c>
      <c r="CM182" t="s">
        <v>1309</v>
      </c>
      <c r="CN182" t="s">
        <v>1309</v>
      </c>
      <c r="CO182" t="s">
        <v>1309</v>
      </c>
      <c r="CP182" t="s">
        <v>1309</v>
      </c>
      <c r="CQ182" t="s">
        <v>1310</v>
      </c>
      <c r="CR182" t="s">
        <v>1309</v>
      </c>
      <c r="CT182" t="s">
        <v>4434</v>
      </c>
      <c r="CV182" t="s">
        <v>1308</v>
      </c>
      <c r="CW182" t="s">
        <v>1310</v>
      </c>
      <c r="CX182" t="s">
        <v>1309</v>
      </c>
      <c r="CY182" t="s">
        <v>1309</v>
      </c>
      <c r="CZ182" t="s">
        <v>1309</v>
      </c>
      <c r="DA182" t="s">
        <v>1309</v>
      </c>
      <c r="DB182" t="s">
        <v>1309</v>
      </c>
      <c r="DC182" t="s">
        <v>1309</v>
      </c>
      <c r="DE182" t="s">
        <v>1358</v>
      </c>
      <c r="DG182">
        <v>650</v>
      </c>
      <c r="DI182">
        <v>300</v>
      </c>
      <c r="DJ182" t="s">
        <v>1358</v>
      </c>
      <c r="DK182">
        <v>1100</v>
      </c>
      <c r="DM182">
        <v>300</v>
      </c>
      <c r="DN182" t="s">
        <v>1676</v>
      </c>
      <c r="DO182" t="s">
        <v>1309</v>
      </c>
      <c r="DP182" t="s">
        <v>1309</v>
      </c>
      <c r="DQ182" t="s">
        <v>1309</v>
      </c>
      <c r="DR182" t="s">
        <v>1309</v>
      </c>
      <c r="DS182" t="s">
        <v>1310</v>
      </c>
      <c r="DT182" t="s">
        <v>1310</v>
      </c>
      <c r="DU182" t="s">
        <v>1309</v>
      </c>
      <c r="DV182" t="s">
        <v>1309</v>
      </c>
      <c r="DW182" t="s">
        <v>1309</v>
      </c>
      <c r="DY182" t="s">
        <v>1456</v>
      </c>
      <c r="DZ182">
        <v>300</v>
      </c>
      <c r="EA182" t="s">
        <v>1319</v>
      </c>
      <c r="EC182" t="s">
        <v>1420</v>
      </c>
      <c r="ED182">
        <v>800</v>
      </c>
      <c r="EE182" t="s">
        <v>1319</v>
      </c>
      <c r="EG182" t="s">
        <v>5356</v>
      </c>
      <c r="EI182" t="s">
        <v>1307</v>
      </c>
      <c r="ET182" t="s">
        <v>1307</v>
      </c>
      <c r="EV182" t="s">
        <v>1319</v>
      </c>
      <c r="EW182" t="s">
        <v>1361</v>
      </c>
      <c r="EX182" t="s">
        <v>1307</v>
      </c>
      <c r="EY182" t="s">
        <v>1307</v>
      </c>
      <c r="FT182" t="s">
        <v>1307</v>
      </c>
      <c r="GI182" t="s">
        <v>1324</v>
      </c>
      <c r="GJ182" t="s">
        <v>1324</v>
      </c>
      <c r="GT182" t="s">
        <v>1325</v>
      </c>
      <c r="GU182" t="s">
        <v>1310</v>
      </c>
      <c r="GV182" t="s">
        <v>1309</v>
      </c>
      <c r="GW182" t="s">
        <v>1309</v>
      </c>
      <c r="GX182" t="s">
        <v>1309</v>
      </c>
      <c r="GY182" t="s">
        <v>1309</v>
      </c>
      <c r="GZ182" t="s">
        <v>1309</v>
      </c>
      <c r="HA182" t="s">
        <v>1309</v>
      </c>
      <c r="HB182" t="s">
        <v>1309</v>
      </c>
      <c r="HC182" t="s">
        <v>1309</v>
      </c>
      <c r="HD182" t="s">
        <v>1309</v>
      </c>
      <c r="HE182" t="s">
        <v>1309</v>
      </c>
      <c r="HF182" t="s">
        <v>1309</v>
      </c>
      <c r="HH182" t="s">
        <v>1363</v>
      </c>
      <c r="HI182" t="s">
        <v>1390</v>
      </c>
      <c r="HJ182" t="s">
        <v>1363</v>
      </c>
      <c r="HK182" t="s">
        <v>1327</v>
      </c>
      <c r="HL182" t="s">
        <v>1328</v>
      </c>
      <c r="HM182" t="s">
        <v>1390</v>
      </c>
      <c r="HN182" t="s">
        <v>1626</v>
      </c>
      <c r="HO182" t="s">
        <v>1310</v>
      </c>
      <c r="HP182" t="s">
        <v>1309</v>
      </c>
      <c r="HQ182" t="s">
        <v>1309</v>
      </c>
      <c r="HR182" t="s">
        <v>1309</v>
      </c>
      <c r="HS182" t="s">
        <v>1309</v>
      </c>
      <c r="HT182" t="s">
        <v>1309</v>
      </c>
      <c r="HU182" t="s">
        <v>1309</v>
      </c>
      <c r="HV182" t="s">
        <v>1309</v>
      </c>
      <c r="HW182" t="s">
        <v>1309</v>
      </c>
      <c r="HX182" t="s">
        <v>1309</v>
      </c>
      <c r="HY182" t="s">
        <v>1309</v>
      </c>
      <c r="IA182" t="s">
        <v>1307</v>
      </c>
      <c r="IQ182" t="s">
        <v>1308</v>
      </c>
      <c r="IS182" t="s">
        <v>1316</v>
      </c>
      <c r="JF182" t="s">
        <v>1354</v>
      </c>
      <c r="JG182" t="s">
        <v>1414</v>
      </c>
      <c r="JH182" t="s">
        <v>1309</v>
      </c>
      <c r="JI182" t="s">
        <v>1309</v>
      </c>
      <c r="JJ182" t="s">
        <v>1309</v>
      </c>
      <c r="JK182" t="s">
        <v>1309</v>
      </c>
      <c r="JL182" t="s">
        <v>1309</v>
      </c>
      <c r="JM182" t="s">
        <v>1309</v>
      </c>
      <c r="JN182" t="s">
        <v>1310</v>
      </c>
      <c r="JO182" t="s">
        <v>1309</v>
      </c>
      <c r="JQ182" s="92" t="s">
        <v>1394</v>
      </c>
      <c r="JR182" s="92" t="s">
        <v>1496</v>
      </c>
      <c r="JS182" s="92">
        <v>66</v>
      </c>
      <c r="JT182" s="92" t="s">
        <v>1319</v>
      </c>
      <c r="JU182" s="92" t="s">
        <v>1396</v>
      </c>
      <c r="JV182" s="92" t="s">
        <v>1336</v>
      </c>
      <c r="JW182" s="92" t="s">
        <v>1296</v>
      </c>
      <c r="JX182" s="92" t="s">
        <v>71</v>
      </c>
      <c r="JY182" s="92" t="s">
        <v>1397</v>
      </c>
      <c r="JZ182" s="92" t="s">
        <v>1369</v>
      </c>
      <c r="KA182" s="92" t="s">
        <v>4845</v>
      </c>
      <c r="KB182" s="92" t="s">
        <v>1476</v>
      </c>
      <c r="KC182" s="92" t="s">
        <v>192</v>
      </c>
      <c r="KD182" s="92" t="s">
        <v>4847</v>
      </c>
      <c r="KE182" s="92" t="s">
        <v>1424</v>
      </c>
      <c r="KF182" s="92">
        <v>950</v>
      </c>
      <c r="KG182" s="92" t="s">
        <v>4438</v>
      </c>
      <c r="KH182" s="92" t="s">
        <v>192</v>
      </c>
      <c r="KI182" s="92" t="s">
        <v>109</v>
      </c>
      <c r="KJ182" s="92" t="s">
        <v>192</v>
      </c>
      <c r="KK182" s="92" t="s">
        <v>109</v>
      </c>
      <c r="KL182" s="92" t="s">
        <v>1374</v>
      </c>
      <c r="KM182" s="92">
        <v>1400</v>
      </c>
      <c r="KN182" s="92" t="s">
        <v>4438</v>
      </c>
      <c r="KO182" s="92" t="s">
        <v>1440</v>
      </c>
      <c r="KP182" s="92" t="s">
        <v>1460</v>
      </c>
      <c r="KQ182" s="92" t="s">
        <v>192</v>
      </c>
      <c r="KR182" s="92">
        <v>32</v>
      </c>
      <c r="KS182" s="92" t="s">
        <v>1343</v>
      </c>
      <c r="KT182" s="92" t="s">
        <v>1344</v>
      </c>
      <c r="KU182" s="92">
        <v>57</v>
      </c>
      <c r="KV182" s="92" t="s">
        <v>1441</v>
      </c>
      <c r="KW182" s="92" t="s">
        <v>1344</v>
      </c>
      <c r="KX182" s="92" t="s">
        <v>1376</v>
      </c>
      <c r="KY182" s="92" t="s">
        <v>1377</v>
      </c>
      <c r="KZ182" s="92" t="s">
        <v>1403</v>
      </c>
      <c r="LA182" s="92" t="s">
        <v>109</v>
      </c>
      <c r="LB182" s="92" t="s">
        <v>109</v>
      </c>
      <c r="LC182" s="92" t="s">
        <v>4438</v>
      </c>
      <c r="LD182" s="92" t="s">
        <v>4439</v>
      </c>
      <c r="LE182" s="92" t="s">
        <v>109</v>
      </c>
      <c r="LF182" s="92" t="s">
        <v>109</v>
      </c>
    </row>
    <row r="183" spans="1:318" x14ac:dyDescent="0.25">
      <c r="A183" t="s">
        <v>2245</v>
      </c>
      <c r="B183" t="s">
        <v>2246</v>
      </c>
      <c r="C183" t="s">
        <v>1304</v>
      </c>
      <c r="D183" t="s">
        <v>1305</v>
      </c>
      <c r="E183" t="s">
        <v>1381</v>
      </c>
      <c r="G183" t="s">
        <v>1319</v>
      </c>
      <c r="H183">
        <v>2</v>
      </c>
      <c r="I183" t="s">
        <v>1358</v>
      </c>
      <c r="J183" t="s">
        <v>1813</v>
      </c>
      <c r="K183" t="s">
        <v>1309</v>
      </c>
      <c r="L183" t="s">
        <v>1310</v>
      </c>
      <c r="M183" t="s">
        <v>1309</v>
      </c>
      <c r="N183" t="s">
        <v>1309</v>
      </c>
      <c r="O183" t="s">
        <v>1310</v>
      </c>
      <c r="P183" t="s">
        <v>1310</v>
      </c>
      <c r="Q183" t="s">
        <v>1309</v>
      </c>
      <c r="R183" t="s">
        <v>1309</v>
      </c>
      <c r="S183">
        <v>1</v>
      </c>
      <c r="U183" t="s">
        <v>1311</v>
      </c>
      <c r="V183" t="s">
        <v>1312</v>
      </c>
      <c r="W183" t="s">
        <v>1312</v>
      </c>
      <c r="X183" t="s">
        <v>1312</v>
      </c>
      <c r="Y183" t="s">
        <v>1312</v>
      </c>
      <c r="Z183" t="s">
        <v>1312</v>
      </c>
      <c r="AC183">
        <v>1</v>
      </c>
      <c r="AD183">
        <v>6000</v>
      </c>
      <c r="AE183">
        <v>4000</v>
      </c>
      <c r="AF183" t="s">
        <v>1313</v>
      </c>
      <c r="AH183" t="s">
        <v>1383</v>
      </c>
      <c r="AJ183" t="s">
        <v>1315</v>
      </c>
      <c r="AL183" t="s">
        <v>1316</v>
      </c>
      <c r="BS183" t="s">
        <v>1307</v>
      </c>
      <c r="CE183" t="s">
        <v>1776</v>
      </c>
      <c r="CF183" t="s">
        <v>1309</v>
      </c>
      <c r="CG183" t="s">
        <v>1309</v>
      </c>
      <c r="CH183" t="s">
        <v>1309</v>
      </c>
      <c r="CI183" t="s">
        <v>1309</v>
      </c>
      <c r="CJ183" t="s">
        <v>1310</v>
      </c>
      <c r="CK183" t="s">
        <v>1309</v>
      </c>
      <c r="CL183" t="s">
        <v>1309</v>
      </c>
      <c r="CM183" t="s">
        <v>1309</v>
      </c>
      <c r="CN183" t="s">
        <v>1310</v>
      </c>
      <c r="CO183" t="s">
        <v>1309</v>
      </c>
      <c r="CP183" t="s">
        <v>1309</v>
      </c>
      <c r="CQ183" t="s">
        <v>1309</v>
      </c>
      <c r="CR183" t="s">
        <v>1309</v>
      </c>
      <c r="CT183" t="s">
        <v>4434</v>
      </c>
      <c r="CV183" t="s">
        <v>1308</v>
      </c>
      <c r="CW183" t="s">
        <v>1310</v>
      </c>
      <c r="CX183" t="s">
        <v>1309</v>
      </c>
      <c r="CY183" t="s">
        <v>1309</v>
      </c>
      <c r="CZ183" t="s">
        <v>1309</v>
      </c>
      <c r="DA183" t="s">
        <v>1309</v>
      </c>
      <c r="DB183" t="s">
        <v>1309</v>
      </c>
      <c r="DC183" t="s">
        <v>1309</v>
      </c>
      <c r="DE183" t="s">
        <v>1358</v>
      </c>
      <c r="DG183">
        <v>1200</v>
      </c>
      <c r="DI183">
        <v>300</v>
      </c>
      <c r="DJ183" t="s">
        <v>1358</v>
      </c>
      <c r="DK183">
        <v>1500</v>
      </c>
      <c r="DM183">
        <v>400</v>
      </c>
      <c r="DN183" t="s">
        <v>1480</v>
      </c>
      <c r="DO183" t="s">
        <v>1309</v>
      </c>
      <c r="DP183" t="s">
        <v>1309</v>
      </c>
      <c r="DQ183" t="s">
        <v>1309</v>
      </c>
      <c r="DR183" t="s">
        <v>1310</v>
      </c>
      <c r="DS183" t="s">
        <v>1309</v>
      </c>
      <c r="DT183" t="s">
        <v>1310</v>
      </c>
      <c r="DU183" t="s">
        <v>1309</v>
      </c>
      <c r="DV183" t="s">
        <v>1309</v>
      </c>
      <c r="DW183" t="s">
        <v>1309</v>
      </c>
      <c r="DY183" t="s">
        <v>1419</v>
      </c>
      <c r="DZ183">
        <v>300</v>
      </c>
      <c r="EA183" t="s">
        <v>1319</v>
      </c>
      <c r="EC183" t="s">
        <v>1420</v>
      </c>
      <c r="ED183">
        <v>600</v>
      </c>
      <c r="EE183" t="s">
        <v>1319</v>
      </c>
      <c r="EG183" t="s">
        <v>5356</v>
      </c>
      <c r="EI183" t="s">
        <v>1307</v>
      </c>
      <c r="ET183" t="s">
        <v>1307</v>
      </c>
      <c r="EV183" t="s">
        <v>1319</v>
      </c>
      <c r="EW183" t="s">
        <v>1409</v>
      </c>
      <c r="EX183" t="s">
        <v>1319</v>
      </c>
      <c r="EY183" t="s">
        <v>1307</v>
      </c>
      <c r="FA183" t="s">
        <v>2247</v>
      </c>
      <c r="FB183" t="s">
        <v>1309</v>
      </c>
      <c r="FC183" t="s">
        <v>1309</v>
      </c>
      <c r="FD183" t="s">
        <v>1309</v>
      </c>
      <c r="FE183" t="s">
        <v>1310</v>
      </c>
      <c r="FF183" t="s">
        <v>1309</v>
      </c>
      <c r="FG183" t="s">
        <v>1309</v>
      </c>
      <c r="FH183" t="s">
        <v>1310</v>
      </c>
      <c r="FI183" t="s">
        <v>1310</v>
      </c>
      <c r="FJ183" t="s">
        <v>1309</v>
      </c>
      <c r="FK183" t="s">
        <v>1309</v>
      </c>
      <c r="FL183" t="s">
        <v>1309</v>
      </c>
      <c r="FM183" t="s">
        <v>1310</v>
      </c>
      <c r="FN183" t="s">
        <v>1310</v>
      </c>
      <c r="FO183" t="s">
        <v>1309</v>
      </c>
      <c r="FP183" t="s">
        <v>1309</v>
      </c>
      <c r="FQ183" t="s">
        <v>1309</v>
      </c>
      <c r="FR183" t="s">
        <v>1309</v>
      </c>
      <c r="FT183" t="s">
        <v>1319</v>
      </c>
      <c r="FU183" t="s">
        <v>1635</v>
      </c>
      <c r="FV183" t="s">
        <v>1310</v>
      </c>
      <c r="FW183" t="s">
        <v>1309</v>
      </c>
      <c r="FX183" t="s">
        <v>1309</v>
      </c>
      <c r="FY183" t="s">
        <v>1309</v>
      </c>
      <c r="FZ183" t="s">
        <v>1309</v>
      </c>
      <c r="GA183" t="s">
        <v>1310</v>
      </c>
      <c r="GB183" t="s">
        <v>1309</v>
      </c>
      <c r="GC183" t="s">
        <v>1309</v>
      </c>
      <c r="GD183" t="s">
        <v>1309</v>
      </c>
      <c r="GE183" t="s">
        <v>1309</v>
      </c>
      <c r="GF183" t="s">
        <v>1309</v>
      </c>
      <c r="GG183" t="s">
        <v>1309</v>
      </c>
      <c r="GI183" t="s">
        <v>1324</v>
      </c>
      <c r="GJ183" t="s">
        <v>1324</v>
      </c>
      <c r="GT183" t="s">
        <v>1325</v>
      </c>
      <c r="GU183" t="s">
        <v>1310</v>
      </c>
      <c r="GV183" t="s">
        <v>1309</v>
      </c>
      <c r="GW183" t="s">
        <v>1309</v>
      </c>
      <c r="GX183" t="s">
        <v>1309</v>
      </c>
      <c r="GY183" t="s">
        <v>1309</v>
      </c>
      <c r="GZ183" t="s">
        <v>1309</v>
      </c>
      <c r="HA183" t="s">
        <v>1309</v>
      </c>
      <c r="HB183" t="s">
        <v>1309</v>
      </c>
      <c r="HC183" t="s">
        <v>1309</v>
      </c>
      <c r="HD183" t="s">
        <v>1309</v>
      </c>
      <c r="HE183" t="s">
        <v>1309</v>
      </c>
      <c r="HF183" t="s">
        <v>1309</v>
      </c>
      <c r="HH183" t="s">
        <v>1363</v>
      </c>
      <c r="HI183" t="s">
        <v>1363</v>
      </c>
      <c r="HJ183" t="s">
        <v>1363</v>
      </c>
      <c r="HK183" t="s">
        <v>1327</v>
      </c>
      <c r="HL183" t="s">
        <v>1364</v>
      </c>
      <c r="HM183" t="s">
        <v>1363</v>
      </c>
      <c r="IA183" t="s">
        <v>1307</v>
      </c>
      <c r="IQ183" t="s">
        <v>1365</v>
      </c>
      <c r="IS183" t="s">
        <v>1316</v>
      </c>
      <c r="JF183" t="s">
        <v>1331</v>
      </c>
      <c r="JG183" t="s">
        <v>1414</v>
      </c>
      <c r="JH183" t="s">
        <v>1309</v>
      </c>
      <c r="JI183" t="s">
        <v>1309</v>
      </c>
      <c r="JJ183" t="s">
        <v>1309</v>
      </c>
      <c r="JK183" t="s">
        <v>1309</v>
      </c>
      <c r="JL183" t="s">
        <v>1309</v>
      </c>
      <c r="JM183" t="s">
        <v>1309</v>
      </c>
      <c r="JN183" t="s">
        <v>1310</v>
      </c>
      <c r="JO183" t="s">
        <v>1309</v>
      </c>
      <c r="JQ183" s="92" t="s">
        <v>2092</v>
      </c>
      <c r="JR183" s="92" t="s">
        <v>2093</v>
      </c>
      <c r="JS183" s="92">
        <v>46</v>
      </c>
      <c r="JT183" s="92" t="s">
        <v>1319</v>
      </c>
      <c r="JU183" s="92" t="s">
        <v>1396</v>
      </c>
      <c r="JV183" s="92" t="s">
        <v>1368</v>
      </c>
      <c r="JW183" s="92" t="s">
        <v>1296</v>
      </c>
      <c r="JX183" s="92" t="s">
        <v>71</v>
      </c>
      <c r="JY183" s="92" t="s">
        <v>1397</v>
      </c>
      <c r="JZ183" s="92" t="s">
        <v>1337</v>
      </c>
      <c r="KA183" s="92" t="s">
        <v>4845</v>
      </c>
      <c r="KB183" s="92" t="s">
        <v>1399</v>
      </c>
      <c r="KC183" s="92" t="s">
        <v>109</v>
      </c>
      <c r="KD183" s="92" t="s">
        <v>4844</v>
      </c>
      <c r="KE183" s="92" t="s">
        <v>1424</v>
      </c>
      <c r="KF183" s="92">
        <v>1500</v>
      </c>
      <c r="KG183" s="92" t="s">
        <v>4438</v>
      </c>
      <c r="KH183" s="92" t="s">
        <v>192</v>
      </c>
      <c r="KI183" s="92" t="s">
        <v>109</v>
      </c>
      <c r="KJ183" s="92" t="s">
        <v>192</v>
      </c>
      <c r="KK183" s="92" t="s">
        <v>109</v>
      </c>
      <c r="KL183" s="92" t="s">
        <v>1440</v>
      </c>
      <c r="KM183" s="92">
        <v>1900</v>
      </c>
      <c r="KN183" s="92" t="s">
        <v>4439</v>
      </c>
      <c r="KO183" s="92" t="s">
        <v>1440</v>
      </c>
      <c r="KP183" s="92" t="s">
        <v>1460</v>
      </c>
      <c r="KQ183" s="92" t="s">
        <v>192</v>
      </c>
      <c r="KR183" s="92">
        <v>20</v>
      </c>
      <c r="KS183" s="92" t="s">
        <v>1343</v>
      </c>
      <c r="KT183" s="92" t="s">
        <v>1344</v>
      </c>
      <c r="KU183" s="92">
        <v>32</v>
      </c>
      <c r="KV183" s="92" t="s">
        <v>1345</v>
      </c>
      <c r="KW183" s="92" t="s">
        <v>1344</v>
      </c>
      <c r="KX183" s="92" t="s">
        <v>1376</v>
      </c>
      <c r="KY183" s="92" t="s">
        <v>1377</v>
      </c>
      <c r="KZ183" s="92" t="s">
        <v>1403</v>
      </c>
      <c r="LA183" s="92" t="s">
        <v>109</v>
      </c>
      <c r="LB183" s="92" t="s">
        <v>109</v>
      </c>
      <c r="LC183" s="92" t="s">
        <v>4439</v>
      </c>
      <c r="LD183" s="92" t="s">
        <v>4439</v>
      </c>
      <c r="LE183" s="92" t="s">
        <v>109</v>
      </c>
      <c r="LF183" s="92" t="s">
        <v>109</v>
      </c>
    </row>
    <row r="184" spans="1:318" x14ac:dyDescent="0.25">
      <c r="A184" t="s">
        <v>2248</v>
      </c>
      <c r="B184" t="s">
        <v>2249</v>
      </c>
      <c r="C184" t="s">
        <v>1304</v>
      </c>
      <c r="D184" t="s">
        <v>1305</v>
      </c>
      <c r="E184" t="s">
        <v>1381</v>
      </c>
      <c r="G184" t="s">
        <v>1319</v>
      </c>
      <c r="H184">
        <v>5</v>
      </c>
      <c r="I184" t="s">
        <v>1358</v>
      </c>
      <c r="J184" t="s">
        <v>2250</v>
      </c>
      <c r="K184" t="s">
        <v>1309</v>
      </c>
      <c r="L184" t="s">
        <v>1310</v>
      </c>
      <c r="M184" t="s">
        <v>1310</v>
      </c>
      <c r="N184" t="s">
        <v>1310</v>
      </c>
      <c r="O184" t="s">
        <v>1310</v>
      </c>
      <c r="P184" t="s">
        <v>1310</v>
      </c>
      <c r="Q184" t="s">
        <v>1309</v>
      </c>
      <c r="R184" t="s">
        <v>1309</v>
      </c>
      <c r="S184">
        <v>3</v>
      </c>
      <c r="T184">
        <v>1</v>
      </c>
      <c r="U184" t="s">
        <v>1311</v>
      </c>
      <c r="V184" t="s">
        <v>1311</v>
      </c>
      <c r="W184" t="s">
        <v>1486</v>
      </c>
      <c r="X184" t="s">
        <v>1312</v>
      </c>
      <c r="Y184" t="s">
        <v>1312</v>
      </c>
      <c r="Z184" t="s">
        <v>1312</v>
      </c>
      <c r="AA184">
        <v>0</v>
      </c>
      <c r="AC184">
        <v>5</v>
      </c>
      <c r="AD184">
        <v>12000</v>
      </c>
      <c r="AE184">
        <v>7000</v>
      </c>
      <c r="AF184" t="s">
        <v>1351</v>
      </c>
      <c r="AH184" t="s">
        <v>1383</v>
      </c>
      <c r="AJ184" t="s">
        <v>1315</v>
      </c>
      <c r="AL184" t="s">
        <v>1354</v>
      </c>
      <c r="BS184" t="s">
        <v>1307</v>
      </c>
      <c r="CE184" t="s">
        <v>1355</v>
      </c>
      <c r="CF184" t="s">
        <v>1309</v>
      </c>
      <c r="CG184" t="s">
        <v>1309</v>
      </c>
      <c r="CH184" t="s">
        <v>1309</v>
      </c>
      <c r="CI184" t="s">
        <v>1309</v>
      </c>
      <c r="CJ184" t="s">
        <v>1309</v>
      </c>
      <c r="CK184" t="s">
        <v>1309</v>
      </c>
      <c r="CL184" t="s">
        <v>1309</v>
      </c>
      <c r="CM184" t="s">
        <v>1309</v>
      </c>
      <c r="CN184" t="s">
        <v>1310</v>
      </c>
      <c r="CO184" t="s">
        <v>1309</v>
      </c>
      <c r="CP184" t="s">
        <v>1309</v>
      </c>
      <c r="CQ184" t="s">
        <v>1309</v>
      </c>
      <c r="CR184" t="s">
        <v>1309</v>
      </c>
      <c r="CT184" t="s">
        <v>4436</v>
      </c>
      <c r="CV184" t="s">
        <v>1308</v>
      </c>
      <c r="CW184" t="s">
        <v>1310</v>
      </c>
      <c r="CX184" t="s">
        <v>1309</v>
      </c>
      <c r="CY184" t="s">
        <v>1309</v>
      </c>
      <c r="CZ184" t="s">
        <v>1309</v>
      </c>
      <c r="DA184" t="s">
        <v>1309</v>
      </c>
      <c r="DB184" t="s">
        <v>1309</v>
      </c>
      <c r="DC184" t="s">
        <v>1309</v>
      </c>
      <c r="DE184" t="s">
        <v>1358</v>
      </c>
      <c r="DF184" t="s">
        <v>1319</v>
      </c>
      <c r="DG184">
        <v>200</v>
      </c>
      <c r="DI184">
        <v>350</v>
      </c>
      <c r="DJ184" t="s">
        <v>1358</v>
      </c>
      <c r="DK184">
        <v>250</v>
      </c>
      <c r="DM184">
        <v>350</v>
      </c>
      <c r="DN184" t="s">
        <v>1676</v>
      </c>
      <c r="DO184" t="s">
        <v>1309</v>
      </c>
      <c r="DP184" t="s">
        <v>1309</v>
      </c>
      <c r="DQ184" t="s">
        <v>1309</v>
      </c>
      <c r="DR184" t="s">
        <v>1309</v>
      </c>
      <c r="DS184" t="s">
        <v>1310</v>
      </c>
      <c r="DT184" t="s">
        <v>1310</v>
      </c>
      <c r="DU184" t="s">
        <v>1309</v>
      </c>
      <c r="DV184" t="s">
        <v>1309</v>
      </c>
      <c r="DW184" t="s">
        <v>1309</v>
      </c>
      <c r="DY184" t="s">
        <v>1456</v>
      </c>
      <c r="DZ184">
        <v>500</v>
      </c>
      <c r="EA184" t="s">
        <v>1319</v>
      </c>
      <c r="EC184" t="s">
        <v>1457</v>
      </c>
      <c r="ED184">
        <v>1000</v>
      </c>
      <c r="EE184" t="s">
        <v>1319</v>
      </c>
      <c r="EG184" t="s">
        <v>5356</v>
      </c>
      <c r="EI184" t="s">
        <v>1307</v>
      </c>
      <c r="ET184" t="s">
        <v>1307</v>
      </c>
      <c r="EV184" t="s">
        <v>1307</v>
      </c>
      <c r="EX184" t="s">
        <v>1319</v>
      </c>
      <c r="EY184" t="s">
        <v>1307</v>
      </c>
      <c r="EZ184" t="s">
        <v>1319</v>
      </c>
      <c r="FA184" t="s">
        <v>2251</v>
      </c>
      <c r="FB184" t="s">
        <v>1309</v>
      </c>
      <c r="FC184" t="s">
        <v>1309</v>
      </c>
      <c r="FD184" t="s">
        <v>1309</v>
      </c>
      <c r="FE184" t="s">
        <v>1310</v>
      </c>
      <c r="FF184" t="s">
        <v>1309</v>
      </c>
      <c r="FG184" t="s">
        <v>1309</v>
      </c>
      <c r="FH184" t="s">
        <v>1309</v>
      </c>
      <c r="FI184" t="s">
        <v>1310</v>
      </c>
      <c r="FJ184" t="s">
        <v>1309</v>
      </c>
      <c r="FK184" t="s">
        <v>1309</v>
      </c>
      <c r="FL184" t="s">
        <v>1309</v>
      </c>
      <c r="FM184" t="s">
        <v>1310</v>
      </c>
      <c r="FN184" t="s">
        <v>1309</v>
      </c>
      <c r="FO184" t="s">
        <v>1309</v>
      </c>
      <c r="FP184" t="s">
        <v>1309</v>
      </c>
      <c r="FQ184" t="s">
        <v>1309</v>
      </c>
      <c r="FR184" t="s">
        <v>1309</v>
      </c>
      <c r="FT184" t="s">
        <v>1319</v>
      </c>
      <c r="FU184" t="s">
        <v>1435</v>
      </c>
      <c r="FV184" t="s">
        <v>1310</v>
      </c>
      <c r="FW184" t="s">
        <v>1309</v>
      </c>
      <c r="FX184" t="s">
        <v>1309</v>
      </c>
      <c r="FY184" t="s">
        <v>1309</v>
      </c>
      <c r="FZ184" t="s">
        <v>1309</v>
      </c>
      <c r="GA184" t="s">
        <v>1309</v>
      </c>
      <c r="GB184" t="s">
        <v>1309</v>
      </c>
      <c r="GC184" t="s">
        <v>1309</v>
      </c>
      <c r="GD184" t="s">
        <v>1309</v>
      </c>
      <c r="GE184" t="s">
        <v>1309</v>
      </c>
      <c r="GF184" t="s">
        <v>1309</v>
      </c>
      <c r="GG184" t="s">
        <v>1309</v>
      </c>
      <c r="GI184" t="s">
        <v>1324</v>
      </c>
      <c r="GJ184" t="s">
        <v>1436</v>
      </c>
      <c r="GK184" t="s">
        <v>1319</v>
      </c>
      <c r="GL184" t="s">
        <v>2252</v>
      </c>
      <c r="GM184" t="s">
        <v>1309</v>
      </c>
      <c r="GN184" t="s">
        <v>1309</v>
      </c>
      <c r="GO184" t="s">
        <v>1309</v>
      </c>
      <c r="GP184" t="s">
        <v>1310</v>
      </c>
      <c r="GQ184" t="s">
        <v>1309</v>
      </c>
      <c r="GR184" t="s">
        <v>1309</v>
      </c>
      <c r="GT184" t="s">
        <v>1325</v>
      </c>
      <c r="GU184" t="s">
        <v>1310</v>
      </c>
      <c r="GV184" t="s">
        <v>1309</v>
      </c>
      <c r="GW184" t="s">
        <v>1309</v>
      </c>
      <c r="GX184" t="s">
        <v>1309</v>
      </c>
      <c r="GY184" t="s">
        <v>1309</v>
      </c>
      <c r="GZ184" t="s">
        <v>1309</v>
      </c>
      <c r="HA184" t="s">
        <v>1309</v>
      </c>
      <c r="HB184" t="s">
        <v>1309</v>
      </c>
      <c r="HC184" t="s">
        <v>1309</v>
      </c>
      <c r="HD184" t="s">
        <v>1309</v>
      </c>
      <c r="HE184" t="s">
        <v>1309</v>
      </c>
      <c r="HF184" t="s">
        <v>1309</v>
      </c>
      <c r="HH184" t="s">
        <v>1363</v>
      </c>
      <c r="HI184" t="s">
        <v>1363</v>
      </c>
      <c r="HJ184" t="s">
        <v>1363</v>
      </c>
      <c r="HK184" t="s">
        <v>1327</v>
      </c>
      <c r="HL184" t="s">
        <v>1364</v>
      </c>
      <c r="HM184" t="s">
        <v>1390</v>
      </c>
      <c r="IA184" t="s">
        <v>1319</v>
      </c>
      <c r="IB184" t="s">
        <v>2253</v>
      </c>
      <c r="IC184" t="s">
        <v>1310</v>
      </c>
      <c r="ID184" t="s">
        <v>1309</v>
      </c>
      <c r="IE184" t="s">
        <v>1310</v>
      </c>
      <c r="IF184" t="s">
        <v>1309</v>
      </c>
      <c r="IG184" t="s">
        <v>1310</v>
      </c>
      <c r="IH184" t="s">
        <v>1309</v>
      </c>
      <c r="II184" t="s">
        <v>1309</v>
      </c>
      <c r="IJ184" t="s">
        <v>1309</v>
      </c>
      <c r="IK184" t="s">
        <v>1309</v>
      </c>
      <c r="IL184" t="s">
        <v>1309</v>
      </c>
      <c r="IM184" t="s">
        <v>1309</v>
      </c>
      <c r="IN184" t="s">
        <v>1309</v>
      </c>
      <c r="IO184" t="s">
        <v>1309</v>
      </c>
      <c r="IQ184" t="s">
        <v>1308</v>
      </c>
      <c r="IS184" t="s">
        <v>1316</v>
      </c>
      <c r="JF184" t="s">
        <v>1316</v>
      </c>
      <c r="JG184" t="s">
        <v>1332</v>
      </c>
      <c r="JH184" t="s">
        <v>1309</v>
      </c>
      <c r="JI184" t="s">
        <v>1309</v>
      </c>
      <c r="JJ184" t="s">
        <v>1309</v>
      </c>
      <c r="JK184" t="s">
        <v>1309</v>
      </c>
      <c r="JL184" t="s">
        <v>1310</v>
      </c>
      <c r="JM184" t="s">
        <v>1309</v>
      </c>
      <c r="JN184" t="s">
        <v>1309</v>
      </c>
      <c r="JO184" t="s">
        <v>1309</v>
      </c>
      <c r="JQ184" s="92" t="s">
        <v>2092</v>
      </c>
      <c r="JR184" s="92" t="s">
        <v>2093</v>
      </c>
      <c r="JS184" s="92">
        <v>40</v>
      </c>
      <c r="JT184" s="92" t="s">
        <v>1319</v>
      </c>
      <c r="JU184" s="92" t="s">
        <v>1396</v>
      </c>
      <c r="JV184" s="92" t="s">
        <v>1368</v>
      </c>
      <c r="JW184" s="92" t="s">
        <v>1296</v>
      </c>
      <c r="JX184" s="92" t="s">
        <v>71</v>
      </c>
      <c r="JY184" s="92" t="s">
        <v>1397</v>
      </c>
      <c r="JZ184" s="92" t="s">
        <v>1337</v>
      </c>
      <c r="KA184" s="92" t="s">
        <v>4846</v>
      </c>
      <c r="KB184" s="92" t="s">
        <v>1370</v>
      </c>
      <c r="KC184" s="92" t="s">
        <v>192</v>
      </c>
      <c r="KD184" s="92" t="s">
        <v>4848</v>
      </c>
      <c r="KE184" s="92" t="s">
        <v>1371</v>
      </c>
      <c r="KF184" s="92">
        <v>550</v>
      </c>
      <c r="KG184" s="92" t="s">
        <v>1372</v>
      </c>
      <c r="KH184" s="92" t="s">
        <v>192</v>
      </c>
      <c r="KI184" s="92" t="s">
        <v>109</v>
      </c>
      <c r="KJ184" s="92" t="s">
        <v>192</v>
      </c>
      <c r="KK184" s="92" t="s">
        <v>109</v>
      </c>
      <c r="KL184" s="92" t="s">
        <v>1374</v>
      </c>
      <c r="KM184" s="92">
        <v>600</v>
      </c>
      <c r="KN184" s="92" t="s">
        <v>1372</v>
      </c>
      <c r="KO184" s="92" t="s">
        <v>1374</v>
      </c>
      <c r="KP184" s="92" t="s">
        <v>1401</v>
      </c>
      <c r="KQ184" s="92" t="s">
        <v>192</v>
      </c>
      <c r="KR184" s="92"/>
      <c r="KS184" s="92" t="s">
        <v>1345</v>
      </c>
      <c r="KT184" s="92" t="s">
        <v>1344</v>
      </c>
      <c r="KU184" s="92"/>
      <c r="KV184" s="92" t="s">
        <v>1461</v>
      </c>
      <c r="KW184" s="92" t="s">
        <v>1344</v>
      </c>
      <c r="KX184" s="92" t="s">
        <v>1376</v>
      </c>
      <c r="KY184" s="92" t="s">
        <v>1377</v>
      </c>
      <c r="KZ184" s="92" t="s">
        <v>1403</v>
      </c>
      <c r="LA184" s="92" t="s">
        <v>109</v>
      </c>
      <c r="LB184" s="92" t="s">
        <v>109</v>
      </c>
      <c r="LC184" s="92" t="s">
        <v>1372</v>
      </c>
      <c r="LD184" s="92" t="s">
        <v>1372</v>
      </c>
      <c r="LE184" s="92" t="s">
        <v>109</v>
      </c>
      <c r="LF184" s="92" t="s">
        <v>109</v>
      </c>
    </row>
    <row r="185" spans="1:318" x14ac:dyDescent="0.25">
      <c r="A185" t="s">
        <v>2254</v>
      </c>
      <c r="B185" t="s">
        <v>2255</v>
      </c>
      <c r="C185" t="s">
        <v>1304</v>
      </c>
      <c r="D185" t="s">
        <v>1305</v>
      </c>
      <c r="E185" t="s">
        <v>1381</v>
      </c>
      <c r="G185" t="s">
        <v>1319</v>
      </c>
      <c r="H185">
        <v>3</v>
      </c>
      <c r="I185" t="s">
        <v>1358</v>
      </c>
      <c r="J185" t="s">
        <v>1382</v>
      </c>
      <c r="K185" t="s">
        <v>1309</v>
      </c>
      <c r="L185" t="s">
        <v>1310</v>
      </c>
      <c r="M185" t="s">
        <v>1309</v>
      </c>
      <c r="N185" t="s">
        <v>1309</v>
      </c>
      <c r="O185" t="s">
        <v>1309</v>
      </c>
      <c r="P185" t="s">
        <v>1310</v>
      </c>
      <c r="Q185" t="s">
        <v>1309</v>
      </c>
      <c r="R185" t="s">
        <v>1309</v>
      </c>
      <c r="S185">
        <v>2</v>
      </c>
      <c r="U185" t="s">
        <v>1312</v>
      </c>
      <c r="V185" t="s">
        <v>1312</v>
      </c>
      <c r="W185" t="s">
        <v>1312</v>
      </c>
      <c r="X185" t="s">
        <v>1312</v>
      </c>
      <c r="Y185" t="s">
        <v>1312</v>
      </c>
      <c r="Z185" t="s">
        <v>1312</v>
      </c>
      <c r="AC185">
        <v>3</v>
      </c>
      <c r="AD185">
        <v>7000</v>
      </c>
      <c r="AE185">
        <v>5000</v>
      </c>
      <c r="AF185" t="s">
        <v>2222</v>
      </c>
      <c r="AH185" t="s">
        <v>1383</v>
      </c>
      <c r="AJ185" t="s">
        <v>1353</v>
      </c>
      <c r="AL185" t="s">
        <v>1354</v>
      </c>
      <c r="BA185" t="s">
        <v>1354</v>
      </c>
      <c r="BS185" t="s">
        <v>1307</v>
      </c>
      <c r="CE185" t="s">
        <v>1414</v>
      </c>
      <c r="CF185" t="s">
        <v>1309</v>
      </c>
      <c r="CG185" t="s">
        <v>1309</v>
      </c>
      <c r="CH185" t="s">
        <v>1309</v>
      </c>
      <c r="CI185" t="s">
        <v>1309</v>
      </c>
      <c r="CJ185" t="s">
        <v>1309</v>
      </c>
      <c r="CK185" t="s">
        <v>1309</v>
      </c>
      <c r="CL185" t="s">
        <v>1309</v>
      </c>
      <c r="CM185" t="s">
        <v>1309</v>
      </c>
      <c r="CN185" t="s">
        <v>1309</v>
      </c>
      <c r="CO185" t="s">
        <v>1309</v>
      </c>
      <c r="CP185" t="s">
        <v>1309</v>
      </c>
      <c r="CQ185" t="s">
        <v>1310</v>
      </c>
      <c r="CR185" t="s">
        <v>1309</v>
      </c>
      <c r="CT185" t="s">
        <v>4434</v>
      </c>
      <c r="CV185" t="s">
        <v>1357</v>
      </c>
      <c r="CW185" t="s">
        <v>1309</v>
      </c>
      <c r="CX185" t="s">
        <v>1309</v>
      </c>
      <c r="CY185" t="s">
        <v>1309</v>
      </c>
      <c r="CZ185" t="s">
        <v>1309</v>
      </c>
      <c r="DA185" t="s">
        <v>1310</v>
      </c>
      <c r="DB185" t="s">
        <v>1309</v>
      </c>
      <c r="DC185" t="s">
        <v>1309</v>
      </c>
      <c r="DE185" t="s">
        <v>1358</v>
      </c>
      <c r="DG185">
        <v>1000</v>
      </c>
      <c r="DI185">
        <v>400</v>
      </c>
      <c r="DJ185" t="s">
        <v>1318</v>
      </c>
      <c r="DK185">
        <v>1800</v>
      </c>
      <c r="DM185">
        <v>450</v>
      </c>
      <c r="DN185" t="s">
        <v>2202</v>
      </c>
      <c r="DO185" t="s">
        <v>1309</v>
      </c>
      <c r="DP185" t="s">
        <v>1309</v>
      </c>
      <c r="DQ185" t="s">
        <v>1309</v>
      </c>
      <c r="DR185" t="s">
        <v>1309</v>
      </c>
      <c r="DS185" t="s">
        <v>1310</v>
      </c>
      <c r="DT185" t="s">
        <v>1310</v>
      </c>
      <c r="DU185" t="s">
        <v>1309</v>
      </c>
      <c r="DV185" t="s">
        <v>1309</v>
      </c>
      <c r="DW185" t="s">
        <v>1309</v>
      </c>
      <c r="DY185" t="s">
        <v>1490</v>
      </c>
      <c r="DZ185">
        <v>350</v>
      </c>
      <c r="EA185" t="s">
        <v>1319</v>
      </c>
      <c r="EC185" t="s">
        <v>1322</v>
      </c>
      <c r="ED185">
        <v>850</v>
      </c>
      <c r="EE185" t="s">
        <v>1319</v>
      </c>
      <c r="EG185" t="s">
        <v>5356</v>
      </c>
      <c r="EI185" t="s">
        <v>1307</v>
      </c>
      <c r="ET185" t="s">
        <v>1307</v>
      </c>
      <c r="EV185" t="s">
        <v>1319</v>
      </c>
      <c r="EW185" t="s">
        <v>1409</v>
      </c>
      <c r="EX185" t="s">
        <v>1319</v>
      </c>
      <c r="EY185" t="s">
        <v>1307</v>
      </c>
      <c r="FA185" t="s">
        <v>2199</v>
      </c>
      <c r="FB185" t="s">
        <v>1309</v>
      </c>
      <c r="FC185" t="s">
        <v>1309</v>
      </c>
      <c r="FD185" t="s">
        <v>1309</v>
      </c>
      <c r="FE185" t="s">
        <v>1310</v>
      </c>
      <c r="FF185" t="s">
        <v>1309</v>
      </c>
      <c r="FG185" t="s">
        <v>1309</v>
      </c>
      <c r="FH185" t="s">
        <v>1309</v>
      </c>
      <c r="FI185" t="s">
        <v>1310</v>
      </c>
      <c r="FJ185" t="s">
        <v>1309</v>
      </c>
      <c r="FK185" t="s">
        <v>1309</v>
      </c>
      <c r="FL185" t="s">
        <v>1309</v>
      </c>
      <c r="FM185" t="s">
        <v>1309</v>
      </c>
      <c r="FN185" t="s">
        <v>1309</v>
      </c>
      <c r="FO185" t="s">
        <v>1309</v>
      </c>
      <c r="FP185" t="s">
        <v>1309</v>
      </c>
      <c r="FQ185" t="s">
        <v>1309</v>
      </c>
      <c r="FR185" t="s">
        <v>1309</v>
      </c>
      <c r="FT185" t="s">
        <v>1319</v>
      </c>
      <c r="FU185" t="s">
        <v>1599</v>
      </c>
      <c r="FV185" t="s">
        <v>1309</v>
      </c>
      <c r="FW185" t="s">
        <v>1309</v>
      </c>
      <c r="FX185" t="s">
        <v>1309</v>
      </c>
      <c r="FY185" t="s">
        <v>1309</v>
      </c>
      <c r="FZ185" t="s">
        <v>1309</v>
      </c>
      <c r="GA185" t="s">
        <v>1310</v>
      </c>
      <c r="GB185" t="s">
        <v>1309</v>
      </c>
      <c r="GC185" t="s">
        <v>1309</v>
      </c>
      <c r="GD185" t="s">
        <v>1309</v>
      </c>
      <c r="GE185" t="s">
        <v>1309</v>
      </c>
      <c r="GF185" t="s">
        <v>1309</v>
      </c>
      <c r="GG185" t="s">
        <v>1309</v>
      </c>
      <c r="GI185" t="s">
        <v>1324</v>
      </c>
      <c r="GJ185" t="s">
        <v>1324</v>
      </c>
      <c r="GT185" t="s">
        <v>1325</v>
      </c>
      <c r="GU185" t="s">
        <v>1310</v>
      </c>
      <c r="GV185" t="s">
        <v>1309</v>
      </c>
      <c r="GW185" t="s">
        <v>1309</v>
      </c>
      <c r="GX185" t="s">
        <v>1309</v>
      </c>
      <c r="GY185" t="s">
        <v>1309</v>
      </c>
      <c r="GZ185" t="s">
        <v>1309</v>
      </c>
      <c r="HA185" t="s">
        <v>1309</v>
      </c>
      <c r="HB185" t="s">
        <v>1309</v>
      </c>
      <c r="HC185" t="s">
        <v>1309</v>
      </c>
      <c r="HD185" t="s">
        <v>1309</v>
      </c>
      <c r="HE185" t="s">
        <v>1309</v>
      </c>
      <c r="HF185" t="s">
        <v>1309</v>
      </c>
      <c r="HH185" t="s">
        <v>1390</v>
      </c>
      <c r="HI185" t="s">
        <v>1390</v>
      </c>
      <c r="HJ185" t="s">
        <v>1390</v>
      </c>
      <c r="HK185" t="s">
        <v>1327</v>
      </c>
      <c r="HL185" t="s">
        <v>1364</v>
      </c>
      <c r="HM185" t="s">
        <v>1390</v>
      </c>
      <c r="IA185" t="s">
        <v>1307</v>
      </c>
      <c r="IQ185" t="s">
        <v>1365</v>
      </c>
      <c r="IS185" t="s">
        <v>1316</v>
      </c>
      <c r="JF185" t="s">
        <v>1316</v>
      </c>
      <c r="JG185" t="s">
        <v>1414</v>
      </c>
      <c r="JH185" t="s">
        <v>1309</v>
      </c>
      <c r="JI185" t="s">
        <v>1309</v>
      </c>
      <c r="JJ185" t="s">
        <v>1309</v>
      </c>
      <c r="JK185" t="s">
        <v>1309</v>
      </c>
      <c r="JL185" t="s">
        <v>1309</v>
      </c>
      <c r="JM185" t="s">
        <v>1309</v>
      </c>
      <c r="JN185" t="s">
        <v>1310</v>
      </c>
      <c r="JO185" t="s">
        <v>1309</v>
      </c>
      <c r="JQ185" s="92" t="s">
        <v>2092</v>
      </c>
      <c r="JR185" s="92" t="s">
        <v>2093</v>
      </c>
      <c r="JS185" s="92">
        <v>36</v>
      </c>
      <c r="JT185" s="92" t="s">
        <v>1319</v>
      </c>
      <c r="JU185" s="92" t="s">
        <v>1575</v>
      </c>
      <c r="JV185" s="92" t="s">
        <v>1368</v>
      </c>
      <c r="JW185" s="92" t="s">
        <v>1296</v>
      </c>
      <c r="JX185" s="92" t="s">
        <v>71</v>
      </c>
      <c r="JY185" s="92" t="s">
        <v>1397</v>
      </c>
      <c r="JZ185" s="92" t="s">
        <v>1337</v>
      </c>
      <c r="KA185" s="92" t="s">
        <v>4845</v>
      </c>
      <c r="KB185" s="92" t="s">
        <v>1399</v>
      </c>
      <c r="KC185" s="92" t="s">
        <v>109</v>
      </c>
      <c r="KD185" s="92" t="s">
        <v>4848</v>
      </c>
      <c r="KE185" s="92" t="s">
        <v>1424</v>
      </c>
      <c r="KF185" s="92">
        <v>1400</v>
      </c>
      <c r="KG185" s="92" t="s">
        <v>4438</v>
      </c>
      <c r="KH185" s="92" t="s">
        <v>192</v>
      </c>
      <c r="KI185" s="92" t="s">
        <v>109</v>
      </c>
      <c r="KJ185" s="92" t="s">
        <v>192</v>
      </c>
      <c r="KK185" s="92" t="s">
        <v>109</v>
      </c>
      <c r="KL185" s="92" t="s">
        <v>1440</v>
      </c>
      <c r="KM185" s="92">
        <v>2250</v>
      </c>
      <c r="KN185" s="92" t="s">
        <v>4439</v>
      </c>
      <c r="KO185" s="92" t="s">
        <v>1425</v>
      </c>
      <c r="KP185" s="92" t="s">
        <v>1375</v>
      </c>
      <c r="KQ185" s="92" t="s">
        <v>192</v>
      </c>
      <c r="KR185" s="92">
        <v>25</v>
      </c>
      <c r="KS185" s="92" t="s">
        <v>1343</v>
      </c>
      <c r="KT185" s="92" t="s">
        <v>1344</v>
      </c>
      <c r="KU185" s="92">
        <v>38</v>
      </c>
      <c r="KV185" s="92" t="s">
        <v>1441</v>
      </c>
      <c r="KW185" s="92" t="s">
        <v>1344</v>
      </c>
      <c r="KX185" s="92" t="s">
        <v>1346</v>
      </c>
      <c r="KY185" s="92" t="s">
        <v>1347</v>
      </c>
      <c r="KZ185" s="92" t="s">
        <v>1403</v>
      </c>
      <c r="LA185" s="92" t="s">
        <v>109</v>
      </c>
      <c r="LB185" s="92" t="s">
        <v>109</v>
      </c>
      <c r="LC185" s="92" t="s">
        <v>4438</v>
      </c>
      <c r="LD185" s="92" t="s">
        <v>4439</v>
      </c>
      <c r="LE185" s="92" t="s">
        <v>109</v>
      </c>
      <c r="LF185" s="92" t="s">
        <v>192</v>
      </c>
    </row>
    <row r="186" spans="1:318" x14ac:dyDescent="0.25">
      <c r="A186" t="s">
        <v>2256</v>
      </c>
      <c r="B186" t="s">
        <v>2257</v>
      </c>
      <c r="C186" t="s">
        <v>1304</v>
      </c>
      <c r="D186" t="s">
        <v>1305</v>
      </c>
      <c r="E186" t="s">
        <v>1381</v>
      </c>
      <c r="G186" t="s">
        <v>1319</v>
      </c>
      <c r="H186">
        <v>2</v>
      </c>
      <c r="I186" t="s">
        <v>1358</v>
      </c>
      <c r="J186" t="s">
        <v>1891</v>
      </c>
      <c r="K186" t="s">
        <v>1309</v>
      </c>
      <c r="L186" t="s">
        <v>1309</v>
      </c>
      <c r="M186" t="s">
        <v>1310</v>
      </c>
      <c r="N186" t="s">
        <v>1309</v>
      </c>
      <c r="O186" t="s">
        <v>1310</v>
      </c>
      <c r="P186" t="s">
        <v>1309</v>
      </c>
      <c r="Q186" t="s">
        <v>1309</v>
      </c>
      <c r="R186" t="s">
        <v>1309</v>
      </c>
      <c r="T186">
        <v>1</v>
      </c>
      <c r="U186" t="s">
        <v>1312</v>
      </c>
      <c r="V186" t="s">
        <v>1312</v>
      </c>
      <c r="W186" t="s">
        <v>1486</v>
      </c>
      <c r="X186" t="s">
        <v>1311</v>
      </c>
      <c r="Y186" t="s">
        <v>1486</v>
      </c>
      <c r="Z186" t="s">
        <v>1311</v>
      </c>
      <c r="AC186">
        <v>2</v>
      </c>
      <c r="AD186">
        <v>4500</v>
      </c>
      <c r="AE186">
        <v>4000</v>
      </c>
      <c r="AF186" t="s">
        <v>1351</v>
      </c>
      <c r="AH186" t="s">
        <v>1314</v>
      </c>
      <c r="AJ186" t="s">
        <v>1353</v>
      </c>
      <c r="AL186" t="s">
        <v>1316</v>
      </c>
      <c r="BA186" t="s">
        <v>1354</v>
      </c>
      <c r="BS186" t="s">
        <v>1307</v>
      </c>
      <c r="CE186" t="s">
        <v>1597</v>
      </c>
      <c r="CF186" t="s">
        <v>1309</v>
      </c>
      <c r="CG186" t="s">
        <v>1309</v>
      </c>
      <c r="CH186" t="s">
        <v>1309</v>
      </c>
      <c r="CI186" t="s">
        <v>1309</v>
      </c>
      <c r="CJ186" t="s">
        <v>1309</v>
      </c>
      <c r="CK186" t="s">
        <v>1309</v>
      </c>
      <c r="CL186" t="s">
        <v>1310</v>
      </c>
      <c r="CM186" t="s">
        <v>1309</v>
      </c>
      <c r="CN186" t="s">
        <v>1309</v>
      </c>
      <c r="CO186" t="s">
        <v>1309</v>
      </c>
      <c r="CP186" t="s">
        <v>1309</v>
      </c>
      <c r="CQ186" t="s">
        <v>1309</v>
      </c>
      <c r="CR186" t="s">
        <v>1309</v>
      </c>
      <c r="CT186" t="s">
        <v>4436</v>
      </c>
      <c r="CV186" t="s">
        <v>1357</v>
      </c>
      <c r="CW186" t="s">
        <v>1309</v>
      </c>
      <c r="CX186" t="s">
        <v>1309</v>
      </c>
      <c r="CY186" t="s">
        <v>1309</v>
      </c>
      <c r="CZ186" t="s">
        <v>1309</v>
      </c>
      <c r="DA186" t="s">
        <v>1310</v>
      </c>
      <c r="DB186" t="s">
        <v>1309</v>
      </c>
      <c r="DC186" t="s">
        <v>1309</v>
      </c>
      <c r="DE186" t="s">
        <v>1358</v>
      </c>
      <c r="DF186" t="s">
        <v>1307</v>
      </c>
      <c r="DI186">
        <v>1500</v>
      </c>
      <c r="DJ186" t="s">
        <v>1358</v>
      </c>
      <c r="DM186">
        <v>2000</v>
      </c>
      <c r="DN186" t="s">
        <v>1676</v>
      </c>
      <c r="DO186" t="s">
        <v>1309</v>
      </c>
      <c r="DP186" t="s">
        <v>1309</v>
      </c>
      <c r="DQ186" t="s">
        <v>1309</v>
      </c>
      <c r="DR186" t="s">
        <v>1309</v>
      </c>
      <c r="DS186" t="s">
        <v>1310</v>
      </c>
      <c r="DT186" t="s">
        <v>1310</v>
      </c>
      <c r="DU186" t="s">
        <v>1309</v>
      </c>
      <c r="DV186" t="s">
        <v>1309</v>
      </c>
      <c r="DW186" t="s">
        <v>1309</v>
      </c>
      <c r="DY186" t="s">
        <v>1456</v>
      </c>
      <c r="DZ186">
        <v>300</v>
      </c>
      <c r="EA186" t="s">
        <v>1319</v>
      </c>
      <c r="EC186" t="s">
        <v>1457</v>
      </c>
      <c r="ED186">
        <v>500</v>
      </c>
      <c r="EE186" t="s">
        <v>1319</v>
      </c>
      <c r="EG186" t="s">
        <v>5356</v>
      </c>
      <c r="EI186" t="s">
        <v>1307</v>
      </c>
      <c r="ET186" t="s">
        <v>1307</v>
      </c>
      <c r="EV186" t="s">
        <v>1307</v>
      </c>
      <c r="EX186" t="s">
        <v>1307</v>
      </c>
      <c r="EZ186" t="s">
        <v>1307</v>
      </c>
      <c r="FT186" t="s">
        <v>1319</v>
      </c>
      <c r="FU186" t="s">
        <v>1389</v>
      </c>
      <c r="FV186" t="s">
        <v>1310</v>
      </c>
      <c r="FW186" t="s">
        <v>1310</v>
      </c>
      <c r="FX186" t="s">
        <v>1309</v>
      </c>
      <c r="FY186" t="s">
        <v>1309</v>
      </c>
      <c r="FZ186" t="s">
        <v>1309</v>
      </c>
      <c r="GA186" t="s">
        <v>1310</v>
      </c>
      <c r="GB186" t="s">
        <v>1309</v>
      </c>
      <c r="GC186" t="s">
        <v>1309</v>
      </c>
      <c r="GD186" t="s">
        <v>1309</v>
      </c>
      <c r="GE186" t="s">
        <v>1309</v>
      </c>
      <c r="GF186" t="s">
        <v>1309</v>
      </c>
      <c r="GG186" t="s">
        <v>1309</v>
      </c>
      <c r="GI186" t="s">
        <v>1436</v>
      </c>
      <c r="GJ186" t="s">
        <v>1436</v>
      </c>
      <c r="GK186" t="s">
        <v>1307</v>
      </c>
      <c r="GT186" t="s">
        <v>1325</v>
      </c>
      <c r="GU186" t="s">
        <v>1310</v>
      </c>
      <c r="GV186" t="s">
        <v>1309</v>
      </c>
      <c r="GW186" t="s">
        <v>1309</v>
      </c>
      <c r="GX186" t="s">
        <v>1309</v>
      </c>
      <c r="GY186" t="s">
        <v>1309</v>
      </c>
      <c r="GZ186" t="s">
        <v>1309</v>
      </c>
      <c r="HA186" t="s">
        <v>1309</v>
      </c>
      <c r="HB186" t="s">
        <v>1309</v>
      </c>
      <c r="HC186" t="s">
        <v>1309</v>
      </c>
      <c r="HD186" t="s">
        <v>1309</v>
      </c>
      <c r="HE186" t="s">
        <v>1309</v>
      </c>
      <c r="HF186" t="s">
        <v>1309</v>
      </c>
      <c r="HH186" t="s">
        <v>1390</v>
      </c>
      <c r="HI186" t="s">
        <v>1390</v>
      </c>
      <c r="HJ186" t="s">
        <v>1390</v>
      </c>
      <c r="HK186" t="s">
        <v>1327</v>
      </c>
      <c r="HL186" t="s">
        <v>1692</v>
      </c>
      <c r="HM186" t="s">
        <v>1390</v>
      </c>
      <c r="HN186" t="s">
        <v>1803</v>
      </c>
      <c r="HO186" t="s">
        <v>1310</v>
      </c>
      <c r="HP186" t="s">
        <v>1310</v>
      </c>
      <c r="HQ186" t="s">
        <v>1309</v>
      </c>
      <c r="HR186" t="s">
        <v>1309</v>
      </c>
      <c r="HS186" t="s">
        <v>1310</v>
      </c>
      <c r="HT186" t="s">
        <v>1310</v>
      </c>
      <c r="HU186" t="s">
        <v>1309</v>
      </c>
      <c r="HV186" t="s">
        <v>1309</v>
      </c>
      <c r="HW186" t="s">
        <v>1309</v>
      </c>
      <c r="HX186" t="s">
        <v>1309</v>
      </c>
      <c r="HY186" t="s">
        <v>1309</v>
      </c>
      <c r="IA186" t="s">
        <v>1307</v>
      </c>
      <c r="IQ186" t="s">
        <v>1330</v>
      </c>
      <c r="IS186" t="s">
        <v>1316</v>
      </c>
      <c r="JF186" t="s">
        <v>1450</v>
      </c>
      <c r="JG186" t="s">
        <v>1566</v>
      </c>
      <c r="JH186" t="s">
        <v>1310</v>
      </c>
      <c r="JI186" t="s">
        <v>1309</v>
      </c>
      <c r="JJ186" t="s">
        <v>1309</v>
      </c>
      <c r="JK186" t="s">
        <v>1309</v>
      </c>
      <c r="JL186" t="s">
        <v>1310</v>
      </c>
      <c r="JM186" t="s">
        <v>1309</v>
      </c>
      <c r="JN186" t="s">
        <v>1309</v>
      </c>
      <c r="JO186" t="s">
        <v>1309</v>
      </c>
      <c r="JQ186" s="92" t="s">
        <v>1394</v>
      </c>
      <c r="JR186" s="92" t="s">
        <v>2009</v>
      </c>
      <c r="JS186" s="92">
        <v>59</v>
      </c>
      <c r="JT186" s="92" t="s">
        <v>1319</v>
      </c>
      <c r="JU186" s="92" t="s">
        <v>1396</v>
      </c>
      <c r="JV186" s="92" t="s">
        <v>1336</v>
      </c>
      <c r="JW186" s="92" t="s">
        <v>1296</v>
      </c>
      <c r="JX186" s="92" t="s">
        <v>70</v>
      </c>
      <c r="JY186" s="92" t="s">
        <v>1397</v>
      </c>
      <c r="JZ186" s="92" t="s">
        <v>1337</v>
      </c>
      <c r="KA186" s="92" t="s">
        <v>4845</v>
      </c>
      <c r="KB186" s="92" t="s">
        <v>1439</v>
      </c>
      <c r="KC186" s="92" t="s">
        <v>192</v>
      </c>
      <c r="KD186" s="92" t="s">
        <v>4847</v>
      </c>
      <c r="KE186" s="92" t="s">
        <v>5560</v>
      </c>
      <c r="KF186" s="92">
        <v>1500</v>
      </c>
      <c r="KG186" s="92" t="s">
        <v>4439</v>
      </c>
      <c r="KH186" s="92" t="s">
        <v>109</v>
      </c>
      <c r="KI186" s="92" t="s">
        <v>109</v>
      </c>
      <c r="KJ186" s="92" t="s">
        <v>109</v>
      </c>
      <c r="KK186" s="92" t="s">
        <v>109</v>
      </c>
      <c r="KL186" s="92" t="s">
        <v>1440</v>
      </c>
      <c r="KM186" s="92">
        <v>2000</v>
      </c>
      <c r="KN186" s="92" t="s">
        <v>4439</v>
      </c>
      <c r="KO186" s="92" t="s">
        <v>1440</v>
      </c>
      <c r="KP186" s="92" t="s">
        <v>1375</v>
      </c>
      <c r="KQ186" s="92" t="s">
        <v>109</v>
      </c>
      <c r="KR186" s="92"/>
      <c r="KS186" s="92" t="s">
        <v>1343</v>
      </c>
      <c r="KT186" s="92" t="s">
        <v>1344</v>
      </c>
      <c r="KU186" s="92"/>
      <c r="KV186" s="92" t="s">
        <v>1345</v>
      </c>
      <c r="KW186" s="92" t="s">
        <v>1344</v>
      </c>
      <c r="KX186" s="92" t="s">
        <v>1376</v>
      </c>
      <c r="KY186" s="92" t="s">
        <v>1377</v>
      </c>
      <c r="KZ186" s="92" t="s">
        <v>1403</v>
      </c>
      <c r="LA186" s="92" t="s">
        <v>109</v>
      </c>
      <c r="LB186" s="92" t="s">
        <v>109</v>
      </c>
      <c r="LC186" s="92" t="s">
        <v>4439</v>
      </c>
      <c r="LD186" s="92" t="s">
        <v>4439</v>
      </c>
      <c r="LE186" s="92" t="s">
        <v>192</v>
      </c>
      <c r="LF186" s="92" t="s">
        <v>192</v>
      </c>
    </row>
    <row r="187" spans="1:318" x14ac:dyDescent="0.25">
      <c r="A187" t="s">
        <v>2258</v>
      </c>
      <c r="B187" t="s">
        <v>2259</v>
      </c>
      <c r="C187" t="s">
        <v>1304</v>
      </c>
      <c r="D187" t="s">
        <v>1305</v>
      </c>
      <c r="E187" t="s">
        <v>1306</v>
      </c>
      <c r="G187" t="s">
        <v>1307</v>
      </c>
      <c r="H187">
        <v>2</v>
      </c>
      <c r="I187" t="s">
        <v>1307</v>
      </c>
      <c r="J187" t="s">
        <v>1308</v>
      </c>
      <c r="K187" t="s">
        <v>1309</v>
      </c>
      <c r="L187" t="s">
        <v>1309</v>
      </c>
      <c r="M187" t="s">
        <v>1309</v>
      </c>
      <c r="N187" t="s">
        <v>1309</v>
      </c>
      <c r="O187" t="s">
        <v>1309</v>
      </c>
      <c r="P187" t="s">
        <v>1309</v>
      </c>
      <c r="Q187" t="s">
        <v>1310</v>
      </c>
      <c r="R187" t="s">
        <v>1309</v>
      </c>
      <c r="U187" t="s">
        <v>1312</v>
      </c>
      <c r="V187" t="s">
        <v>1312</v>
      </c>
      <c r="W187" t="s">
        <v>1311</v>
      </c>
      <c r="X187" t="s">
        <v>1312</v>
      </c>
      <c r="Y187" t="s">
        <v>1312</v>
      </c>
      <c r="Z187" t="s">
        <v>1312</v>
      </c>
      <c r="AC187">
        <v>2</v>
      </c>
      <c r="AD187">
        <v>6000</v>
      </c>
      <c r="AE187">
        <v>8000</v>
      </c>
      <c r="AF187" t="s">
        <v>1351</v>
      </c>
      <c r="AH187" t="s">
        <v>1352</v>
      </c>
      <c r="AJ187" t="s">
        <v>1353</v>
      </c>
      <c r="AL187" t="s">
        <v>1316</v>
      </c>
      <c r="BA187" t="s">
        <v>1354</v>
      </c>
      <c r="BS187" t="s">
        <v>1307</v>
      </c>
      <c r="CE187" t="s">
        <v>1355</v>
      </c>
      <c r="CF187" t="s">
        <v>1309</v>
      </c>
      <c r="CG187" t="s">
        <v>1309</v>
      </c>
      <c r="CH187" t="s">
        <v>1309</v>
      </c>
      <c r="CI187" t="s">
        <v>1309</v>
      </c>
      <c r="CJ187" t="s">
        <v>1309</v>
      </c>
      <c r="CK187" t="s">
        <v>1309</v>
      </c>
      <c r="CL187" t="s">
        <v>1309</v>
      </c>
      <c r="CM187" t="s">
        <v>1309</v>
      </c>
      <c r="CN187" t="s">
        <v>1310</v>
      </c>
      <c r="CO187" t="s">
        <v>1309</v>
      </c>
      <c r="CP187" t="s">
        <v>1309</v>
      </c>
      <c r="CQ187" t="s">
        <v>1309</v>
      </c>
      <c r="CR187" t="s">
        <v>1309</v>
      </c>
      <c r="CT187" t="s">
        <v>4436</v>
      </c>
      <c r="CV187" t="s">
        <v>1444</v>
      </c>
      <c r="CW187" t="s">
        <v>1309</v>
      </c>
      <c r="CX187" t="s">
        <v>1310</v>
      </c>
      <c r="CY187" t="s">
        <v>1309</v>
      </c>
      <c r="CZ187" t="s">
        <v>1309</v>
      </c>
      <c r="DA187" t="s">
        <v>1309</v>
      </c>
      <c r="DB187" t="s">
        <v>1309</v>
      </c>
      <c r="DC187" t="s">
        <v>1309</v>
      </c>
      <c r="DE187" t="s">
        <v>1358</v>
      </c>
      <c r="DG187">
        <v>350</v>
      </c>
      <c r="DI187">
        <v>600</v>
      </c>
      <c r="DJ187" t="s">
        <v>1358</v>
      </c>
      <c r="DK187">
        <v>500</v>
      </c>
      <c r="DM187">
        <v>600</v>
      </c>
      <c r="DN187" t="s">
        <v>1521</v>
      </c>
      <c r="DO187" t="s">
        <v>1309</v>
      </c>
      <c r="DP187" t="s">
        <v>1310</v>
      </c>
      <c r="DQ187" t="s">
        <v>1309</v>
      </c>
      <c r="DR187" t="s">
        <v>1309</v>
      </c>
      <c r="DS187" t="s">
        <v>1309</v>
      </c>
      <c r="DT187" t="s">
        <v>1310</v>
      </c>
      <c r="DU187" t="s">
        <v>1309</v>
      </c>
      <c r="DV187" t="s">
        <v>1309</v>
      </c>
      <c r="DW187" t="s">
        <v>1309</v>
      </c>
      <c r="DY187" t="s">
        <v>1359</v>
      </c>
      <c r="DZ187">
        <v>500</v>
      </c>
      <c r="EA187" t="s">
        <v>1386</v>
      </c>
      <c r="EC187" t="s">
        <v>1738</v>
      </c>
      <c r="ED187">
        <v>1000</v>
      </c>
      <c r="EE187" t="s">
        <v>1386</v>
      </c>
      <c r="EG187" t="s">
        <v>5356</v>
      </c>
      <c r="EI187" t="s">
        <v>1307</v>
      </c>
      <c r="ET187" t="s">
        <v>1307</v>
      </c>
      <c r="EV187" t="s">
        <v>1319</v>
      </c>
      <c r="EW187" t="s">
        <v>1414</v>
      </c>
      <c r="EX187" t="s">
        <v>1319</v>
      </c>
      <c r="EY187" t="s">
        <v>1319</v>
      </c>
      <c r="EZ187" t="s">
        <v>1319</v>
      </c>
      <c r="FA187" t="s">
        <v>2260</v>
      </c>
      <c r="FB187" t="s">
        <v>1309</v>
      </c>
      <c r="FC187" t="s">
        <v>1310</v>
      </c>
      <c r="FD187" t="s">
        <v>1310</v>
      </c>
      <c r="FE187" t="s">
        <v>1309</v>
      </c>
      <c r="FF187" t="s">
        <v>1310</v>
      </c>
      <c r="FG187" t="s">
        <v>1309</v>
      </c>
      <c r="FH187" t="s">
        <v>1310</v>
      </c>
      <c r="FI187" t="s">
        <v>1310</v>
      </c>
      <c r="FJ187" t="s">
        <v>1309</v>
      </c>
      <c r="FK187" t="s">
        <v>1309</v>
      </c>
      <c r="FL187" t="s">
        <v>1309</v>
      </c>
      <c r="FM187" t="s">
        <v>1309</v>
      </c>
      <c r="FN187" t="s">
        <v>1309</v>
      </c>
      <c r="FO187" t="s">
        <v>1310</v>
      </c>
      <c r="FP187" t="s">
        <v>1309</v>
      </c>
      <c r="FQ187" t="s">
        <v>1309</v>
      </c>
      <c r="FR187" t="s">
        <v>1309</v>
      </c>
      <c r="FT187" t="s">
        <v>1319</v>
      </c>
      <c r="FU187" t="s">
        <v>2040</v>
      </c>
      <c r="FV187" t="s">
        <v>1310</v>
      </c>
      <c r="FW187" t="s">
        <v>1310</v>
      </c>
      <c r="FX187" t="s">
        <v>1309</v>
      </c>
      <c r="FY187" t="s">
        <v>1309</v>
      </c>
      <c r="FZ187" t="s">
        <v>1309</v>
      </c>
      <c r="GA187" t="s">
        <v>1310</v>
      </c>
      <c r="GB187" t="s">
        <v>1309</v>
      </c>
      <c r="GC187" t="s">
        <v>1309</v>
      </c>
      <c r="GD187" t="s">
        <v>1310</v>
      </c>
      <c r="GE187" t="s">
        <v>1309</v>
      </c>
      <c r="GF187" t="s">
        <v>1309</v>
      </c>
      <c r="GG187" t="s">
        <v>1309</v>
      </c>
      <c r="GI187" t="s">
        <v>1324</v>
      </c>
      <c r="GJ187" t="s">
        <v>1324</v>
      </c>
      <c r="GT187" t="s">
        <v>2207</v>
      </c>
      <c r="GU187" t="s">
        <v>1310</v>
      </c>
      <c r="GV187" t="s">
        <v>1309</v>
      </c>
      <c r="GW187" t="s">
        <v>1309</v>
      </c>
      <c r="GX187" t="s">
        <v>1310</v>
      </c>
      <c r="GY187" t="s">
        <v>1309</v>
      </c>
      <c r="GZ187" t="s">
        <v>1309</v>
      </c>
      <c r="HA187" t="s">
        <v>1309</v>
      </c>
      <c r="HB187" t="s">
        <v>1309</v>
      </c>
      <c r="HC187" t="s">
        <v>1309</v>
      </c>
      <c r="HD187" t="s">
        <v>1309</v>
      </c>
      <c r="HE187" t="s">
        <v>1309</v>
      </c>
      <c r="HF187" t="s">
        <v>1309</v>
      </c>
      <c r="HH187" t="s">
        <v>1390</v>
      </c>
      <c r="HI187" t="s">
        <v>1390</v>
      </c>
      <c r="HJ187" t="s">
        <v>1390</v>
      </c>
      <c r="HK187" t="s">
        <v>1327</v>
      </c>
      <c r="HL187" t="s">
        <v>1328</v>
      </c>
      <c r="HM187" t="s">
        <v>1390</v>
      </c>
      <c r="HN187" t="s">
        <v>1698</v>
      </c>
      <c r="HO187" t="s">
        <v>1309</v>
      </c>
      <c r="HP187" t="s">
        <v>1309</v>
      </c>
      <c r="HQ187" t="s">
        <v>1309</v>
      </c>
      <c r="HR187" t="s">
        <v>1309</v>
      </c>
      <c r="HS187" t="s">
        <v>1309</v>
      </c>
      <c r="HT187" t="s">
        <v>1309</v>
      </c>
      <c r="HU187" t="s">
        <v>1309</v>
      </c>
      <c r="HV187" t="s">
        <v>1309</v>
      </c>
      <c r="HW187" t="s">
        <v>1310</v>
      </c>
      <c r="HX187" t="s">
        <v>1309</v>
      </c>
      <c r="HY187" t="s">
        <v>1309</v>
      </c>
      <c r="HZ187" t="s">
        <v>2041</v>
      </c>
      <c r="IA187" t="s">
        <v>1319</v>
      </c>
      <c r="IB187" t="s">
        <v>2261</v>
      </c>
      <c r="IC187" t="s">
        <v>1310</v>
      </c>
      <c r="ID187" t="s">
        <v>1309</v>
      </c>
      <c r="IE187" t="s">
        <v>1309</v>
      </c>
      <c r="IF187" t="s">
        <v>1310</v>
      </c>
      <c r="IG187" t="s">
        <v>1310</v>
      </c>
      <c r="IH187" t="s">
        <v>1309</v>
      </c>
      <c r="II187" t="s">
        <v>1309</v>
      </c>
      <c r="IJ187" t="s">
        <v>1309</v>
      </c>
      <c r="IK187" t="s">
        <v>1309</v>
      </c>
      <c r="IL187" t="s">
        <v>1309</v>
      </c>
      <c r="IM187" t="s">
        <v>1309</v>
      </c>
      <c r="IN187" t="s">
        <v>1309</v>
      </c>
      <c r="IO187" t="s">
        <v>1309</v>
      </c>
      <c r="IQ187" t="s">
        <v>1308</v>
      </c>
      <c r="IS187" t="s">
        <v>1331</v>
      </c>
      <c r="JF187" t="s">
        <v>1316</v>
      </c>
      <c r="JG187" t="s">
        <v>1414</v>
      </c>
      <c r="JH187" t="s">
        <v>1309</v>
      </c>
      <c r="JI187" t="s">
        <v>1309</v>
      </c>
      <c r="JJ187" t="s">
        <v>1309</v>
      </c>
      <c r="JK187" t="s">
        <v>1309</v>
      </c>
      <c r="JL187" t="s">
        <v>1309</v>
      </c>
      <c r="JM187" t="s">
        <v>1309</v>
      </c>
      <c r="JN187" t="s">
        <v>1310</v>
      </c>
      <c r="JO187" t="s">
        <v>1309</v>
      </c>
      <c r="JQ187" s="92" t="s">
        <v>2262</v>
      </c>
      <c r="JR187" s="92" t="s">
        <v>2263</v>
      </c>
      <c r="JS187" s="92">
        <v>58</v>
      </c>
      <c r="JT187" s="92" t="s">
        <v>1319</v>
      </c>
      <c r="JU187" s="92" t="s">
        <v>1335</v>
      </c>
      <c r="JV187" s="92" t="s">
        <v>1526</v>
      </c>
      <c r="JW187" s="92" t="s">
        <v>1296</v>
      </c>
      <c r="JX187" s="92" t="s">
        <v>70</v>
      </c>
      <c r="JY187" s="92" t="s">
        <v>5549</v>
      </c>
      <c r="JZ187" s="92" t="s">
        <v>1337</v>
      </c>
      <c r="KA187" s="92" t="s">
        <v>4845</v>
      </c>
      <c r="KB187" s="92" t="s">
        <v>1338</v>
      </c>
      <c r="KC187" s="92" t="s">
        <v>109</v>
      </c>
      <c r="KD187" s="92" t="s">
        <v>4847</v>
      </c>
      <c r="KE187" s="92" t="s">
        <v>1424</v>
      </c>
      <c r="KF187" s="92">
        <v>950</v>
      </c>
      <c r="KG187" s="92" t="s">
        <v>4438</v>
      </c>
      <c r="KH187" s="92" t="s">
        <v>192</v>
      </c>
      <c r="KI187" s="92" t="s">
        <v>109</v>
      </c>
      <c r="KJ187" s="92" t="s">
        <v>192</v>
      </c>
      <c r="KK187" s="92" t="s">
        <v>109</v>
      </c>
      <c r="KL187" s="92" t="s">
        <v>1374</v>
      </c>
      <c r="KM187" s="92">
        <v>1100</v>
      </c>
      <c r="KN187" s="92" t="s">
        <v>4438</v>
      </c>
      <c r="KO187" s="92" t="s">
        <v>1440</v>
      </c>
      <c r="KP187" s="92" t="s">
        <v>1375</v>
      </c>
      <c r="KQ187" s="92" t="s">
        <v>192</v>
      </c>
      <c r="KR187" s="92"/>
      <c r="KS187" s="92" t="s">
        <v>1345</v>
      </c>
      <c r="KT187" s="92" t="s">
        <v>1402</v>
      </c>
      <c r="KU187" s="92"/>
      <c r="KV187" s="92" t="s">
        <v>1461</v>
      </c>
      <c r="KW187" s="92" t="s">
        <v>1402</v>
      </c>
      <c r="KX187" s="92" t="s">
        <v>1376</v>
      </c>
      <c r="KY187" s="92" t="s">
        <v>1347</v>
      </c>
      <c r="KZ187" s="92" t="s">
        <v>5795</v>
      </c>
      <c r="LA187" s="92" t="s">
        <v>109</v>
      </c>
      <c r="LB187" s="92" t="s">
        <v>109</v>
      </c>
      <c r="LC187" s="92" t="s">
        <v>4438</v>
      </c>
      <c r="LD187" s="92" t="s">
        <v>4438</v>
      </c>
      <c r="LE187" s="92" t="s">
        <v>192</v>
      </c>
      <c r="LF187" s="92" t="s">
        <v>192</v>
      </c>
    </row>
    <row r="188" spans="1:318" x14ac:dyDescent="0.25">
      <c r="A188" t="s">
        <v>2264</v>
      </c>
      <c r="B188" t="s">
        <v>2265</v>
      </c>
      <c r="C188" t="s">
        <v>1304</v>
      </c>
      <c r="D188" t="s">
        <v>1305</v>
      </c>
      <c r="E188" t="s">
        <v>1381</v>
      </c>
      <c r="G188" t="s">
        <v>1319</v>
      </c>
      <c r="H188">
        <v>4</v>
      </c>
      <c r="I188" t="s">
        <v>1358</v>
      </c>
      <c r="J188" t="s">
        <v>1382</v>
      </c>
      <c r="K188" t="s">
        <v>1309</v>
      </c>
      <c r="L188" t="s">
        <v>1310</v>
      </c>
      <c r="M188" t="s">
        <v>1309</v>
      </c>
      <c r="N188" t="s">
        <v>1309</v>
      </c>
      <c r="O188" t="s">
        <v>1309</v>
      </c>
      <c r="P188" t="s">
        <v>1310</v>
      </c>
      <c r="Q188" t="s">
        <v>1309</v>
      </c>
      <c r="R188" t="s">
        <v>1309</v>
      </c>
      <c r="S188">
        <v>3</v>
      </c>
      <c r="U188" t="s">
        <v>1311</v>
      </c>
      <c r="V188" t="s">
        <v>1312</v>
      </c>
      <c r="W188" t="s">
        <v>1312</v>
      </c>
      <c r="X188" t="s">
        <v>1312</v>
      </c>
      <c r="Y188" t="s">
        <v>1312</v>
      </c>
      <c r="Z188" t="s">
        <v>1312</v>
      </c>
      <c r="AC188">
        <v>4</v>
      </c>
      <c r="AD188">
        <v>9500</v>
      </c>
      <c r="AE188">
        <v>7000</v>
      </c>
      <c r="AF188" t="s">
        <v>1313</v>
      </c>
      <c r="AH188" t="s">
        <v>1383</v>
      </c>
      <c r="AJ188" t="s">
        <v>1315</v>
      </c>
      <c r="AL188" t="s">
        <v>1316</v>
      </c>
      <c r="BS188" t="s">
        <v>1307</v>
      </c>
      <c r="CE188" t="s">
        <v>1355</v>
      </c>
      <c r="CF188" t="s">
        <v>1309</v>
      </c>
      <c r="CG188" t="s">
        <v>1309</v>
      </c>
      <c r="CH188" t="s">
        <v>1309</v>
      </c>
      <c r="CI188" t="s">
        <v>1309</v>
      </c>
      <c r="CJ188" t="s">
        <v>1309</v>
      </c>
      <c r="CK188" t="s">
        <v>1309</v>
      </c>
      <c r="CL188" t="s">
        <v>1309</v>
      </c>
      <c r="CM188" t="s">
        <v>1309</v>
      </c>
      <c r="CN188" t="s">
        <v>1310</v>
      </c>
      <c r="CO188" t="s">
        <v>1309</v>
      </c>
      <c r="CP188" t="s">
        <v>1309</v>
      </c>
      <c r="CQ188" t="s">
        <v>1309</v>
      </c>
      <c r="CR188" t="s">
        <v>1309</v>
      </c>
      <c r="CT188" t="s">
        <v>4433</v>
      </c>
      <c r="CV188" t="s">
        <v>1308</v>
      </c>
      <c r="CW188" t="s">
        <v>1310</v>
      </c>
      <c r="CX188" t="s">
        <v>1309</v>
      </c>
      <c r="CY188" t="s">
        <v>1309</v>
      </c>
      <c r="CZ188" t="s">
        <v>1309</v>
      </c>
      <c r="DA188" t="s">
        <v>1309</v>
      </c>
      <c r="DB188" t="s">
        <v>1309</v>
      </c>
      <c r="DC188" t="s">
        <v>1309</v>
      </c>
      <c r="DE188" t="s">
        <v>1358</v>
      </c>
      <c r="DF188" t="s">
        <v>1307</v>
      </c>
      <c r="DI188">
        <v>1000</v>
      </c>
      <c r="DJ188" t="s">
        <v>1358</v>
      </c>
      <c r="DM188">
        <v>1500</v>
      </c>
      <c r="DN188" t="s">
        <v>1676</v>
      </c>
      <c r="DO188" t="s">
        <v>1309</v>
      </c>
      <c r="DP188" t="s">
        <v>1309</v>
      </c>
      <c r="DQ188" t="s">
        <v>1309</v>
      </c>
      <c r="DR188" t="s">
        <v>1309</v>
      </c>
      <c r="DS188" t="s">
        <v>1310</v>
      </c>
      <c r="DT188" t="s">
        <v>1310</v>
      </c>
      <c r="DU188" t="s">
        <v>1309</v>
      </c>
      <c r="DV188" t="s">
        <v>1309</v>
      </c>
      <c r="DW188" t="s">
        <v>1309</v>
      </c>
      <c r="DY188" t="s">
        <v>1359</v>
      </c>
      <c r="DZ188">
        <v>400</v>
      </c>
      <c r="EA188" t="s">
        <v>1319</v>
      </c>
      <c r="EC188" t="s">
        <v>1360</v>
      </c>
      <c r="ED188">
        <v>750</v>
      </c>
      <c r="EE188" t="s">
        <v>1319</v>
      </c>
      <c r="EG188" t="s">
        <v>5356</v>
      </c>
      <c r="EI188" t="s">
        <v>1307</v>
      </c>
      <c r="ET188" t="s">
        <v>1307</v>
      </c>
      <c r="EV188" t="s">
        <v>1307</v>
      </c>
      <c r="EX188" t="s">
        <v>1307</v>
      </c>
      <c r="FT188" t="s">
        <v>1319</v>
      </c>
      <c r="FU188" t="s">
        <v>1389</v>
      </c>
      <c r="FV188" t="s">
        <v>1310</v>
      </c>
      <c r="FW188" t="s">
        <v>1310</v>
      </c>
      <c r="FX188" t="s">
        <v>1309</v>
      </c>
      <c r="FY188" t="s">
        <v>1309</v>
      </c>
      <c r="FZ188" t="s">
        <v>1309</v>
      </c>
      <c r="GA188" t="s">
        <v>1310</v>
      </c>
      <c r="GB188" t="s">
        <v>1309</v>
      </c>
      <c r="GC188" t="s">
        <v>1309</v>
      </c>
      <c r="GD188" t="s">
        <v>1309</v>
      </c>
      <c r="GE188" t="s">
        <v>1309</v>
      </c>
      <c r="GF188" t="s">
        <v>1309</v>
      </c>
      <c r="GG188" t="s">
        <v>1309</v>
      </c>
      <c r="GI188" t="s">
        <v>1324</v>
      </c>
      <c r="GJ188" t="s">
        <v>1324</v>
      </c>
      <c r="GT188" t="s">
        <v>1325</v>
      </c>
      <c r="GU188" t="s">
        <v>1310</v>
      </c>
      <c r="GV188" t="s">
        <v>1309</v>
      </c>
      <c r="GW188" t="s">
        <v>1309</v>
      </c>
      <c r="GX188" t="s">
        <v>1309</v>
      </c>
      <c r="GY188" t="s">
        <v>1309</v>
      </c>
      <c r="GZ188" t="s">
        <v>1309</v>
      </c>
      <c r="HA188" t="s">
        <v>1309</v>
      </c>
      <c r="HB188" t="s">
        <v>1309</v>
      </c>
      <c r="HC188" t="s">
        <v>1309</v>
      </c>
      <c r="HD188" t="s">
        <v>1309</v>
      </c>
      <c r="HE188" t="s">
        <v>1309</v>
      </c>
      <c r="HF188" t="s">
        <v>1309</v>
      </c>
      <c r="HH188" t="s">
        <v>1363</v>
      </c>
      <c r="HI188" t="s">
        <v>1363</v>
      </c>
      <c r="HJ188" t="s">
        <v>1363</v>
      </c>
      <c r="HK188" t="s">
        <v>1327</v>
      </c>
      <c r="HL188" t="s">
        <v>1364</v>
      </c>
      <c r="HM188" t="s">
        <v>1363</v>
      </c>
      <c r="IA188" t="s">
        <v>1307</v>
      </c>
      <c r="IQ188" t="s">
        <v>1308</v>
      </c>
      <c r="IS188" t="s">
        <v>1316</v>
      </c>
      <c r="JF188" t="s">
        <v>1316</v>
      </c>
      <c r="JG188" t="s">
        <v>1414</v>
      </c>
      <c r="JH188" t="s">
        <v>1309</v>
      </c>
      <c r="JI188" t="s">
        <v>1309</v>
      </c>
      <c r="JJ188" t="s">
        <v>1309</v>
      </c>
      <c r="JK188" t="s">
        <v>1309</v>
      </c>
      <c r="JL188" t="s">
        <v>1309</v>
      </c>
      <c r="JM188" t="s">
        <v>1309</v>
      </c>
      <c r="JN188" t="s">
        <v>1310</v>
      </c>
      <c r="JO188" t="s">
        <v>1309</v>
      </c>
      <c r="JQ188" s="92" t="s">
        <v>2092</v>
      </c>
      <c r="JR188" s="92" t="s">
        <v>2093</v>
      </c>
      <c r="JS188" s="92">
        <v>40</v>
      </c>
      <c r="JT188" s="92" t="s">
        <v>1319</v>
      </c>
      <c r="JU188" s="92" t="s">
        <v>1575</v>
      </c>
      <c r="JV188" s="92" t="s">
        <v>1368</v>
      </c>
      <c r="JW188" s="92" t="s">
        <v>1296</v>
      </c>
      <c r="JX188" s="92" t="s">
        <v>71</v>
      </c>
      <c r="JY188" s="92" t="s">
        <v>1397</v>
      </c>
      <c r="JZ188" s="92" t="s">
        <v>1337</v>
      </c>
      <c r="KA188" s="92" t="s">
        <v>4845</v>
      </c>
      <c r="KB188" s="92" t="s">
        <v>1399</v>
      </c>
      <c r="KC188" s="92" t="s">
        <v>109</v>
      </c>
      <c r="KD188" s="92" t="s">
        <v>4848</v>
      </c>
      <c r="KE188" s="92" t="s">
        <v>1424</v>
      </c>
      <c r="KF188" s="92">
        <v>1000</v>
      </c>
      <c r="KG188" s="92" t="s">
        <v>4438</v>
      </c>
      <c r="KH188" s="92" t="s">
        <v>109</v>
      </c>
      <c r="KI188" s="92" t="s">
        <v>109</v>
      </c>
      <c r="KJ188" s="92" t="s">
        <v>109</v>
      </c>
      <c r="KK188" s="92" t="s">
        <v>109</v>
      </c>
      <c r="KL188" s="92" t="s">
        <v>1374</v>
      </c>
      <c r="KM188" s="92">
        <v>1500</v>
      </c>
      <c r="KN188" s="92" t="s">
        <v>4438</v>
      </c>
      <c r="KO188" s="92" t="s">
        <v>1440</v>
      </c>
      <c r="KP188" s="92" t="s">
        <v>1561</v>
      </c>
      <c r="KQ188" s="92" t="s">
        <v>109</v>
      </c>
      <c r="KR188" s="92">
        <v>40</v>
      </c>
      <c r="KS188" s="92" t="s">
        <v>1343</v>
      </c>
      <c r="KT188" s="92" t="s">
        <v>1344</v>
      </c>
      <c r="KU188" s="92">
        <v>50</v>
      </c>
      <c r="KV188" s="92" t="s">
        <v>1441</v>
      </c>
      <c r="KW188" s="92" t="s">
        <v>1344</v>
      </c>
      <c r="KX188" s="92" t="s">
        <v>1376</v>
      </c>
      <c r="KY188" s="92" t="s">
        <v>1377</v>
      </c>
      <c r="KZ188" s="92" t="s">
        <v>1403</v>
      </c>
      <c r="LA188" s="92" t="s">
        <v>109</v>
      </c>
      <c r="LB188" s="92" t="s">
        <v>109</v>
      </c>
      <c r="LC188" s="92" t="s">
        <v>4438</v>
      </c>
      <c r="LD188" s="92" t="s">
        <v>4438</v>
      </c>
      <c r="LE188" s="92" t="s">
        <v>109</v>
      </c>
      <c r="LF188" s="92" t="s">
        <v>109</v>
      </c>
    </row>
    <row r="189" spans="1:318" x14ac:dyDescent="0.25">
      <c r="A189" t="s">
        <v>2266</v>
      </c>
      <c r="B189" t="s">
        <v>2267</v>
      </c>
      <c r="C189" t="s">
        <v>1304</v>
      </c>
      <c r="D189" t="s">
        <v>1305</v>
      </c>
      <c r="E189" t="s">
        <v>1306</v>
      </c>
      <c r="G189" t="s">
        <v>1307</v>
      </c>
      <c r="H189">
        <v>2</v>
      </c>
      <c r="I189" t="s">
        <v>1307</v>
      </c>
      <c r="J189" t="s">
        <v>1430</v>
      </c>
      <c r="K189" t="s">
        <v>1309</v>
      </c>
      <c r="L189" t="s">
        <v>1309</v>
      </c>
      <c r="M189" t="s">
        <v>1310</v>
      </c>
      <c r="N189" t="s">
        <v>1309</v>
      </c>
      <c r="O189" t="s">
        <v>1309</v>
      </c>
      <c r="P189" t="s">
        <v>1309</v>
      </c>
      <c r="Q189" t="s">
        <v>1309</v>
      </c>
      <c r="R189" t="s">
        <v>1309</v>
      </c>
      <c r="T189">
        <v>2</v>
      </c>
      <c r="U189" t="s">
        <v>1311</v>
      </c>
      <c r="V189" t="s">
        <v>1311</v>
      </c>
      <c r="W189" t="s">
        <v>1311</v>
      </c>
      <c r="X189" t="s">
        <v>1311</v>
      </c>
      <c r="Y189" t="s">
        <v>1312</v>
      </c>
      <c r="Z189" t="s">
        <v>1312</v>
      </c>
      <c r="AC189">
        <v>2</v>
      </c>
      <c r="AD189">
        <v>5500</v>
      </c>
      <c r="AE189">
        <v>5000</v>
      </c>
      <c r="AF189" t="s">
        <v>1313</v>
      </c>
      <c r="AH189" t="s">
        <v>1352</v>
      </c>
      <c r="AJ189" t="s">
        <v>1353</v>
      </c>
      <c r="AL189" t="s">
        <v>1316</v>
      </c>
      <c r="BA189" t="s">
        <v>1316</v>
      </c>
      <c r="BS189" t="s">
        <v>1307</v>
      </c>
      <c r="CE189" t="s">
        <v>1317</v>
      </c>
      <c r="CF189" t="s">
        <v>1309</v>
      </c>
      <c r="CG189" t="s">
        <v>1309</v>
      </c>
      <c r="CH189" t="s">
        <v>1309</v>
      </c>
      <c r="CI189" t="s">
        <v>1309</v>
      </c>
      <c r="CJ189" t="s">
        <v>1309</v>
      </c>
      <c r="CK189" t="s">
        <v>1309</v>
      </c>
      <c r="CL189" t="s">
        <v>1309</v>
      </c>
      <c r="CM189" t="s">
        <v>1309</v>
      </c>
      <c r="CN189" t="s">
        <v>1310</v>
      </c>
      <c r="CO189" t="s">
        <v>1310</v>
      </c>
      <c r="CP189" t="s">
        <v>1309</v>
      </c>
      <c r="CQ189" t="s">
        <v>1309</v>
      </c>
      <c r="CR189" t="s">
        <v>1309</v>
      </c>
      <c r="CT189" t="s">
        <v>4435</v>
      </c>
      <c r="CV189" t="s">
        <v>1308</v>
      </c>
      <c r="CW189" t="s">
        <v>1310</v>
      </c>
      <c r="CX189" t="s">
        <v>1309</v>
      </c>
      <c r="CY189" t="s">
        <v>1309</v>
      </c>
      <c r="CZ189" t="s">
        <v>1309</v>
      </c>
      <c r="DA189" t="s">
        <v>1309</v>
      </c>
      <c r="DB189" t="s">
        <v>1309</v>
      </c>
      <c r="DC189" t="s">
        <v>1309</v>
      </c>
      <c r="DE189" t="s">
        <v>1318</v>
      </c>
      <c r="DF189" t="s">
        <v>1319</v>
      </c>
      <c r="DG189">
        <v>300</v>
      </c>
      <c r="DH189">
        <v>1500</v>
      </c>
      <c r="DI189">
        <v>200</v>
      </c>
      <c r="DJ189" t="s">
        <v>1318</v>
      </c>
      <c r="DK189">
        <v>800</v>
      </c>
      <c r="DL189">
        <v>2800</v>
      </c>
      <c r="DM189">
        <v>450</v>
      </c>
      <c r="DN189" t="s">
        <v>1647</v>
      </c>
      <c r="DO189" t="s">
        <v>1310</v>
      </c>
      <c r="DP189" t="s">
        <v>1309</v>
      </c>
      <c r="DQ189" t="s">
        <v>1309</v>
      </c>
      <c r="DR189" t="s">
        <v>1310</v>
      </c>
      <c r="DS189" t="s">
        <v>1309</v>
      </c>
      <c r="DT189" t="s">
        <v>1310</v>
      </c>
      <c r="DU189" t="s">
        <v>1309</v>
      </c>
      <c r="DV189" t="s">
        <v>1309</v>
      </c>
      <c r="DW189" t="s">
        <v>1309</v>
      </c>
      <c r="DY189" t="s">
        <v>1696</v>
      </c>
      <c r="DZ189">
        <v>300</v>
      </c>
      <c r="EA189" t="s">
        <v>1319</v>
      </c>
      <c r="EC189" t="s">
        <v>1658</v>
      </c>
      <c r="ED189">
        <v>500</v>
      </c>
      <c r="EE189" t="s">
        <v>1319</v>
      </c>
      <c r="EG189" t="s">
        <v>5356</v>
      </c>
      <c r="EI189" t="s">
        <v>1307</v>
      </c>
      <c r="ET189" t="s">
        <v>1307</v>
      </c>
      <c r="EV189" t="s">
        <v>1319</v>
      </c>
      <c r="EW189" t="s">
        <v>1409</v>
      </c>
      <c r="EX189" t="s">
        <v>1319</v>
      </c>
      <c r="EY189" t="s">
        <v>1307</v>
      </c>
      <c r="FA189" t="s">
        <v>1697</v>
      </c>
      <c r="FB189" t="s">
        <v>1309</v>
      </c>
      <c r="FC189" t="s">
        <v>1309</v>
      </c>
      <c r="FD189" t="s">
        <v>1309</v>
      </c>
      <c r="FE189" t="s">
        <v>1309</v>
      </c>
      <c r="FF189" t="s">
        <v>1309</v>
      </c>
      <c r="FG189" t="s">
        <v>1309</v>
      </c>
      <c r="FH189" t="s">
        <v>1309</v>
      </c>
      <c r="FI189" t="s">
        <v>1310</v>
      </c>
      <c r="FJ189" t="s">
        <v>1309</v>
      </c>
      <c r="FK189" t="s">
        <v>1309</v>
      </c>
      <c r="FL189" t="s">
        <v>1309</v>
      </c>
      <c r="FM189" t="s">
        <v>1309</v>
      </c>
      <c r="FN189" t="s">
        <v>1309</v>
      </c>
      <c r="FO189" t="s">
        <v>1309</v>
      </c>
      <c r="FP189" t="s">
        <v>1309</v>
      </c>
      <c r="FQ189" t="s">
        <v>1309</v>
      </c>
      <c r="FR189" t="s">
        <v>1309</v>
      </c>
      <c r="FT189" t="s">
        <v>1319</v>
      </c>
      <c r="FU189" t="s">
        <v>1549</v>
      </c>
      <c r="FV189" t="s">
        <v>1310</v>
      </c>
      <c r="FW189" t="s">
        <v>1310</v>
      </c>
      <c r="FX189" t="s">
        <v>1309</v>
      </c>
      <c r="FY189" t="s">
        <v>1309</v>
      </c>
      <c r="FZ189" t="s">
        <v>1309</v>
      </c>
      <c r="GA189" t="s">
        <v>1309</v>
      </c>
      <c r="GB189" t="s">
        <v>1309</v>
      </c>
      <c r="GC189" t="s">
        <v>1309</v>
      </c>
      <c r="GD189" t="s">
        <v>1309</v>
      </c>
      <c r="GE189" t="s">
        <v>1309</v>
      </c>
      <c r="GF189" t="s">
        <v>1309</v>
      </c>
      <c r="GG189" t="s">
        <v>1309</v>
      </c>
      <c r="GI189" t="s">
        <v>1324</v>
      </c>
      <c r="GJ189" t="s">
        <v>1324</v>
      </c>
      <c r="GT189" t="s">
        <v>1325</v>
      </c>
      <c r="GU189" t="s">
        <v>1310</v>
      </c>
      <c r="GV189" t="s">
        <v>1309</v>
      </c>
      <c r="GW189" t="s">
        <v>1309</v>
      </c>
      <c r="GX189" t="s">
        <v>1309</v>
      </c>
      <c r="GY189" t="s">
        <v>1309</v>
      </c>
      <c r="GZ189" t="s">
        <v>1309</v>
      </c>
      <c r="HA189" t="s">
        <v>1309</v>
      </c>
      <c r="HB189" t="s">
        <v>1309</v>
      </c>
      <c r="HC189" t="s">
        <v>1309</v>
      </c>
      <c r="HD189" t="s">
        <v>1309</v>
      </c>
      <c r="HE189" t="s">
        <v>1309</v>
      </c>
      <c r="HF189" t="s">
        <v>1309</v>
      </c>
      <c r="HH189" t="s">
        <v>1390</v>
      </c>
      <c r="HI189" t="s">
        <v>1326</v>
      </c>
      <c r="HJ189" t="s">
        <v>1390</v>
      </c>
      <c r="HK189" t="s">
        <v>1327</v>
      </c>
      <c r="HL189" t="s">
        <v>1328</v>
      </c>
      <c r="HM189" t="s">
        <v>1326</v>
      </c>
      <c r="HN189" t="s">
        <v>1550</v>
      </c>
      <c r="HO189" t="s">
        <v>1310</v>
      </c>
      <c r="HP189" t="s">
        <v>1309</v>
      </c>
      <c r="HQ189" t="s">
        <v>1309</v>
      </c>
      <c r="HR189" t="s">
        <v>1310</v>
      </c>
      <c r="HS189" t="s">
        <v>1309</v>
      </c>
      <c r="HT189" t="s">
        <v>1309</v>
      </c>
      <c r="HU189" t="s">
        <v>1309</v>
      </c>
      <c r="HV189" t="s">
        <v>1309</v>
      </c>
      <c r="HW189" t="s">
        <v>1309</v>
      </c>
      <c r="HX189" t="s">
        <v>1309</v>
      </c>
      <c r="HY189" t="s">
        <v>1309</v>
      </c>
      <c r="IA189" t="s">
        <v>1307</v>
      </c>
      <c r="IQ189" t="s">
        <v>1330</v>
      </c>
      <c r="IS189" t="s">
        <v>1316</v>
      </c>
      <c r="JF189" t="s">
        <v>1331</v>
      </c>
      <c r="JG189" t="s">
        <v>1523</v>
      </c>
      <c r="JH189" t="s">
        <v>1309</v>
      </c>
      <c r="JI189" t="s">
        <v>1309</v>
      </c>
      <c r="JJ189" t="s">
        <v>1309</v>
      </c>
      <c r="JK189" t="s">
        <v>1310</v>
      </c>
      <c r="JL189" t="s">
        <v>1309</v>
      </c>
      <c r="JM189" t="s">
        <v>1309</v>
      </c>
      <c r="JN189" t="s">
        <v>1309</v>
      </c>
      <c r="JO189" t="s">
        <v>1309</v>
      </c>
      <c r="JQ189" s="92" t="s">
        <v>1524</v>
      </c>
      <c r="JR189" s="92" t="s">
        <v>1525</v>
      </c>
      <c r="JS189" s="92">
        <v>68</v>
      </c>
      <c r="JT189" s="92" t="s">
        <v>1319</v>
      </c>
      <c r="JU189" s="92" t="s">
        <v>1335</v>
      </c>
      <c r="JV189" s="92" t="s">
        <v>1526</v>
      </c>
      <c r="JW189" s="92" t="s">
        <v>1296</v>
      </c>
      <c r="JX189" s="92" t="s">
        <v>71</v>
      </c>
      <c r="JY189" s="92" t="s">
        <v>5549</v>
      </c>
      <c r="JZ189" s="92" t="s">
        <v>1369</v>
      </c>
      <c r="KA189" s="92" t="s">
        <v>4845</v>
      </c>
      <c r="KB189" s="92" t="s">
        <v>1476</v>
      </c>
      <c r="KC189" s="92" t="s">
        <v>109</v>
      </c>
      <c r="KD189" s="92" t="s">
        <v>4847</v>
      </c>
      <c r="KE189" s="92" t="s">
        <v>1424</v>
      </c>
      <c r="KF189" s="92">
        <v>2000</v>
      </c>
      <c r="KG189" s="92" t="s">
        <v>4439</v>
      </c>
      <c r="KH189" s="92" t="s">
        <v>192</v>
      </c>
      <c r="KI189" s="92" t="s">
        <v>192</v>
      </c>
      <c r="KJ189" s="92" t="s">
        <v>192</v>
      </c>
      <c r="KK189" s="92" t="s">
        <v>192</v>
      </c>
      <c r="KL189" s="92" t="s">
        <v>1440</v>
      </c>
      <c r="KM189" s="92">
        <v>4050</v>
      </c>
      <c r="KN189" s="92" t="s">
        <v>1400</v>
      </c>
      <c r="KO189" s="92" t="s">
        <v>1341</v>
      </c>
      <c r="KP189" s="92" t="s">
        <v>1342</v>
      </c>
      <c r="KQ189" s="92" t="s">
        <v>192</v>
      </c>
      <c r="KR189" s="92">
        <v>15</v>
      </c>
      <c r="KS189" s="92" t="s">
        <v>1343</v>
      </c>
      <c r="KT189" s="92" t="s">
        <v>1344</v>
      </c>
      <c r="KU189" s="92">
        <v>12</v>
      </c>
      <c r="KV189" s="92" t="s">
        <v>1345</v>
      </c>
      <c r="KW189" s="92" t="s">
        <v>1344</v>
      </c>
      <c r="KX189" s="92" t="s">
        <v>1346</v>
      </c>
      <c r="KY189" s="92" t="s">
        <v>1347</v>
      </c>
      <c r="KZ189" s="92" t="s">
        <v>5795</v>
      </c>
      <c r="LA189" s="92" t="s">
        <v>109</v>
      </c>
      <c r="LB189" s="92" t="s">
        <v>109</v>
      </c>
      <c r="LC189" s="92" t="s">
        <v>4439</v>
      </c>
      <c r="LD189" s="92" t="s">
        <v>4439</v>
      </c>
      <c r="LE189" s="92" t="s">
        <v>192</v>
      </c>
      <c r="LF189" s="92" t="s">
        <v>192</v>
      </c>
    </row>
    <row r="190" spans="1:318" x14ac:dyDescent="0.25">
      <c r="A190" t="s">
        <v>2268</v>
      </c>
      <c r="B190" t="s">
        <v>2269</v>
      </c>
      <c r="C190" t="s">
        <v>1304</v>
      </c>
      <c r="D190" t="s">
        <v>1305</v>
      </c>
      <c r="E190" t="s">
        <v>1306</v>
      </c>
      <c r="G190" t="s">
        <v>1307</v>
      </c>
      <c r="H190">
        <v>6</v>
      </c>
      <c r="I190" t="s">
        <v>1307</v>
      </c>
      <c r="J190" t="s">
        <v>1502</v>
      </c>
      <c r="K190" t="s">
        <v>1310</v>
      </c>
      <c r="L190" t="s">
        <v>1310</v>
      </c>
      <c r="M190" t="s">
        <v>1309</v>
      </c>
      <c r="N190" t="s">
        <v>1309</v>
      </c>
      <c r="O190" t="s">
        <v>1309</v>
      </c>
      <c r="P190" t="s">
        <v>1309</v>
      </c>
      <c r="Q190" t="s">
        <v>1309</v>
      </c>
      <c r="R190" t="s">
        <v>1309</v>
      </c>
      <c r="S190">
        <v>2</v>
      </c>
      <c r="U190" t="s">
        <v>1312</v>
      </c>
      <c r="V190" t="s">
        <v>1312</v>
      </c>
      <c r="W190" t="s">
        <v>1311</v>
      </c>
      <c r="X190" t="s">
        <v>1312</v>
      </c>
      <c r="Y190" t="s">
        <v>1312</v>
      </c>
      <c r="Z190" t="s">
        <v>1312</v>
      </c>
      <c r="AC190">
        <v>4</v>
      </c>
      <c r="AE190">
        <v>25000</v>
      </c>
      <c r="AF190" t="s">
        <v>1351</v>
      </c>
      <c r="AH190" t="s">
        <v>1383</v>
      </c>
      <c r="AJ190" t="s">
        <v>1315</v>
      </c>
      <c r="AL190" t="s">
        <v>1354</v>
      </c>
      <c r="BS190" t="s">
        <v>1307</v>
      </c>
      <c r="CE190" t="s">
        <v>1611</v>
      </c>
      <c r="CF190" t="s">
        <v>1310</v>
      </c>
      <c r="CG190" t="s">
        <v>1309</v>
      </c>
      <c r="CH190" t="s">
        <v>1309</v>
      </c>
      <c r="CI190" t="s">
        <v>1309</v>
      </c>
      <c r="CJ190" t="s">
        <v>1309</v>
      </c>
      <c r="CK190" t="s">
        <v>1309</v>
      </c>
      <c r="CL190" t="s">
        <v>1309</v>
      </c>
      <c r="CM190" t="s">
        <v>1309</v>
      </c>
      <c r="CN190" t="s">
        <v>1310</v>
      </c>
      <c r="CO190" t="s">
        <v>1310</v>
      </c>
      <c r="CP190" t="s">
        <v>1309</v>
      </c>
      <c r="CQ190" t="s">
        <v>1309</v>
      </c>
      <c r="CR190" t="s">
        <v>1309</v>
      </c>
      <c r="CT190" t="s">
        <v>4434</v>
      </c>
      <c r="CV190" t="s">
        <v>1990</v>
      </c>
      <c r="CW190" t="s">
        <v>1309</v>
      </c>
      <c r="CX190" t="s">
        <v>1309</v>
      </c>
      <c r="CY190" t="s">
        <v>1309</v>
      </c>
      <c r="CZ190" t="s">
        <v>1310</v>
      </c>
      <c r="DA190" t="s">
        <v>1310</v>
      </c>
      <c r="DB190" t="s">
        <v>1309</v>
      </c>
      <c r="DC190" t="s">
        <v>1309</v>
      </c>
      <c r="DE190" t="s">
        <v>1358</v>
      </c>
      <c r="DG190">
        <v>2800</v>
      </c>
      <c r="DI190">
        <v>900</v>
      </c>
      <c r="DJ190" t="s">
        <v>1358</v>
      </c>
      <c r="DK190">
        <v>4200</v>
      </c>
      <c r="DL190">
        <v>4000</v>
      </c>
      <c r="DM190">
        <v>800</v>
      </c>
      <c r="DN190" t="s">
        <v>1445</v>
      </c>
      <c r="DO190" t="s">
        <v>1310</v>
      </c>
      <c r="DP190" t="s">
        <v>1310</v>
      </c>
      <c r="DQ190" t="s">
        <v>1309</v>
      </c>
      <c r="DR190" t="s">
        <v>1309</v>
      </c>
      <c r="DS190" t="s">
        <v>1309</v>
      </c>
      <c r="DT190" t="s">
        <v>1310</v>
      </c>
      <c r="DU190" t="s">
        <v>1309</v>
      </c>
      <c r="DV190" t="s">
        <v>1309</v>
      </c>
      <c r="DW190" t="s">
        <v>1309</v>
      </c>
      <c r="DY190" t="s">
        <v>1456</v>
      </c>
      <c r="DZ190">
        <v>300</v>
      </c>
      <c r="EA190" t="s">
        <v>1319</v>
      </c>
      <c r="EC190" t="s">
        <v>1457</v>
      </c>
      <c r="ED190">
        <v>700</v>
      </c>
      <c r="EE190" t="s">
        <v>1319</v>
      </c>
      <c r="EG190" t="s">
        <v>5357</v>
      </c>
      <c r="ET190" t="s">
        <v>1434</v>
      </c>
      <c r="EV190" t="s">
        <v>1319</v>
      </c>
      <c r="EW190" t="s">
        <v>1421</v>
      </c>
      <c r="EX190" t="s">
        <v>1319</v>
      </c>
      <c r="EY190" t="s">
        <v>1319</v>
      </c>
      <c r="EZ190" t="s">
        <v>1319</v>
      </c>
      <c r="FA190" t="s">
        <v>2270</v>
      </c>
      <c r="FB190" t="s">
        <v>1309</v>
      </c>
      <c r="FC190" t="s">
        <v>1309</v>
      </c>
      <c r="FD190" t="s">
        <v>1309</v>
      </c>
      <c r="FE190" t="s">
        <v>1309</v>
      </c>
      <c r="FF190" t="s">
        <v>1310</v>
      </c>
      <c r="FG190" t="s">
        <v>1309</v>
      </c>
      <c r="FH190" t="s">
        <v>1310</v>
      </c>
      <c r="FI190" t="s">
        <v>1310</v>
      </c>
      <c r="FJ190" t="s">
        <v>1309</v>
      </c>
      <c r="FK190" t="s">
        <v>1309</v>
      </c>
      <c r="FL190" t="s">
        <v>1309</v>
      </c>
      <c r="FM190" t="s">
        <v>1310</v>
      </c>
      <c r="FN190" t="s">
        <v>1309</v>
      </c>
      <c r="FO190" t="s">
        <v>1310</v>
      </c>
      <c r="FP190" t="s">
        <v>1309</v>
      </c>
      <c r="FQ190" t="s">
        <v>1309</v>
      </c>
      <c r="FR190" t="s">
        <v>1309</v>
      </c>
      <c r="FT190" t="s">
        <v>1307</v>
      </c>
      <c r="GI190" t="s">
        <v>1411</v>
      </c>
      <c r="GJ190" t="s">
        <v>1411</v>
      </c>
      <c r="GT190" t="s">
        <v>1325</v>
      </c>
      <c r="GU190" t="s">
        <v>1310</v>
      </c>
      <c r="GV190" t="s">
        <v>1309</v>
      </c>
      <c r="GW190" t="s">
        <v>1309</v>
      </c>
      <c r="GX190" t="s">
        <v>1309</v>
      </c>
      <c r="GY190" t="s">
        <v>1309</v>
      </c>
      <c r="GZ190" t="s">
        <v>1309</v>
      </c>
      <c r="HA190" t="s">
        <v>1309</v>
      </c>
      <c r="HB190" t="s">
        <v>1309</v>
      </c>
      <c r="HC190" t="s">
        <v>1309</v>
      </c>
      <c r="HD190" t="s">
        <v>1309</v>
      </c>
      <c r="HE190" t="s">
        <v>1309</v>
      </c>
      <c r="HF190" t="s">
        <v>1309</v>
      </c>
      <c r="HH190" t="s">
        <v>1326</v>
      </c>
      <c r="HI190" t="s">
        <v>1326</v>
      </c>
      <c r="HJ190" t="s">
        <v>1326</v>
      </c>
      <c r="HK190" t="s">
        <v>1327</v>
      </c>
      <c r="HL190" t="s">
        <v>1364</v>
      </c>
      <c r="HM190" t="s">
        <v>1326</v>
      </c>
      <c r="IA190" t="s">
        <v>1319</v>
      </c>
      <c r="IB190" t="s">
        <v>1540</v>
      </c>
      <c r="IC190" t="s">
        <v>1309</v>
      </c>
      <c r="ID190" t="s">
        <v>1309</v>
      </c>
      <c r="IE190" t="s">
        <v>1309</v>
      </c>
      <c r="IF190" t="s">
        <v>1309</v>
      </c>
      <c r="IG190" t="s">
        <v>1310</v>
      </c>
      <c r="IH190" t="s">
        <v>1309</v>
      </c>
      <c r="II190" t="s">
        <v>1310</v>
      </c>
      <c r="IJ190" t="s">
        <v>1309</v>
      </c>
      <c r="IK190" t="s">
        <v>1310</v>
      </c>
      <c r="IL190" t="s">
        <v>1309</v>
      </c>
      <c r="IM190" t="s">
        <v>1309</v>
      </c>
      <c r="IN190" t="s">
        <v>1309</v>
      </c>
      <c r="IO190" t="s">
        <v>1309</v>
      </c>
      <c r="IQ190" t="s">
        <v>1330</v>
      </c>
      <c r="IS190" t="s">
        <v>1354</v>
      </c>
      <c r="JF190" t="s">
        <v>1331</v>
      </c>
      <c r="JG190" t="s">
        <v>1778</v>
      </c>
      <c r="JH190" t="s">
        <v>1309</v>
      </c>
      <c r="JI190" t="s">
        <v>1309</v>
      </c>
      <c r="JJ190" t="s">
        <v>1309</v>
      </c>
      <c r="JK190" t="s">
        <v>1310</v>
      </c>
      <c r="JL190" t="s">
        <v>1310</v>
      </c>
      <c r="JM190" t="s">
        <v>1309</v>
      </c>
      <c r="JN190" t="s">
        <v>1309</v>
      </c>
      <c r="JO190" t="s">
        <v>1309</v>
      </c>
      <c r="JQ190" s="92" t="s">
        <v>2262</v>
      </c>
      <c r="JR190" s="92" t="s">
        <v>2263</v>
      </c>
      <c r="JS190" s="92">
        <v>27</v>
      </c>
      <c r="JT190" s="92" t="s">
        <v>1319</v>
      </c>
      <c r="JU190" s="92" t="s">
        <v>1335</v>
      </c>
      <c r="JV190" s="92" t="s">
        <v>1526</v>
      </c>
      <c r="JW190" s="92" t="s">
        <v>1296</v>
      </c>
      <c r="JX190" s="92" t="s">
        <v>70</v>
      </c>
      <c r="JY190" s="92" t="s">
        <v>5549</v>
      </c>
      <c r="JZ190" s="92" t="s">
        <v>1398</v>
      </c>
      <c r="KA190" s="92" t="s">
        <v>4846</v>
      </c>
      <c r="KB190" s="92" t="s">
        <v>1415</v>
      </c>
      <c r="KC190" s="92" t="s">
        <v>109</v>
      </c>
      <c r="KD190" s="92" t="s">
        <v>4848</v>
      </c>
      <c r="KE190" s="92" t="s">
        <v>1340</v>
      </c>
      <c r="KF190" s="92">
        <v>3700</v>
      </c>
      <c r="KG190" s="92" t="s">
        <v>1340</v>
      </c>
      <c r="KH190" s="92" t="s">
        <v>192</v>
      </c>
      <c r="KI190" s="92" t="s">
        <v>109</v>
      </c>
      <c r="KJ190" s="92" t="s">
        <v>192</v>
      </c>
      <c r="KK190" s="92" t="s">
        <v>192</v>
      </c>
      <c r="KL190" s="92" t="s">
        <v>1341</v>
      </c>
      <c r="KM190" s="92">
        <v>9000</v>
      </c>
      <c r="KN190" s="92" t="s">
        <v>1340</v>
      </c>
      <c r="KO190" s="92" t="s">
        <v>1341</v>
      </c>
      <c r="KP190" s="92" t="s">
        <v>1375</v>
      </c>
      <c r="KQ190" s="92" t="s">
        <v>192</v>
      </c>
      <c r="KR190" s="92">
        <v>8</v>
      </c>
      <c r="KS190" s="92" t="s">
        <v>1343</v>
      </c>
      <c r="KT190" s="92" t="s">
        <v>1344</v>
      </c>
      <c r="KU190" s="92">
        <v>8</v>
      </c>
      <c r="KV190" s="92" t="s">
        <v>1441</v>
      </c>
      <c r="KW190" s="92" t="s">
        <v>1344</v>
      </c>
      <c r="KX190" s="92" t="s">
        <v>1376</v>
      </c>
      <c r="KY190" s="92" t="s">
        <v>1377</v>
      </c>
      <c r="KZ190" s="92" t="s">
        <v>5795</v>
      </c>
      <c r="LA190" s="92" t="s">
        <v>109</v>
      </c>
      <c r="LB190" s="92" t="s">
        <v>109</v>
      </c>
      <c r="LC190" s="92" t="s">
        <v>5566</v>
      </c>
      <c r="LD190" s="92" t="s">
        <v>5566</v>
      </c>
      <c r="LE190" s="92"/>
      <c r="LF190" s="92"/>
    </row>
    <row r="191" spans="1:318" x14ac:dyDescent="0.25">
      <c r="A191" t="s">
        <v>2271</v>
      </c>
      <c r="B191" t="s">
        <v>2272</v>
      </c>
      <c r="C191" t="s">
        <v>1304</v>
      </c>
      <c r="D191" t="s">
        <v>1305</v>
      </c>
      <c r="E191" t="s">
        <v>1306</v>
      </c>
      <c r="G191" t="s">
        <v>1307</v>
      </c>
      <c r="H191">
        <v>2</v>
      </c>
      <c r="I191" t="s">
        <v>1307</v>
      </c>
      <c r="J191" t="s">
        <v>1308</v>
      </c>
      <c r="K191" t="s">
        <v>1309</v>
      </c>
      <c r="L191" t="s">
        <v>1309</v>
      </c>
      <c r="M191" t="s">
        <v>1309</v>
      </c>
      <c r="N191" t="s">
        <v>1309</v>
      </c>
      <c r="O191" t="s">
        <v>1309</v>
      </c>
      <c r="P191" t="s">
        <v>1309</v>
      </c>
      <c r="Q191" t="s">
        <v>1310</v>
      </c>
      <c r="R191" t="s">
        <v>1309</v>
      </c>
      <c r="U191" t="s">
        <v>1312</v>
      </c>
      <c r="V191" t="s">
        <v>1312</v>
      </c>
      <c r="W191" t="s">
        <v>1312</v>
      </c>
      <c r="X191" t="s">
        <v>1312</v>
      </c>
      <c r="Y191" t="s">
        <v>1312</v>
      </c>
      <c r="Z191" t="s">
        <v>1312</v>
      </c>
      <c r="AC191">
        <v>2</v>
      </c>
      <c r="AD191">
        <v>23000</v>
      </c>
      <c r="AE191">
        <v>17000</v>
      </c>
      <c r="AF191" t="s">
        <v>1351</v>
      </c>
      <c r="AH191" t="s">
        <v>1315</v>
      </c>
      <c r="AJ191" t="s">
        <v>1315</v>
      </c>
      <c r="AL191" t="s">
        <v>1316</v>
      </c>
      <c r="BS191" t="s">
        <v>1307</v>
      </c>
      <c r="CE191" t="s">
        <v>2273</v>
      </c>
      <c r="CF191" t="s">
        <v>1309</v>
      </c>
      <c r="CG191" t="s">
        <v>1309</v>
      </c>
      <c r="CH191" t="s">
        <v>1309</v>
      </c>
      <c r="CI191" t="s">
        <v>1309</v>
      </c>
      <c r="CJ191" t="s">
        <v>1309</v>
      </c>
      <c r="CK191" t="s">
        <v>1310</v>
      </c>
      <c r="CL191" t="s">
        <v>1309</v>
      </c>
      <c r="CM191" t="s">
        <v>1310</v>
      </c>
      <c r="CN191" t="s">
        <v>1310</v>
      </c>
      <c r="CO191" t="s">
        <v>1310</v>
      </c>
      <c r="CP191" t="s">
        <v>1309</v>
      </c>
      <c r="CQ191" t="s">
        <v>1309</v>
      </c>
      <c r="CR191" t="s">
        <v>1309</v>
      </c>
      <c r="CT191" t="s">
        <v>4434</v>
      </c>
      <c r="CV191" t="s">
        <v>1488</v>
      </c>
      <c r="CW191" t="s">
        <v>1309</v>
      </c>
      <c r="CX191" t="s">
        <v>1309</v>
      </c>
      <c r="CY191" t="s">
        <v>1309</v>
      </c>
      <c r="CZ191" t="s">
        <v>1310</v>
      </c>
      <c r="DA191" t="s">
        <v>1310</v>
      </c>
      <c r="DB191" t="s">
        <v>1309</v>
      </c>
      <c r="DC191" t="s">
        <v>1309</v>
      </c>
      <c r="DE191" t="s">
        <v>1358</v>
      </c>
      <c r="DG191">
        <v>1900</v>
      </c>
      <c r="DI191">
        <v>600</v>
      </c>
      <c r="DJ191" t="s">
        <v>1358</v>
      </c>
      <c r="DK191">
        <v>2200</v>
      </c>
      <c r="DM191">
        <v>700</v>
      </c>
      <c r="DN191" t="s">
        <v>1445</v>
      </c>
      <c r="DO191" t="s">
        <v>1310</v>
      </c>
      <c r="DP191" t="s">
        <v>1310</v>
      </c>
      <c r="DQ191" t="s">
        <v>1309</v>
      </c>
      <c r="DR191" t="s">
        <v>1309</v>
      </c>
      <c r="DS191" t="s">
        <v>1309</v>
      </c>
      <c r="DT191" t="s">
        <v>1310</v>
      </c>
      <c r="DU191" t="s">
        <v>1309</v>
      </c>
      <c r="DV191" t="s">
        <v>1309</v>
      </c>
      <c r="DW191" t="s">
        <v>1309</v>
      </c>
      <c r="DY191" t="s">
        <v>1481</v>
      </c>
      <c r="DZ191">
        <v>300</v>
      </c>
      <c r="EA191" t="s">
        <v>1319</v>
      </c>
      <c r="EC191" t="s">
        <v>1457</v>
      </c>
      <c r="ED191">
        <v>1000</v>
      </c>
      <c r="EE191" t="s">
        <v>1319</v>
      </c>
      <c r="EG191" t="s">
        <v>5357</v>
      </c>
      <c r="ET191" t="s">
        <v>1307</v>
      </c>
      <c r="EV191" t="s">
        <v>1319</v>
      </c>
      <c r="EW191" t="s">
        <v>1421</v>
      </c>
      <c r="EX191" t="s">
        <v>1319</v>
      </c>
      <c r="EY191" t="s">
        <v>1319</v>
      </c>
      <c r="EZ191" t="s">
        <v>1307</v>
      </c>
      <c r="FA191" t="s">
        <v>2274</v>
      </c>
      <c r="FB191" t="s">
        <v>1310</v>
      </c>
      <c r="FC191" t="s">
        <v>1309</v>
      </c>
      <c r="FD191" t="s">
        <v>1310</v>
      </c>
      <c r="FE191" t="s">
        <v>1309</v>
      </c>
      <c r="FF191" t="s">
        <v>1309</v>
      </c>
      <c r="FG191" t="s">
        <v>1310</v>
      </c>
      <c r="FH191" t="s">
        <v>1310</v>
      </c>
      <c r="FI191" t="s">
        <v>1310</v>
      </c>
      <c r="FJ191" t="s">
        <v>1309</v>
      </c>
      <c r="FK191" t="s">
        <v>1309</v>
      </c>
      <c r="FL191" t="s">
        <v>1309</v>
      </c>
      <c r="FM191" t="s">
        <v>1310</v>
      </c>
      <c r="FN191" t="s">
        <v>1310</v>
      </c>
      <c r="FO191" t="s">
        <v>1310</v>
      </c>
      <c r="FP191" t="s">
        <v>1309</v>
      </c>
      <c r="FQ191" t="s">
        <v>1309</v>
      </c>
      <c r="FR191" t="s">
        <v>1309</v>
      </c>
      <c r="FT191" t="s">
        <v>1307</v>
      </c>
      <c r="GI191" t="s">
        <v>1324</v>
      </c>
      <c r="GJ191" t="s">
        <v>1324</v>
      </c>
      <c r="GT191" t="s">
        <v>1325</v>
      </c>
      <c r="GU191" t="s">
        <v>1310</v>
      </c>
      <c r="GV191" t="s">
        <v>1309</v>
      </c>
      <c r="GW191" t="s">
        <v>1309</v>
      </c>
      <c r="GX191" t="s">
        <v>1309</v>
      </c>
      <c r="GY191" t="s">
        <v>1309</v>
      </c>
      <c r="GZ191" t="s">
        <v>1309</v>
      </c>
      <c r="HA191" t="s">
        <v>1309</v>
      </c>
      <c r="HB191" t="s">
        <v>1309</v>
      </c>
      <c r="HC191" t="s">
        <v>1309</v>
      </c>
      <c r="HD191" t="s">
        <v>1309</v>
      </c>
      <c r="HE191" t="s">
        <v>1309</v>
      </c>
      <c r="HF191" t="s">
        <v>1309</v>
      </c>
      <c r="HH191" t="s">
        <v>1390</v>
      </c>
      <c r="HI191" t="s">
        <v>1327</v>
      </c>
      <c r="HJ191" t="s">
        <v>1326</v>
      </c>
      <c r="HK191" t="s">
        <v>1327</v>
      </c>
      <c r="HL191" t="s">
        <v>1364</v>
      </c>
      <c r="HM191" t="s">
        <v>1326</v>
      </c>
      <c r="IA191" t="s">
        <v>1319</v>
      </c>
      <c r="IB191" t="s">
        <v>2275</v>
      </c>
      <c r="IC191" t="s">
        <v>1309</v>
      </c>
      <c r="ID191" t="s">
        <v>1310</v>
      </c>
      <c r="IE191" t="s">
        <v>1309</v>
      </c>
      <c r="IF191" t="s">
        <v>1309</v>
      </c>
      <c r="IG191" t="s">
        <v>1310</v>
      </c>
      <c r="IH191" t="s">
        <v>1309</v>
      </c>
      <c r="II191" t="s">
        <v>1309</v>
      </c>
      <c r="IJ191" t="s">
        <v>1309</v>
      </c>
      <c r="IK191" t="s">
        <v>1310</v>
      </c>
      <c r="IL191" t="s">
        <v>1309</v>
      </c>
      <c r="IM191" t="s">
        <v>1309</v>
      </c>
      <c r="IN191" t="s">
        <v>1309</v>
      </c>
      <c r="IO191" t="s">
        <v>1309</v>
      </c>
      <c r="IQ191" t="s">
        <v>1308</v>
      </c>
      <c r="IS191" t="s">
        <v>1354</v>
      </c>
      <c r="JF191" t="s">
        <v>1331</v>
      </c>
      <c r="JG191" t="s">
        <v>2276</v>
      </c>
      <c r="JH191" t="s">
        <v>1310</v>
      </c>
      <c r="JI191" t="s">
        <v>1310</v>
      </c>
      <c r="JJ191" t="s">
        <v>1310</v>
      </c>
      <c r="JK191" t="s">
        <v>1310</v>
      </c>
      <c r="JL191" t="s">
        <v>1310</v>
      </c>
      <c r="JM191" t="s">
        <v>1309</v>
      </c>
      <c r="JN191" t="s">
        <v>1309</v>
      </c>
      <c r="JO191" t="s">
        <v>1309</v>
      </c>
      <c r="JQ191" s="92" t="s">
        <v>2262</v>
      </c>
      <c r="JR191" s="92" t="s">
        <v>2277</v>
      </c>
      <c r="JS191" s="92">
        <v>39</v>
      </c>
      <c r="JT191" s="92" t="s">
        <v>1319</v>
      </c>
      <c r="JU191" s="92" t="s">
        <v>1335</v>
      </c>
      <c r="JV191" s="92" t="s">
        <v>1526</v>
      </c>
      <c r="JW191" s="92" t="s">
        <v>1296</v>
      </c>
      <c r="JX191" s="92" t="s">
        <v>70</v>
      </c>
      <c r="JY191" s="92" t="s">
        <v>5549</v>
      </c>
      <c r="JZ191" s="92" t="s">
        <v>1337</v>
      </c>
      <c r="KA191" s="92" t="s">
        <v>4845</v>
      </c>
      <c r="KB191" s="92" t="s">
        <v>1338</v>
      </c>
      <c r="KC191" s="92" t="s">
        <v>109</v>
      </c>
      <c r="KD191" s="92" t="s">
        <v>4847</v>
      </c>
      <c r="KE191" s="92" t="s">
        <v>1416</v>
      </c>
      <c r="KF191" s="92">
        <v>2500</v>
      </c>
      <c r="KG191" s="92" t="s">
        <v>4438</v>
      </c>
      <c r="KH191" s="92" t="s">
        <v>192</v>
      </c>
      <c r="KI191" s="92" t="s">
        <v>109</v>
      </c>
      <c r="KJ191" s="92" t="s">
        <v>192</v>
      </c>
      <c r="KK191" s="92" t="s">
        <v>109</v>
      </c>
      <c r="KL191" s="92" t="s">
        <v>1425</v>
      </c>
      <c r="KM191" s="92">
        <v>2900</v>
      </c>
      <c r="KN191" s="92" t="s">
        <v>4438</v>
      </c>
      <c r="KO191" s="92" t="s">
        <v>1425</v>
      </c>
      <c r="KP191" s="92" t="s">
        <v>1375</v>
      </c>
      <c r="KQ191" s="92" t="s">
        <v>192</v>
      </c>
      <c r="KR191" s="92">
        <v>12</v>
      </c>
      <c r="KS191" s="92" t="s">
        <v>1343</v>
      </c>
      <c r="KT191" s="92" t="s">
        <v>1344</v>
      </c>
      <c r="KU191" s="92">
        <v>34</v>
      </c>
      <c r="KV191" s="92" t="s">
        <v>1461</v>
      </c>
      <c r="KW191" s="92" t="s">
        <v>1344</v>
      </c>
      <c r="KX191" s="92" t="s">
        <v>1376</v>
      </c>
      <c r="KY191" s="92" t="s">
        <v>1377</v>
      </c>
      <c r="KZ191" s="92" t="s">
        <v>5795</v>
      </c>
      <c r="LA191" s="92" t="s">
        <v>109</v>
      </c>
      <c r="LB191" s="92" t="s">
        <v>109</v>
      </c>
      <c r="LC191" s="92" t="s">
        <v>4438</v>
      </c>
      <c r="LD191" s="92" t="s">
        <v>4438</v>
      </c>
      <c r="LE191" s="92" t="s">
        <v>109</v>
      </c>
      <c r="LF191" s="92" t="s">
        <v>109</v>
      </c>
    </row>
    <row r="192" spans="1:318" x14ac:dyDescent="0.25">
      <c r="A192" t="s">
        <v>2278</v>
      </c>
      <c r="B192" t="s">
        <v>2279</v>
      </c>
      <c r="C192" t="s">
        <v>1304</v>
      </c>
      <c r="D192" t="s">
        <v>1305</v>
      </c>
      <c r="E192" t="s">
        <v>1381</v>
      </c>
      <c r="G192" t="s">
        <v>1319</v>
      </c>
      <c r="H192">
        <v>3</v>
      </c>
      <c r="I192" t="s">
        <v>1358</v>
      </c>
      <c r="J192" t="s">
        <v>1479</v>
      </c>
      <c r="K192" t="s">
        <v>1309</v>
      </c>
      <c r="L192" t="s">
        <v>1309</v>
      </c>
      <c r="M192" t="s">
        <v>1309</v>
      </c>
      <c r="N192" t="s">
        <v>1309</v>
      </c>
      <c r="O192" t="s">
        <v>1310</v>
      </c>
      <c r="P192" t="s">
        <v>1309</v>
      </c>
      <c r="Q192" t="s">
        <v>1309</v>
      </c>
      <c r="R192" t="s">
        <v>1309</v>
      </c>
      <c r="U192" t="s">
        <v>1311</v>
      </c>
      <c r="V192" t="s">
        <v>1312</v>
      </c>
      <c r="W192" t="s">
        <v>1312</v>
      </c>
      <c r="X192" t="s">
        <v>1312</v>
      </c>
      <c r="Y192" t="s">
        <v>1312</v>
      </c>
      <c r="Z192" t="s">
        <v>1312</v>
      </c>
      <c r="AC192">
        <v>3</v>
      </c>
      <c r="AD192">
        <v>15000</v>
      </c>
      <c r="AE192">
        <v>11000</v>
      </c>
      <c r="AF192" t="s">
        <v>1351</v>
      </c>
      <c r="AH192" t="s">
        <v>1536</v>
      </c>
      <c r="AJ192" t="s">
        <v>1353</v>
      </c>
      <c r="AL192" t="s">
        <v>1316</v>
      </c>
      <c r="BA192" t="s">
        <v>1354</v>
      </c>
      <c r="BS192" t="s">
        <v>1307</v>
      </c>
      <c r="CE192" t="s">
        <v>1355</v>
      </c>
      <c r="CF192" t="s">
        <v>1309</v>
      </c>
      <c r="CG192" t="s">
        <v>1309</v>
      </c>
      <c r="CH192" t="s">
        <v>1309</v>
      </c>
      <c r="CI192" t="s">
        <v>1309</v>
      </c>
      <c r="CJ192" t="s">
        <v>1309</v>
      </c>
      <c r="CK192" t="s">
        <v>1309</v>
      </c>
      <c r="CL192" t="s">
        <v>1309</v>
      </c>
      <c r="CM192" t="s">
        <v>1309</v>
      </c>
      <c r="CN192" t="s">
        <v>1310</v>
      </c>
      <c r="CO192" t="s">
        <v>1309</v>
      </c>
      <c r="CP192" t="s">
        <v>1309</v>
      </c>
      <c r="CQ192" t="s">
        <v>1309</v>
      </c>
      <c r="CR192" t="s">
        <v>1309</v>
      </c>
      <c r="CT192" t="s">
        <v>4434</v>
      </c>
      <c r="CV192" t="s">
        <v>1356</v>
      </c>
      <c r="CW192" t="s">
        <v>1309</v>
      </c>
      <c r="CX192" t="s">
        <v>1309</v>
      </c>
      <c r="CY192" t="s">
        <v>1309</v>
      </c>
      <c r="CZ192" t="s">
        <v>1310</v>
      </c>
      <c r="DA192" t="s">
        <v>1309</v>
      </c>
      <c r="DB192" t="s">
        <v>1309</v>
      </c>
      <c r="DC192" t="s">
        <v>1309</v>
      </c>
      <c r="DE192" t="s">
        <v>1358</v>
      </c>
      <c r="DG192">
        <v>1700</v>
      </c>
      <c r="DI192">
        <v>600</v>
      </c>
      <c r="DJ192" t="s">
        <v>1358</v>
      </c>
      <c r="DK192">
        <v>2000</v>
      </c>
      <c r="DM192">
        <v>750</v>
      </c>
      <c r="DN192" t="s">
        <v>1584</v>
      </c>
      <c r="DO192" t="s">
        <v>1310</v>
      </c>
      <c r="DP192" t="s">
        <v>1309</v>
      </c>
      <c r="DQ192" t="s">
        <v>1309</v>
      </c>
      <c r="DR192" t="s">
        <v>1309</v>
      </c>
      <c r="DS192" t="s">
        <v>1310</v>
      </c>
      <c r="DT192" t="s">
        <v>1310</v>
      </c>
      <c r="DU192" t="s">
        <v>1309</v>
      </c>
      <c r="DV192" t="s">
        <v>1309</v>
      </c>
      <c r="DW192" t="s">
        <v>1309</v>
      </c>
      <c r="DY192" t="s">
        <v>1696</v>
      </c>
      <c r="DZ192">
        <v>400</v>
      </c>
      <c r="EA192" t="s">
        <v>1386</v>
      </c>
      <c r="EC192" t="s">
        <v>1474</v>
      </c>
      <c r="ED192">
        <v>1000</v>
      </c>
      <c r="EE192" t="s">
        <v>1386</v>
      </c>
      <c r="EG192" t="s">
        <v>5356</v>
      </c>
      <c r="EI192" t="s">
        <v>1307</v>
      </c>
      <c r="ET192" t="s">
        <v>1307</v>
      </c>
      <c r="EV192" t="s">
        <v>1319</v>
      </c>
      <c r="EW192" t="s">
        <v>1361</v>
      </c>
      <c r="EX192" t="s">
        <v>1319</v>
      </c>
      <c r="EY192" t="s">
        <v>1319</v>
      </c>
      <c r="EZ192" t="s">
        <v>1319</v>
      </c>
      <c r="FA192" t="s">
        <v>2280</v>
      </c>
      <c r="FB192" t="s">
        <v>1310</v>
      </c>
      <c r="FC192" t="s">
        <v>1309</v>
      </c>
      <c r="FD192" t="s">
        <v>1310</v>
      </c>
      <c r="FE192" t="s">
        <v>1310</v>
      </c>
      <c r="FF192" t="s">
        <v>1309</v>
      </c>
      <c r="FG192" t="s">
        <v>1310</v>
      </c>
      <c r="FH192" t="s">
        <v>1310</v>
      </c>
      <c r="FI192" t="s">
        <v>1310</v>
      </c>
      <c r="FJ192" t="s">
        <v>1309</v>
      </c>
      <c r="FK192" t="s">
        <v>1309</v>
      </c>
      <c r="FL192" t="s">
        <v>1309</v>
      </c>
      <c r="FM192" t="s">
        <v>1310</v>
      </c>
      <c r="FN192" t="s">
        <v>1309</v>
      </c>
      <c r="FO192" t="s">
        <v>1310</v>
      </c>
      <c r="FP192" t="s">
        <v>1309</v>
      </c>
      <c r="FQ192" t="s">
        <v>1309</v>
      </c>
      <c r="FR192" t="s">
        <v>1309</v>
      </c>
      <c r="FT192" t="s">
        <v>1319</v>
      </c>
      <c r="FU192" t="s">
        <v>2281</v>
      </c>
      <c r="FV192" t="s">
        <v>1310</v>
      </c>
      <c r="FW192" t="s">
        <v>1310</v>
      </c>
      <c r="FX192" t="s">
        <v>1310</v>
      </c>
      <c r="FY192" t="s">
        <v>1310</v>
      </c>
      <c r="FZ192" t="s">
        <v>1309</v>
      </c>
      <c r="GA192" t="s">
        <v>1310</v>
      </c>
      <c r="GB192" t="s">
        <v>1309</v>
      </c>
      <c r="GC192" t="s">
        <v>1309</v>
      </c>
      <c r="GD192" t="s">
        <v>1310</v>
      </c>
      <c r="GE192" t="s">
        <v>1309</v>
      </c>
      <c r="GF192" t="s">
        <v>1309</v>
      </c>
      <c r="GG192" t="s">
        <v>1309</v>
      </c>
      <c r="GI192" t="s">
        <v>1436</v>
      </c>
      <c r="GJ192" t="s">
        <v>1436</v>
      </c>
      <c r="GK192" t="s">
        <v>1319</v>
      </c>
      <c r="GL192" t="s">
        <v>1619</v>
      </c>
      <c r="GM192" t="s">
        <v>1310</v>
      </c>
      <c r="GN192" t="s">
        <v>1309</v>
      </c>
      <c r="GO192" t="s">
        <v>1309</v>
      </c>
      <c r="GP192" t="s">
        <v>1309</v>
      </c>
      <c r="GQ192" t="s">
        <v>1309</v>
      </c>
      <c r="GR192" t="s">
        <v>1309</v>
      </c>
      <c r="GT192" t="s">
        <v>1325</v>
      </c>
      <c r="GU192" t="s">
        <v>1310</v>
      </c>
      <c r="GV192" t="s">
        <v>1309</v>
      </c>
      <c r="GW192" t="s">
        <v>1309</v>
      </c>
      <c r="GX192" t="s">
        <v>1309</v>
      </c>
      <c r="GY192" t="s">
        <v>1309</v>
      </c>
      <c r="GZ192" t="s">
        <v>1309</v>
      </c>
      <c r="HA192" t="s">
        <v>1309</v>
      </c>
      <c r="HB192" t="s">
        <v>1309</v>
      </c>
      <c r="HC192" t="s">
        <v>1309</v>
      </c>
      <c r="HD192" t="s">
        <v>1309</v>
      </c>
      <c r="HE192" t="s">
        <v>1309</v>
      </c>
      <c r="HF192" t="s">
        <v>1309</v>
      </c>
      <c r="HH192" t="s">
        <v>1390</v>
      </c>
      <c r="HI192" t="s">
        <v>1363</v>
      </c>
      <c r="HJ192" t="s">
        <v>1390</v>
      </c>
      <c r="HK192" t="s">
        <v>1327</v>
      </c>
      <c r="HL192" t="s">
        <v>1437</v>
      </c>
      <c r="HM192" t="s">
        <v>1390</v>
      </c>
      <c r="HN192" t="s">
        <v>1698</v>
      </c>
      <c r="HO192" t="s">
        <v>1309</v>
      </c>
      <c r="HP192" t="s">
        <v>1309</v>
      </c>
      <c r="HQ192" t="s">
        <v>1309</v>
      </c>
      <c r="HR192" t="s">
        <v>1309</v>
      </c>
      <c r="HS192" t="s">
        <v>1309</v>
      </c>
      <c r="HT192" t="s">
        <v>1309</v>
      </c>
      <c r="HU192" t="s">
        <v>1309</v>
      </c>
      <c r="HV192" t="s">
        <v>1309</v>
      </c>
      <c r="HW192" t="s">
        <v>1310</v>
      </c>
      <c r="HX192" t="s">
        <v>1309</v>
      </c>
      <c r="HY192" t="s">
        <v>1309</v>
      </c>
      <c r="HZ192" t="s">
        <v>2041</v>
      </c>
      <c r="IA192" t="s">
        <v>1307</v>
      </c>
      <c r="IQ192" t="s">
        <v>1330</v>
      </c>
      <c r="IS192" t="s">
        <v>1316</v>
      </c>
      <c r="JF192" t="s">
        <v>1354</v>
      </c>
      <c r="JG192" t="s">
        <v>1523</v>
      </c>
      <c r="JH192" t="s">
        <v>1309</v>
      </c>
      <c r="JI192" t="s">
        <v>1309</v>
      </c>
      <c r="JJ192" t="s">
        <v>1309</v>
      </c>
      <c r="JK192" t="s">
        <v>1310</v>
      </c>
      <c r="JL192" t="s">
        <v>1309</v>
      </c>
      <c r="JM192" t="s">
        <v>1309</v>
      </c>
      <c r="JN192" t="s">
        <v>1309</v>
      </c>
      <c r="JO192" t="s">
        <v>1309</v>
      </c>
      <c r="JQ192" s="92" t="s">
        <v>2262</v>
      </c>
      <c r="JR192" s="92" t="s">
        <v>2277</v>
      </c>
      <c r="JS192" s="92">
        <v>46</v>
      </c>
      <c r="JT192" s="92" t="s">
        <v>1319</v>
      </c>
      <c r="JU192" s="92" t="s">
        <v>1575</v>
      </c>
      <c r="JV192" s="92" t="s">
        <v>1526</v>
      </c>
      <c r="JW192" s="92" t="s">
        <v>1296</v>
      </c>
      <c r="JX192" s="92" t="s">
        <v>70</v>
      </c>
      <c r="JY192" s="92" t="s">
        <v>1397</v>
      </c>
      <c r="JZ192" s="92" t="s">
        <v>1337</v>
      </c>
      <c r="KA192" s="92" t="s">
        <v>4845</v>
      </c>
      <c r="KB192" s="92" t="s">
        <v>1338</v>
      </c>
      <c r="KC192" s="92" t="s">
        <v>109</v>
      </c>
      <c r="KD192" s="92" t="s">
        <v>4848</v>
      </c>
      <c r="KE192" s="92" t="s">
        <v>1371</v>
      </c>
      <c r="KF192" s="92">
        <v>2300</v>
      </c>
      <c r="KG192" s="92" t="s">
        <v>4438</v>
      </c>
      <c r="KH192" s="92" t="s">
        <v>192</v>
      </c>
      <c r="KI192" s="92" t="s">
        <v>109</v>
      </c>
      <c r="KJ192" s="92" t="s">
        <v>192</v>
      </c>
      <c r="KK192" s="92" t="s">
        <v>109</v>
      </c>
      <c r="KL192" s="92" t="s">
        <v>1425</v>
      </c>
      <c r="KM192" s="92">
        <v>2750</v>
      </c>
      <c r="KN192" s="92" t="s">
        <v>4438</v>
      </c>
      <c r="KO192" s="92" t="s">
        <v>1425</v>
      </c>
      <c r="KP192" s="92" t="s">
        <v>1375</v>
      </c>
      <c r="KQ192" s="92" t="s">
        <v>192</v>
      </c>
      <c r="KR192" s="92">
        <v>17</v>
      </c>
      <c r="KS192" s="92" t="s">
        <v>1343</v>
      </c>
      <c r="KT192" s="92" t="s">
        <v>1402</v>
      </c>
      <c r="KU192" s="92">
        <v>36</v>
      </c>
      <c r="KV192" s="92" t="s">
        <v>1461</v>
      </c>
      <c r="KW192" s="92" t="s">
        <v>1402</v>
      </c>
      <c r="KX192" s="92" t="s">
        <v>1346</v>
      </c>
      <c r="KY192" s="92" t="s">
        <v>1377</v>
      </c>
      <c r="KZ192" s="92" t="s">
        <v>1403</v>
      </c>
      <c r="LA192" s="92" t="s">
        <v>109</v>
      </c>
      <c r="LB192" s="92" t="s">
        <v>109</v>
      </c>
      <c r="LC192" s="92" t="s">
        <v>4438</v>
      </c>
      <c r="LD192" s="92" t="s">
        <v>4438</v>
      </c>
      <c r="LE192" s="92" t="s">
        <v>109</v>
      </c>
      <c r="LF192" s="92" t="s">
        <v>109</v>
      </c>
    </row>
    <row r="193" spans="1:318" x14ac:dyDescent="0.25">
      <c r="A193" t="s">
        <v>2282</v>
      </c>
      <c r="B193" t="s">
        <v>2283</v>
      </c>
      <c r="C193" t="s">
        <v>1304</v>
      </c>
      <c r="D193" t="s">
        <v>1429</v>
      </c>
      <c r="E193" t="s">
        <v>1306</v>
      </c>
      <c r="G193" t="s">
        <v>1307</v>
      </c>
      <c r="H193">
        <v>1</v>
      </c>
      <c r="J193" t="s">
        <v>1430</v>
      </c>
      <c r="K193" t="s">
        <v>1309</v>
      </c>
      <c r="L193" t="s">
        <v>1309</v>
      </c>
      <c r="M193" t="s">
        <v>1310</v>
      </c>
      <c r="N193" t="s">
        <v>1309</v>
      </c>
      <c r="O193" t="s">
        <v>1309</v>
      </c>
      <c r="P193" t="s">
        <v>1309</v>
      </c>
      <c r="Q193" t="s">
        <v>1309</v>
      </c>
      <c r="R193" t="s">
        <v>1309</v>
      </c>
      <c r="T193">
        <v>1</v>
      </c>
      <c r="U193" t="s">
        <v>1311</v>
      </c>
      <c r="V193" t="s">
        <v>1311</v>
      </c>
      <c r="W193" t="s">
        <v>1311</v>
      </c>
      <c r="X193" t="s">
        <v>1311</v>
      </c>
      <c r="Y193" t="s">
        <v>1311</v>
      </c>
      <c r="Z193" t="s">
        <v>1312</v>
      </c>
      <c r="AC193">
        <v>1</v>
      </c>
      <c r="AD193">
        <v>3000</v>
      </c>
      <c r="AE193">
        <v>3000</v>
      </c>
      <c r="AF193" t="s">
        <v>1313</v>
      </c>
      <c r="AH193" t="s">
        <v>1352</v>
      </c>
      <c r="AJ193" t="s">
        <v>1353</v>
      </c>
      <c r="AL193" t="s">
        <v>1316</v>
      </c>
      <c r="BA193" t="s">
        <v>1316</v>
      </c>
      <c r="BS193" t="s">
        <v>1307</v>
      </c>
      <c r="CE193" t="s">
        <v>1355</v>
      </c>
      <c r="CF193" t="s">
        <v>1309</v>
      </c>
      <c r="CG193" t="s">
        <v>1309</v>
      </c>
      <c r="CH193" t="s">
        <v>1309</v>
      </c>
      <c r="CI193" t="s">
        <v>1309</v>
      </c>
      <c r="CJ193" t="s">
        <v>1309</v>
      </c>
      <c r="CK193" t="s">
        <v>1309</v>
      </c>
      <c r="CL193" t="s">
        <v>1309</v>
      </c>
      <c r="CM193" t="s">
        <v>1309</v>
      </c>
      <c r="CN193" t="s">
        <v>1310</v>
      </c>
      <c r="CO193" t="s">
        <v>1309</v>
      </c>
      <c r="CP193" t="s">
        <v>1309</v>
      </c>
      <c r="CQ193" t="s">
        <v>1309</v>
      </c>
      <c r="CR193" t="s">
        <v>1309</v>
      </c>
      <c r="CT193" t="s">
        <v>4435</v>
      </c>
      <c r="CV193" t="s">
        <v>1308</v>
      </c>
      <c r="CW193" t="s">
        <v>1310</v>
      </c>
      <c r="CX193" t="s">
        <v>1309</v>
      </c>
      <c r="CY193" t="s">
        <v>1309</v>
      </c>
      <c r="CZ193" t="s">
        <v>1309</v>
      </c>
      <c r="DA193" t="s">
        <v>1309</v>
      </c>
      <c r="DB193" t="s">
        <v>1309</v>
      </c>
      <c r="DC193" t="s">
        <v>1309</v>
      </c>
      <c r="DE193" t="s">
        <v>1318</v>
      </c>
      <c r="DF193" t="s">
        <v>1307</v>
      </c>
      <c r="DH193">
        <v>1500</v>
      </c>
      <c r="DI193">
        <v>250</v>
      </c>
      <c r="DJ193" t="s">
        <v>1318</v>
      </c>
      <c r="DL193">
        <v>2200</v>
      </c>
      <c r="DM193">
        <v>350</v>
      </c>
      <c r="DN193" t="s">
        <v>2284</v>
      </c>
      <c r="DO193" t="s">
        <v>1310</v>
      </c>
      <c r="DP193" t="s">
        <v>1309</v>
      </c>
      <c r="DQ193" t="s">
        <v>1309</v>
      </c>
      <c r="DR193" t="s">
        <v>1310</v>
      </c>
      <c r="DS193" t="s">
        <v>1309</v>
      </c>
      <c r="DT193" t="s">
        <v>1310</v>
      </c>
      <c r="DU193" t="s">
        <v>1309</v>
      </c>
      <c r="DV193" t="s">
        <v>1309</v>
      </c>
      <c r="DW193" t="s">
        <v>1309</v>
      </c>
      <c r="DY193" t="s">
        <v>1456</v>
      </c>
      <c r="DZ193">
        <v>300</v>
      </c>
      <c r="EA193" t="s">
        <v>1319</v>
      </c>
      <c r="EC193" t="s">
        <v>1322</v>
      </c>
      <c r="ED193">
        <v>800</v>
      </c>
      <c r="EE193" t="s">
        <v>1319</v>
      </c>
      <c r="EG193" t="s">
        <v>5356</v>
      </c>
      <c r="EI193" t="s">
        <v>1307</v>
      </c>
      <c r="ET193" t="s">
        <v>1307</v>
      </c>
      <c r="EV193" t="s">
        <v>1319</v>
      </c>
      <c r="EW193" t="s">
        <v>1409</v>
      </c>
      <c r="EX193" t="s">
        <v>1319</v>
      </c>
      <c r="FA193" t="s">
        <v>1697</v>
      </c>
      <c r="FB193" t="s">
        <v>1309</v>
      </c>
      <c r="FC193" t="s">
        <v>1309</v>
      </c>
      <c r="FD193" t="s">
        <v>1309</v>
      </c>
      <c r="FE193" t="s">
        <v>1309</v>
      </c>
      <c r="FF193" t="s">
        <v>1309</v>
      </c>
      <c r="FG193" t="s">
        <v>1309</v>
      </c>
      <c r="FH193" t="s">
        <v>1309</v>
      </c>
      <c r="FI193" t="s">
        <v>1310</v>
      </c>
      <c r="FJ193" t="s">
        <v>1309</v>
      </c>
      <c r="FK193" t="s">
        <v>1309</v>
      </c>
      <c r="FL193" t="s">
        <v>1309</v>
      </c>
      <c r="FM193" t="s">
        <v>1309</v>
      </c>
      <c r="FN193" t="s">
        <v>1309</v>
      </c>
      <c r="FO193" t="s">
        <v>1309</v>
      </c>
      <c r="FP193" t="s">
        <v>1309</v>
      </c>
      <c r="FQ193" t="s">
        <v>1309</v>
      </c>
      <c r="FR193" t="s">
        <v>1309</v>
      </c>
      <c r="FT193" t="s">
        <v>1319</v>
      </c>
      <c r="FU193" t="s">
        <v>1549</v>
      </c>
      <c r="FV193" t="s">
        <v>1310</v>
      </c>
      <c r="FW193" t="s">
        <v>1310</v>
      </c>
      <c r="FX193" t="s">
        <v>1309</v>
      </c>
      <c r="FY193" t="s">
        <v>1309</v>
      </c>
      <c r="FZ193" t="s">
        <v>1309</v>
      </c>
      <c r="GA193" t="s">
        <v>1309</v>
      </c>
      <c r="GB193" t="s">
        <v>1309</v>
      </c>
      <c r="GC193" t="s">
        <v>1309</v>
      </c>
      <c r="GD193" t="s">
        <v>1309</v>
      </c>
      <c r="GE193" t="s">
        <v>1309</v>
      </c>
      <c r="GF193" t="s">
        <v>1309</v>
      </c>
      <c r="GG193" t="s">
        <v>1309</v>
      </c>
      <c r="GI193" t="s">
        <v>1324</v>
      </c>
      <c r="GJ193" t="s">
        <v>1324</v>
      </c>
      <c r="GT193" t="s">
        <v>1325</v>
      </c>
      <c r="GU193" t="s">
        <v>1310</v>
      </c>
      <c r="GV193" t="s">
        <v>1309</v>
      </c>
      <c r="GW193" t="s">
        <v>1309</v>
      </c>
      <c r="GX193" t="s">
        <v>1309</v>
      </c>
      <c r="GY193" t="s">
        <v>1309</v>
      </c>
      <c r="GZ193" t="s">
        <v>1309</v>
      </c>
      <c r="HA193" t="s">
        <v>1309</v>
      </c>
      <c r="HB193" t="s">
        <v>1309</v>
      </c>
      <c r="HC193" t="s">
        <v>1309</v>
      </c>
      <c r="HD193" t="s">
        <v>1309</v>
      </c>
      <c r="HE193" t="s">
        <v>1309</v>
      </c>
      <c r="HF193" t="s">
        <v>1309</v>
      </c>
      <c r="HH193" t="s">
        <v>1326</v>
      </c>
      <c r="HI193" t="s">
        <v>1326</v>
      </c>
      <c r="HJ193" t="s">
        <v>1326</v>
      </c>
      <c r="HK193" t="s">
        <v>1327</v>
      </c>
      <c r="HL193" t="s">
        <v>1328</v>
      </c>
      <c r="HM193" t="s">
        <v>1326</v>
      </c>
      <c r="HN193" t="s">
        <v>1550</v>
      </c>
      <c r="HO193" t="s">
        <v>1310</v>
      </c>
      <c r="HP193" t="s">
        <v>1309</v>
      </c>
      <c r="HQ193" t="s">
        <v>1309</v>
      </c>
      <c r="HR193" t="s">
        <v>1310</v>
      </c>
      <c r="HS193" t="s">
        <v>1309</v>
      </c>
      <c r="HT193" t="s">
        <v>1309</v>
      </c>
      <c r="HU193" t="s">
        <v>1309</v>
      </c>
      <c r="HV193" t="s">
        <v>1309</v>
      </c>
      <c r="HW193" t="s">
        <v>1309</v>
      </c>
      <c r="HX193" t="s">
        <v>1309</v>
      </c>
      <c r="HY193" t="s">
        <v>1309</v>
      </c>
      <c r="IA193" t="s">
        <v>1414</v>
      </c>
      <c r="IQ193" t="s">
        <v>1330</v>
      </c>
      <c r="IS193" t="s">
        <v>1316</v>
      </c>
      <c r="JF193" t="s">
        <v>1331</v>
      </c>
      <c r="JG193" t="s">
        <v>1698</v>
      </c>
      <c r="JH193" t="s">
        <v>1309</v>
      </c>
      <c r="JI193" t="s">
        <v>1309</v>
      </c>
      <c r="JJ193" t="s">
        <v>1309</v>
      </c>
      <c r="JK193" t="s">
        <v>1309</v>
      </c>
      <c r="JL193" t="s">
        <v>1309</v>
      </c>
      <c r="JM193" t="s">
        <v>1310</v>
      </c>
      <c r="JN193" t="s">
        <v>1309</v>
      </c>
      <c r="JO193" t="s">
        <v>1309</v>
      </c>
      <c r="JP193" t="s">
        <v>2285</v>
      </c>
      <c r="JQ193" s="92" t="s">
        <v>1524</v>
      </c>
      <c r="JR193" s="92" t="s">
        <v>1525</v>
      </c>
      <c r="JS193" s="92">
        <v>78</v>
      </c>
      <c r="JT193" s="92" t="s">
        <v>1319</v>
      </c>
      <c r="JU193" s="92" t="s">
        <v>1335</v>
      </c>
      <c r="JV193" s="92" t="s">
        <v>1526</v>
      </c>
      <c r="JW193" s="92" t="s">
        <v>1296</v>
      </c>
      <c r="JX193" s="92" t="s">
        <v>71</v>
      </c>
      <c r="JY193" s="92" t="s">
        <v>5549</v>
      </c>
      <c r="JZ193" s="92" t="s">
        <v>1369</v>
      </c>
      <c r="KA193" s="92" t="s">
        <v>4844</v>
      </c>
      <c r="KB193" s="92" t="s">
        <v>1476</v>
      </c>
      <c r="KC193" s="92" t="s">
        <v>109</v>
      </c>
      <c r="KD193" s="92" t="s">
        <v>4844</v>
      </c>
      <c r="KE193" s="92" t="s">
        <v>5560</v>
      </c>
      <c r="KF193" s="92">
        <v>1750</v>
      </c>
      <c r="KG193" s="92" t="s">
        <v>1400</v>
      </c>
      <c r="KH193" s="92" t="s">
        <v>109</v>
      </c>
      <c r="KI193" s="92" t="s">
        <v>192</v>
      </c>
      <c r="KJ193" s="92" t="s">
        <v>109</v>
      </c>
      <c r="KK193" s="92" t="s">
        <v>192</v>
      </c>
      <c r="KL193" s="92" t="s">
        <v>1440</v>
      </c>
      <c r="KM193" s="92">
        <v>2550</v>
      </c>
      <c r="KN193" s="92" t="s">
        <v>1426</v>
      </c>
      <c r="KO193" s="92" t="s">
        <v>1425</v>
      </c>
      <c r="KP193" s="92" t="s">
        <v>1342</v>
      </c>
      <c r="KQ193" s="92" t="s">
        <v>109</v>
      </c>
      <c r="KR193" s="92">
        <v>17</v>
      </c>
      <c r="KS193" s="92" t="s">
        <v>1343</v>
      </c>
      <c r="KT193" s="92" t="s">
        <v>1344</v>
      </c>
      <c r="KU193" s="92">
        <v>31</v>
      </c>
      <c r="KV193" s="92" t="s">
        <v>1441</v>
      </c>
      <c r="KW193" s="92" t="s">
        <v>1344</v>
      </c>
      <c r="KX193" s="92" t="s">
        <v>1376</v>
      </c>
      <c r="KY193" s="92" t="s">
        <v>1347</v>
      </c>
      <c r="KZ193" s="92" t="s">
        <v>5795</v>
      </c>
      <c r="LA193" s="92" t="s">
        <v>109</v>
      </c>
      <c r="LB193" s="92" t="s">
        <v>109</v>
      </c>
      <c r="LC193" s="92" t="s">
        <v>4439</v>
      </c>
      <c r="LD193" s="92" t="s">
        <v>4439</v>
      </c>
      <c r="LE193" s="92" t="s">
        <v>192</v>
      </c>
      <c r="LF193" s="92" t="s">
        <v>192</v>
      </c>
    </row>
    <row r="194" spans="1:318" x14ac:dyDescent="0.25">
      <c r="A194" t="s">
        <v>2286</v>
      </c>
      <c r="B194" t="s">
        <v>2287</v>
      </c>
      <c r="C194" t="s">
        <v>1304</v>
      </c>
      <c r="D194" t="s">
        <v>1429</v>
      </c>
      <c r="E194" t="s">
        <v>1306</v>
      </c>
      <c r="G194" t="s">
        <v>1307</v>
      </c>
      <c r="H194">
        <v>6</v>
      </c>
      <c r="I194" t="s">
        <v>1307</v>
      </c>
      <c r="J194" t="s">
        <v>1406</v>
      </c>
      <c r="K194" t="s">
        <v>1309</v>
      </c>
      <c r="L194" t="s">
        <v>1310</v>
      </c>
      <c r="M194" t="s">
        <v>1309</v>
      </c>
      <c r="N194" t="s">
        <v>1309</v>
      </c>
      <c r="O194" t="s">
        <v>1309</v>
      </c>
      <c r="P194" t="s">
        <v>1309</v>
      </c>
      <c r="Q194" t="s">
        <v>1309</v>
      </c>
      <c r="R194" t="s">
        <v>1309</v>
      </c>
      <c r="S194">
        <v>2</v>
      </c>
      <c r="U194" t="s">
        <v>1312</v>
      </c>
      <c r="V194" t="s">
        <v>1312</v>
      </c>
      <c r="W194" t="s">
        <v>1312</v>
      </c>
      <c r="X194" t="s">
        <v>1312</v>
      </c>
      <c r="Y194" t="s">
        <v>1312</v>
      </c>
      <c r="Z194" t="s">
        <v>1312</v>
      </c>
      <c r="AC194">
        <v>2</v>
      </c>
      <c r="AD194">
        <v>15000</v>
      </c>
      <c r="AE194">
        <v>10000</v>
      </c>
      <c r="AF194" t="s">
        <v>1313</v>
      </c>
      <c r="AH194" t="s">
        <v>1383</v>
      </c>
      <c r="AJ194" t="s">
        <v>1315</v>
      </c>
      <c r="AL194" t="s">
        <v>1316</v>
      </c>
      <c r="BS194" t="s">
        <v>1307</v>
      </c>
      <c r="CE194" t="s">
        <v>2288</v>
      </c>
      <c r="CF194" t="s">
        <v>1310</v>
      </c>
      <c r="CG194" t="s">
        <v>1309</v>
      </c>
      <c r="CH194" t="s">
        <v>1309</v>
      </c>
      <c r="CI194" t="s">
        <v>1309</v>
      </c>
      <c r="CJ194" t="s">
        <v>1309</v>
      </c>
      <c r="CK194" t="s">
        <v>1309</v>
      </c>
      <c r="CL194" t="s">
        <v>1309</v>
      </c>
      <c r="CM194" t="s">
        <v>1309</v>
      </c>
      <c r="CN194" t="s">
        <v>1310</v>
      </c>
      <c r="CO194" t="s">
        <v>1310</v>
      </c>
      <c r="CP194" t="s">
        <v>1309</v>
      </c>
      <c r="CQ194" t="s">
        <v>1309</v>
      </c>
      <c r="CR194" t="s">
        <v>1309</v>
      </c>
      <c r="CT194" t="s">
        <v>4435</v>
      </c>
      <c r="CV194" t="s">
        <v>1357</v>
      </c>
      <c r="CW194" t="s">
        <v>1309</v>
      </c>
      <c r="CX194" t="s">
        <v>1309</v>
      </c>
      <c r="CY194" t="s">
        <v>1309</v>
      </c>
      <c r="CZ194" t="s">
        <v>1309</v>
      </c>
      <c r="DA194" t="s">
        <v>1310</v>
      </c>
      <c r="DB194" t="s">
        <v>1309</v>
      </c>
      <c r="DC194" t="s">
        <v>1309</v>
      </c>
      <c r="DE194" t="s">
        <v>1358</v>
      </c>
      <c r="DF194" t="s">
        <v>1319</v>
      </c>
      <c r="DG194">
        <v>350</v>
      </c>
      <c r="DH194">
        <v>1800</v>
      </c>
      <c r="DI194">
        <v>450</v>
      </c>
      <c r="DJ194" t="s">
        <v>1358</v>
      </c>
      <c r="DK194">
        <v>500</v>
      </c>
      <c r="DL194">
        <v>3200</v>
      </c>
      <c r="DM194">
        <v>500</v>
      </c>
      <c r="DN194" t="s">
        <v>1647</v>
      </c>
      <c r="DO194" t="s">
        <v>1310</v>
      </c>
      <c r="DP194" t="s">
        <v>1309</v>
      </c>
      <c r="DQ194" t="s">
        <v>1309</v>
      </c>
      <c r="DR194" t="s">
        <v>1310</v>
      </c>
      <c r="DS194" t="s">
        <v>1309</v>
      </c>
      <c r="DT194" t="s">
        <v>1310</v>
      </c>
      <c r="DU194" t="s">
        <v>1309</v>
      </c>
      <c r="DV194" t="s">
        <v>1309</v>
      </c>
      <c r="DW194" t="s">
        <v>1309</v>
      </c>
      <c r="DY194" t="s">
        <v>1408</v>
      </c>
      <c r="DZ194">
        <v>300</v>
      </c>
      <c r="EA194" t="s">
        <v>1319</v>
      </c>
      <c r="EC194" t="s">
        <v>1420</v>
      </c>
      <c r="ED194">
        <v>800</v>
      </c>
      <c r="EE194" t="s">
        <v>1319</v>
      </c>
      <c r="EG194" t="s">
        <v>5357</v>
      </c>
      <c r="ET194" t="s">
        <v>1307</v>
      </c>
      <c r="EV194" t="s">
        <v>1319</v>
      </c>
      <c r="EW194" t="s">
        <v>1409</v>
      </c>
      <c r="EX194" t="s">
        <v>1319</v>
      </c>
      <c r="EY194" t="s">
        <v>1307</v>
      </c>
      <c r="FA194" t="s">
        <v>1697</v>
      </c>
      <c r="FB194" t="s">
        <v>1309</v>
      </c>
      <c r="FC194" t="s">
        <v>1309</v>
      </c>
      <c r="FD194" t="s">
        <v>1309</v>
      </c>
      <c r="FE194" t="s">
        <v>1309</v>
      </c>
      <c r="FF194" t="s">
        <v>1309</v>
      </c>
      <c r="FG194" t="s">
        <v>1309</v>
      </c>
      <c r="FH194" t="s">
        <v>1309</v>
      </c>
      <c r="FI194" t="s">
        <v>1310</v>
      </c>
      <c r="FJ194" t="s">
        <v>1309</v>
      </c>
      <c r="FK194" t="s">
        <v>1309</v>
      </c>
      <c r="FL194" t="s">
        <v>1309</v>
      </c>
      <c r="FM194" t="s">
        <v>1309</v>
      </c>
      <c r="FN194" t="s">
        <v>1309</v>
      </c>
      <c r="FO194" t="s">
        <v>1309</v>
      </c>
      <c r="FP194" t="s">
        <v>1309</v>
      </c>
      <c r="FQ194" t="s">
        <v>1309</v>
      </c>
      <c r="FR194" t="s">
        <v>1309</v>
      </c>
      <c r="FT194" t="s">
        <v>1307</v>
      </c>
      <c r="GI194" t="s">
        <v>1324</v>
      </c>
      <c r="GJ194" t="s">
        <v>1324</v>
      </c>
      <c r="GT194" t="s">
        <v>1325</v>
      </c>
      <c r="GU194" t="s">
        <v>1310</v>
      </c>
      <c r="GV194" t="s">
        <v>1309</v>
      </c>
      <c r="GW194" t="s">
        <v>1309</v>
      </c>
      <c r="GX194" t="s">
        <v>1309</v>
      </c>
      <c r="GY194" t="s">
        <v>1309</v>
      </c>
      <c r="GZ194" t="s">
        <v>1309</v>
      </c>
      <c r="HA194" t="s">
        <v>1309</v>
      </c>
      <c r="HB194" t="s">
        <v>1309</v>
      </c>
      <c r="HC194" t="s">
        <v>1309</v>
      </c>
      <c r="HD194" t="s">
        <v>1309</v>
      </c>
      <c r="HE194" t="s">
        <v>1309</v>
      </c>
      <c r="HF194" t="s">
        <v>1309</v>
      </c>
      <c r="HH194" t="s">
        <v>1326</v>
      </c>
      <c r="HI194" t="s">
        <v>1326</v>
      </c>
      <c r="HJ194" t="s">
        <v>1326</v>
      </c>
      <c r="HK194" t="s">
        <v>1327</v>
      </c>
      <c r="HL194" t="s">
        <v>1364</v>
      </c>
      <c r="HM194" t="s">
        <v>1390</v>
      </c>
      <c r="IA194" t="s">
        <v>1307</v>
      </c>
      <c r="IQ194" t="s">
        <v>1330</v>
      </c>
      <c r="IS194" t="s">
        <v>1316</v>
      </c>
      <c r="JF194" t="s">
        <v>1316</v>
      </c>
      <c r="JG194" t="s">
        <v>1414</v>
      </c>
      <c r="JH194" t="s">
        <v>1309</v>
      </c>
      <c r="JI194" t="s">
        <v>1309</v>
      </c>
      <c r="JJ194" t="s">
        <v>1309</v>
      </c>
      <c r="JK194" t="s">
        <v>1309</v>
      </c>
      <c r="JL194" t="s">
        <v>1309</v>
      </c>
      <c r="JM194" t="s">
        <v>1309</v>
      </c>
      <c r="JN194" t="s">
        <v>1310</v>
      </c>
      <c r="JO194" t="s">
        <v>1309</v>
      </c>
      <c r="JQ194" s="92" t="s">
        <v>1524</v>
      </c>
      <c r="JR194" s="92" t="s">
        <v>1525</v>
      </c>
      <c r="JS194" s="92">
        <v>45</v>
      </c>
      <c r="JT194" s="92" t="s">
        <v>1319</v>
      </c>
      <c r="JU194" s="92" t="s">
        <v>1335</v>
      </c>
      <c r="JV194" s="92" t="s">
        <v>1526</v>
      </c>
      <c r="JW194" s="92" t="s">
        <v>1296</v>
      </c>
      <c r="JX194" s="92" t="s">
        <v>71</v>
      </c>
      <c r="JY194" s="92" t="s">
        <v>5549</v>
      </c>
      <c r="JZ194" s="92" t="s">
        <v>1337</v>
      </c>
      <c r="KA194" s="92" t="s">
        <v>4846</v>
      </c>
      <c r="KB194" s="92" t="s">
        <v>1415</v>
      </c>
      <c r="KC194" s="92" t="s">
        <v>109</v>
      </c>
      <c r="KD194" s="92" t="s">
        <v>4847</v>
      </c>
      <c r="KE194" s="92" t="s">
        <v>1371</v>
      </c>
      <c r="KF194" s="92">
        <v>2600</v>
      </c>
      <c r="KG194" s="92" t="s">
        <v>4438</v>
      </c>
      <c r="KH194" s="92" t="s">
        <v>192</v>
      </c>
      <c r="KI194" s="92" t="s">
        <v>192</v>
      </c>
      <c r="KJ194" s="92" t="s">
        <v>192</v>
      </c>
      <c r="KK194" s="92" t="s">
        <v>192</v>
      </c>
      <c r="KL194" s="92" t="s">
        <v>1425</v>
      </c>
      <c r="KM194" s="92">
        <v>4200</v>
      </c>
      <c r="KN194" s="92" t="s">
        <v>4439</v>
      </c>
      <c r="KO194" s="92" t="s">
        <v>1341</v>
      </c>
      <c r="KP194" s="92" t="s">
        <v>1375</v>
      </c>
      <c r="KQ194" s="92" t="s">
        <v>192</v>
      </c>
      <c r="KR194" s="92">
        <v>12</v>
      </c>
      <c r="KS194" s="92" t="s">
        <v>1343</v>
      </c>
      <c r="KT194" s="92" t="s">
        <v>1344</v>
      </c>
      <c r="KU194" s="92">
        <v>19</v>
      </c>
      <c r="KV194" s="92" t="s">
        <v>1441</v>
      </c>
      <c r="KW194" s="92" t="s">
        <v>1344</v>
      </c>
      <c r="KX194" s="92" t="s">
        <v>1346</v>
      </c>
      <c r="KY194" s="92" t="s">
        <v>1377</v>
      </c>
      <c r="KZ194" s="92" t="s">
        <v>5795</v>
      </c>
      <c r="LA194" s="92" t="s">
        <v>109</v>
      </c>
      <c r="LB194" s="92" t="s">
        <v>109</v>
      </c>
      <c r="LC194" s="92" t="s">
        <v>4438</v>
      </c>
      <c r="LD194" s="92" t="s">
        <v>4439</v>
      </c>
      <c r="LE194" s="92" t="s">
        <v>109</v>
      </c>
      <c r="LF194" s="92" t="s">
        <v>109</v>
      </c>
    </row>
    <row r="195" spans="1:318" x14ac:dyDescent="0.25">
      <c r="A195" t="s">
        <v>2289</v>
      </c>
      <c r="B195" t="s">
        <v>2290</v>
      </c>
      <c r="C195" t="s">
        <v>1304</v>
      </c>
      <c r="D195" t="s">
        <v>1305</v>
      </c>
      <c r="E195" t="s">
        <v>1381</v>
      </c>
      <c r="G195" t="s">
        <v>1319</v>
      </c>
      <c r="H195">
        <v>6</v>
      </c>
      <c r="I195" t="s">
        <v>1358</v>
      </c>
      <c r="J195" t="s">
        <v>1663</v>
      </c>
      <c r="K195" t="s">
        <v>1309</v>
      </c>
      <c r="L195" t="s">
        <v>1310</v>
      </c>
      <c r="M195" t="s">
        <v>1310</v>
      </c>
      <c r="N195" t="s">
        <v>1309</v>
      </c>
      <c r="O195" t="s">
        <v>1309</v>
      </c>
      <c r="P195" t="s">
        <v>1309</v>
      </c>
      <c r="Q195" t="s">
        <v>1309</v>
      </c>
      <c r="R195" t="s">
        <v>1309</v>
      </c>
      <c r="S195">
        <v>4</v>
      </c>
      <c r="T195">
        <v>1</v>
      </c>
      <c r="U195" t="s">
        <v>1311</v>
      </c>
      <c r="V195" t="s">
        <v>1312</v>
      </c>
      <c r="W195" t="s">
        <v>1311</v>
      </c>
      <c r="X195" t="s">
        <v>1312</v>
      </c>
      <c r="Y195" t="s">
        <v>1312</v>
      </c>
      <c r="Z195" t="s">
        <v>1312</v>
      </c>
      <c r="AC195">
        <v>6</v>
      </c>
      <c r="AD195">
        <v>13000</v>
      </c>
      <c r="AE195">
        <v>5000</v>
      </c>
      <c r="AF195" t="s">
        <v>1313</v>
      </c>
      <c r="AH195" t="s">
        <v>1314</v>
      </c>
      <c r="AJ195" t="s">
        <v>1353</v>
      </c>
      <c r="AL195" t="s">
        <v>1354</v>
      </c>
      <c r="BA195" t="s">
        <v>1354</v>
      </c>
      <c r="BS195" t="s">
        <v>1307</v>
      </c>
      <c r="CE195" t="s">
        <v>1414</v>
      </c>
      <c r="CF195" t="s">
        <v>1309</v>
      </c>
      <c r="CG195" t="s">
        <v>1309</v>
      </c>
      <c r="CH195" t="s">
        <v>1309</v>
      </c>
      <c r="CI195" t="s">
        <v>1309</v>
      </c>
      <c r="CJ195" t="s">
        <v>1309</v>
      </c>
      <c r="CK195" t="s">
        <v>1309</v>
      </c>
      <c r="CL195" t="s">
        <v>1309</v>
      </c>
      <c r="CM195" t="s">
        <v>1309</v>
      </c>
      <c r="CN195" t="s">
        <v>1309</v>
      </c>
      <c r="CO195" t="s">
        <v>1309</v>
      </c>
      <c r="CP195" t="s">
        <v>1309</v>
      </c>
      <c r="CQ195" t="s">
        <v>1310</v>
      </c>
      <c r="CR195" t="s">
        <v>1309</v>
      </c>
      <c r="CT195" t="s">
        <v>4436</v>
      </c>
      <c r="CV195" t="s">
        <v>1308</v>
      </c>
      <c r="CW195" t="s">
        <v>1310</v>
      </c>
      <c r="CX195" t="s">
        <v>1309</v>
      </c>
      <c r="CY195" t="s">
        <v>1309</v>
      </c>
      <c r="CZ195" t="s">
        <v>1309</v>
      </c>
      <c r="DA195" t="s">
        <v>1309</v>
      </c>
      <c r="DB195" t="s">
        <v>1309</v>
      </c>
      <c r="DC195" t="s">
        <v>1309</v>
      </c>
      <c r="DE195" t="s">
        <v>1358</v>
      </c>
      <c r="DF195" t="s">
        <v>1307</v>
      </c>
      <c r="DH195">
        <v>1500</v>
      </c>
      <c r="DI195">
        <v>600</v>
      </c>
      <c r="DJ195" t="s">
        <v>1358</v>
      </c>
      <c r="DL195">
        <v>1000</v>
      </c>
      <c r="DM195">
        <v>500</v>
      </c>
      <c r="DN195" t="s">
        <v>1676</v>
      </c>
      <c r="DO195" t="s">
        <v>1309</v>
      </c>
      <c r="DP195" t="s">
        <v>1309</v>
      </c>
      <c r="DQ195" t="s">
        <v>1309</v>
      </c>
      <c r="DR195" t="s">
        <v>1309</v>
      </c>
      <c r="DS195" t="s">
        <v>1310</v>
      </c>
      <c r="DT195" t="s">
        <v>1310</v>
      </c>
      <c r="DU195" t="s">
        <v>1309</v>
      </c>
      <c r="DV195" t="s">
        <v>1309</v>
      </c>
      <c r="DW195" t="s">
        <v>1309</v>
      </c>
      <c r="DY195" t="s">
        <v>1456</v>
      </c>
      <c r="DZ195">
        <v>430</v>
      </c>
      <c r="EA195" t="s">
        <v>1319</v>
      </c>
      <c r="EC195" t="s">
        <v>1457</v>
      </c>
      <c r="ED195">
        <v>1000</v>
      </c>
      <c r="EE195" t="s">
        <v>1319</v>
      </c>
      <c r="EG195" t="s">
        <v>5356</v>
      </c>
      <c r="EI195" t="s">
        <v>1307</v>
      </c>
      <c r="ET195" t="s">
        <v>1307</v>
      </c>
      <c r="EV195" t="s">
        <v>1319</v>
      </c>
      <c r="EW195" t="s">
        <v>1361</v>
      </c>
      <c r="EX195" t="s">
        <v>1307</v>
      </c>
      <c r="EZ195" t="s">
        <v>1307</v>
      </c>
      <c r="FT195" t="s">
        <v>1307</v>
      </c>
      <c r="GI195" t="s">
        <v>1324</v>
      </c>
      <c r="GJ195" t="s">
        <v>1324</v>
      </c>
      <c r="GT195" t="s">
        <v>1325</v>
      </c>
      <c r="GU195" t="s">
        <v>1310</v>
      </c>
      <c r="GV195" t="s">
        <v>1309</v>
      </c>
      <c r="GW195" t="s">
        <v>1309</v>
      </c>
      <c r="GX195" t="s">
        <v>1309</v>
      </c>
      <c r="GY195" t="s">
        <v>1309</v>
      </c>
      <c r="GZ195" t="s">
        <v>1309</v>
      </c>
      <c r="HA195" t="s">
        <v>1309</v>
      </c>
      <c r="HB195" t="s">
        <v>1309</v>
      </c>
      <c r="HC195" t="s">
        <v>1309</v>
      </c>
      <c r="HD195" t="s">
        <v>1309</v>
      </c>
      <c r="HE195" t="s">
        <v>1309</v>
      </c>
      <c r="HF195" t="s">
        <v>1309</v>
      </c>
      <c r="HH195" t="s">
        <v>1363</v>
      </c>
      <c r="HI195" t="s">
        <v>1390</v>
      </c>
      <c r="HJ195" t="s">
        <v>1390</v>
      </c>
      <c r="HK195" t="s">
        <v>1327</v>
      </c>
      <c r="HL195" t="s">
        <v>1364</v>
      </c>
      <c r="HM195" t="s">
        <v>1363</v>
      </c>
      <c r="IA195" t="s">
        <v>1307</v>
      </c>
      <c r="IQ195" t="s">
        <v>1330</v>
      </c>
      <c r="IS195" t="s">
        <v>1316</v>
      </c>
      <c r="JF195" t="s">
        <v>1316</v>
      </c>
      <c r="JG195" t="s">
        <v>1332</v>
      </c>
      <c r="JH195" t="s">
        <v>1309</v>
      </c>
      <c r="JI195" t="s">
        <v>1309</v>
      </c>
      <c r="JJ195" t="s">
        <v>1309</v>
      </c>
      <c r="JK195" t="s">
        <v>1309</v>
      </c>
      <c r="JL195" t="s">
        <v>1310</v>
      </c>
      <c r="JM195" t="s">
        <v>1309</v>
      </c>
      <c r="JN195" t="s">
        <v>1309</v>
      </c>
      <c r="JO195" t="s">
        <v>1309</v>
      </c>
      <c r="JQ195" s="92" t="s">
        <v>1711</v>
      </c>
      <c r="JR195" s="92" t="s">
        <v>1712</v>
      </c>
      <c r="JS195" s="92">
        <v>44</v>
      </c>
      <c r="JT195" s="92" t="s">
        <v>1319</v>
      </c>
      <c r="JU195" s="92" t="s">
        <v>1396</v>
      </c>
      <c r="JV195" s="92" t="s">
        <v>1368</v>
      </c>
      <c r="JW195" s="92" t="s">
        <v>1296</v>
      </c>
      <c r="JX195" s="92" t="s">
        <v>71</v>
      </c>
      <c r="JY195" s="92" t="s">
        <v>1397</v>
      </c>
      <c r="JZ195" s="92" t="s">
        <v>1337</v>
      </c>
      <c r="KA195" s="92" t="s">
        <v>4846</v>
      </c>
      <c r="KB195" s="92" t="s">
        <v>1370</v>
      </c>
      <c r="KC195" s="92" t="s">
        <v>109</v>
      </c>
      <c r="KD195" s="92" t="s">
        <v>4848</v>
      </c>
      <c r="KE195" s="92" t="s">
        <v>1371</v>
      </c>
      <c r="KF195" s="92">
        <v>2100</v>
      </c>
      <c r="KG195" s="92" t="s">
        <v>4438</v>
      </c>
      <c r="KH195" s="92" t="s">
        <v>109</v>
      </c>
      <c r="KI195" s="92" t="s">
        <v>192</v>
      </c>
      <c r="KJ195" s="92" t="s">
        <v>109</v>
      </c>
      <c r="KK195" s="92" t="s">
        <v>192</v>
      </c>
      <c r="KL195" s="92" t="s">
        <v>1425</v>
      </c>
      <c r="KM195" s="92">
        <v>1500</v>
      </c>
      <c r="KN195" s="92" t="s">
        <v>4438</v>
      </c>
      <c r="KO195" s="92" t="s">
        <v>1440</v>
      </c>
      <c r="KP195" s="92" t="s">
        <v>1401</v>
      </c>
      <c r="KQ195" s="92" t="s">
        <v>109</v>
      </c>
      <c r="KR195" s="92"/>
      <c r="KS195" s="92" t="s">
        <v>1343</v>
      </c>
      <c r="KT195" s="92" t="s">
        <v>1344</v>
      </c>
      <c r="KU195" s="92"/>
      <c r="KV195" s="92" t="s">
        <v>1461</v>
      </c>
      <c r="KW195" s="92" t="s">
        <v>1344</v>
      </c>
      <c r="KX195" s="92" t="s">
        <v>1376</v>
      </c>
      <c r="KY195" s="92" t="s">
        <v>1377</v>
      </c>
      <c r="KZ195" s="92" t="s">
        <v>1403</v>
      </c>
      <c r="LA195" s="92" t="s">
        <v>109</v>
      </c>
      <c r="LB195" s="92" t="s">
        <v>109</v>
      </c>
      <c r="LC195" s="92" t="s">
        <v>4439</v>
      </c>
      <c r="LD195" s="92" t="s">
        <v>4438</v>
      </c>
      <c r="LE195" s="92" t="s">
        <v>109</v>
      </c>
      <c r="LF195" s="92" t="s">
        <v>109</v>
      </c>
    </row>
    <row r="196" spans="1:318" x14ac:dyDescent="0.25">
      <c r="A196" t="s">
        <v>2291</v>
      </c>
      <c r="B196" t="s">
        <v>2292</v>
      </c>
      <c r="C196" t="s">
        <v>1304</v>
      </c>
      <c r="D196" t="s">
        <v>1305</v>
      </c>
      <c r="E196" t="s">
        <v>1381</v>
      </c>
      <c r="G196" t="s">
        <v>1319</v>
      </c>
      <c r="H196">
        <v>3</v>
      </c>
      <c r="I196" t="s">
        <v>1358</v>
      </c>
      <c r="J196" t="s">
        <v>1479</v>
      </c>
      <c r="K196" t="s">
        <v>1309</v>
      </c>
      <c r="L196" t="s">
        <v>1309</v>
      </c>
      <c r="M196" t="s">
        <v>1309</v>
      </c>
      <c r="N196" t="s">
        <v>1309</v>
      </c>
      <c r="O196" t="s">
        <v>1310</v>
      </c>
      <c r="P196" t="s">
        <v>1309</v>
      </c>
      <c r="Q196" t="s">
        <v>1309</v>
      </c>
      <c r="R196" t="s">
        <v>1309</v>
      </c>
      <c r="U196" t="s">
        <v>1311</v>
      </c>
      <c r="V196" t="s">
        <v>1312</v>
      </c>
      <c r="W196" t="s">
        <v>1311</v>
      </c>
      <c r="X196" t="s">
        <v>1312</v>
      </c>
      <c r="Y196" t="s">
        <v>1312</v>
      </c>
      <c r="Z196" t="s">
        <v>1312</v>
      </c>
      <c r="AC196">
        <v>3</v>
      </c>
      <c r="AD196">
        <v>10000</v>
      </c>
      <c r="AE196">
        <v>12000</v>
      </c>
      <c r="AF196" t="s">
        <v>1313</v>
      </c>
      <c r="AH196" t="s">
        <v>1383</v>
      </c>
      <c r="AJ196" t="s">
        <v>1315</v>
      </c>
      <c r="AL196" t="s">
        <v>1316</v>
      </c>
      <c r="BS196" t="s">
        <v>1307</v>
      </c>
      <c r="CE196" t="s">
        <v>1355</v>
      </c>
      <c r="CF196" t="s">
        <v>1309</v>
      </c>
      <c r="CG196" t="s">
        <v>1309</v>
      </c>
      <c r="CH196" t="s">
        <v>1309</v>
      </c>
      <c r="CI196" t="s">
        <v>1309</v>
      </c>
      <c r="CJ196" t="s">
        <v>1309</v>
      </c>
      <c r="CK196" t="s">
        <v>1309</v>
      </c>
      <c r="CL196" t="s">
        <v>1309</v>
      </c>
      <c r="CM196" t="s">
        <v>1309</v>
      </c>
      <c r="CN196" t="s">
        <v>1310</v>
      </c>
      <c r="CO196" t="s">
        <v>1309</v>
      </c>
      <c r="CP196" t="s">
        <v>1309</v>
      </c>
      <c r="CQ196" t="s">
        <v>1309</v>
      </c>
      <c r="CR196" t="s">
        <v>1309</v>
      </c>
      <c r="CT196" t="s">
        <v>4434</v>
      </c>
      <c r="CV196" t="s">
        <v>1357</v>
      </c>
      <c r="CW196" t="s">
        <v>1309</v>
      </c>
      <c r="CX196" t="s">
        <v>1309</v>
      </c>
      <c r="CY196" t="s">
        <v>1309</v>
      </c>
      <c r="CZ196" t="s">
        <v>1309</v>
      </c>
      <c r="DA196" t="s">
        <v>1310</v>
      </c>
      <c r="DB196" t="s">
        <v>1309</v>
      </c>
      <c r="DC196" t="s">
        <v>1309</v>
      </c>
      <c r="DE196" t="s">
        <v>1358</v>
      </c>
      <c r="DG196">
        <v>500</v>
      </c>
      <c r="DI196">
        <v>550</v>
      </c>
      <c r="DJ196" t="s">
        <v>1358</v>
      </c>
      <c r="DK196">
        <v>1200</v>
      </c>
      <c r="DM196">
        <v>600</v>
      </c>
      <c r="DN196" t="s">
        <v>1676</v>
      </c>
      <c r="DO196" t="s">
        <v>1309</v>
      </c>
      <c r="DP196" t="s">
        <v>1309</v>
      </c>
      <c r="DQ196" t="s">
        <v>1309</v>
      </c>
      <c r="DR196" t="s">
        <v>1309</v>
      </c>
      <c r="DS196" t="s">
        <v>1310</v>
      </c>
      <c r="DT196" t="s">
        <v>1310</v>
      </c>
      <c r="DU196" t="s">
        <v>1309</v>
      </c>
      <c r="DV196" t="s">
        <v>1309</v>
      </c>
      <c r="DW196" t="s">
        <v>1309</v>
      </c>
      <c r="DY196" t="s">
        <v>1456</v>
      </c>
      <c r="DZ196">
        <v>300</v>
      </c>
      <c r="EA196" t="s">
        <v>1319</v>
      </c>
      <c r="EC196" t="s">
        <v>1457</v>
      </c>
      <c r="ED196">
        <v>1000</v>
      </c>
      <c r="EE196" t="s">
        <v>1319</v>
      </c>
      <c r="EG196" t="s">
        <v>5356</v>
      </c>
      <c r="EI196" t="s">
        <v>1307</v>
      </c>
      <c r="ET196" t="s">
        <v>1307</v>
      </c>
      <c r="EV196" t="s">
        <v>1319</v>
      </c>
      <c r="EW196" t="s">
        <v>1529</v>
      </c>
      <c r="EX196" t="s">
        <v>1319</v>
      </c>
      <c r="EY196" t="s">
        <v>1319</v>
      </c>
      <c r="FA196" t="s">
        <v>2293</v>
      </c>
      <c r="FB196" t="s">
        <v>1310</v>
      </c>
      <c r="FC196" t="s">
        <v>1309</v>
      </c>
      <c r="FD196" t="s">
        <v>1310</v>
      </c>
      <c r="FE196" t="s">
        <v>1310</v>
      </c>
      <c r="FF196" t="s">
        <v>1309</v>
      </c>
      <c r="FG196" t="s">
        <v>1309</v>
      </c>
      <c r="FH196" t="s">
        <v>1309</v>
      </c>
      <c r="FI196" t="s">
        <v>1310</v>
      </c>
      <c r="FJ196" t="s">
        <v>1309</v>
      </c>
      <c r="FK196" t="s">
        <v>1309</v>
      </c>
      <c r="FL196" t="s">
        <v>1309</v>
      </c>
      <c r="FM196" t="s">
        <v>1310</v>
      </c>
      <c r="FN196" t="s">
        <v>1309</v>
      </c>
      <c r="FO196" t="s">
        <v>1309</v>
      </c>
      <c r="FP196" t="s">
        <v>1309</v>
      </c>
      <c r="FQ196" t="s">
        <v>1309</v>
      </c>
      <c r="FR196" t="s">
        <v>1309</v>
      </c>
      <c r="FT196" t="s">
        <v>1307</v>
      </c>
      <c r="GI196" t="s">
        <v>1324</v>
      </c>
      <c r="GJ196" t="s">
        <v>1324</v>
      </c>
      <c r="GT196" t="s">
        <v>1325</v>
      </c>
      <c r="GU196" t="s">
        <v>1310</v>
      </c>
      <c r="GV196" t="s">
        <v>1309</v>
      </c>
      <c r="GW196" t="s">
        <v>1309</v>
      </c>
      <c r="GX196" t="s">
        <v>1309</v>
      </c>
      <c r="GY196" t="s">
        <v>1309</v>
      </c>
      <c r="GZ196" t="s">
        <v>1309</v>
      </c>
      <c r="HA196" t="s">
        <v>1309</v>
      </c>
      <c r="HB196" t="s">
        <v>1309</v>
      </c>
      <c r="HC196" t="s">
        <v>1309</v>
      </c>
      <c r="HD196" t="s">
        <v>1309</v>
      </c>
      <c r="HE196" t="s">
        <v>1309</v>
      </c>
      <c r="HF196" t="s">
        <v>1309</v>
      </c>
      <c r="HH196" t="s">
        <v>1390</v>
      </c>
      <c r="HI196" t="s">
        <v>1390</v>
      </c>
      <c r="HJ196" t="s">
        <v>1390</v>
      </c>
      <c r="HK196" t="s">
        <v>1390</v>
      </c>
      <c r="HL196" t="s">
        <v>1328</v>
      </c>
      <c r="HM196" t="s">
        <v>1390</v>
      </c>
      <c r="HN196" t="s">
        <v>1549</v>
      </c>
      <c r="HO196" t="s">
        <v>1310</v>
      </c>
      <c r="HP196" t="s">
        <v>1310</v>
      </c>
      <c r="HQ196" t="s">
        <v>1309</v>
      </c>
      <c r="HR196" t="s">
        <v>1309</v>
      </c>
      <c r="HS196" t="s">
        <v>1309</v>
      </c>
      <c r="HT196" t="s">
        <v>1309</v>
      </c>
      <c r="HU196" t="s">
        <v>1309</v>
      </c>
      <c r="HV196" t="s">
        <v>1309</v>
      </c>
      <c r="HW196" t="s">
        <v>1309</v>
      </c>
      <c r="HX196" t="s">
        <v>1309</v>
      </c>
      <c r="HY196" t="s">
        <v>1309</v>
      </c>
      <c r="IA196" t="s">
        <v>1307</v>
      </c>
      <c r="IQ196" t="s">
        <v>1330</v>
      </c>
      <c r="IS196" t="s">
        <v>1316</v>
      </c>
      <c r="JF196" t="s">
        <v>1316</v>
      </c>
      <c r="JG196" t="s">
        <v>1393</v>
      </c>
      <c r="JH196" t="s">
        <v>1310</v>
      </c>
      <c r="JI196" t="s">
        <v>1309</v>
      </c>
      <c r="JJ196" t="s">
        <v>1309</v>
      </c>
      <c r="JK196" t="s">
        <v>1309</v>
      </c>
      <c r="JL196" t="s">
        <v>1309</v>
      </c>
      <c r="JM196" t="s">
        <v>1309</v>
      </c>
      <c r="JN196" t="s">
        <v>1309</v>
      </c>
      <c r="JO196" t="s">
        <v>1309</v>
      </c>
      <c r="JQ196" s="92" t="s">
        <v>1524</v>
      </c>
      <c r="JR196" s="92" t="s">
        <v>1525</v>
      </c>
      <c r="JS196" s="92">
        <v>54</v>
      </c>
      <c r="JT196" s="92" t="s">
        <v>1319</v>
      </c>
      <c r="JU196" s="92" t="s">
        <v>1396</v>
      </c>
      <c r="JV196" s="92" t="s">
        <v>1526</v>
      </c>
      <c r="JW196" s="92" t="s">
        <v>1296</v>
      </c>
      <c r="JX196" s="92" t="s">
        <v>71</v>
      </c>
      <c r="JY196" s="92" t="s">
        <v>1397</v>
      </c>
      <c r="JZ196" s="92" t="s">
        <v>1337</v>
      </c>
      <c r="KA196" s="92" t="s">
        <v>4845</v>
      </c>
      <c r="KB196" s="92" t="s">
        <v>1338</v>
      </c>
      <c r="KC196" s="92" t="s">
        <v>109</v>
      </c>
      <c r="KD196" s="92" t="s">
        <v>4848</v>
      </c>
      <c r="KE196" s="92" t="s">
        <v>1424</v>
      </c>
      <c r="KF196" s="92">
        <v>1050</v>
      </c>
      <c r="KG196" s="92" t="s">
        <v>1372</v>
      </c>
      <c r="KH196" s="92" t="s">
        <v>192</v>
      </c>
      <c r="KI196" s="92" t="s">
        <v>109</v>
      </c>
      <c r="KJ196" s="92" t="s">
        <v>192</v>
      </c>
      <c r="KK196" s="92" t="s">
        <v>109</v>
      </c>
      <c r="KL196" s="92" t="s">
        <v>1440</v>
      </c>
      <c r="KM196" s="92">
        <v>1800</v>
      </c>
      <c r="KN196" s="92" t="s">
        <v>4438</v>
      </c>
      <c r="KO196" s="92" t="s">
        <v>1440</v>
      </c>
      <c r="KP196" s="92" t="s">
        <v>1375</v>
      </c>
      <c r="KQ196" s="92" t="s">
        <v>192</v>
      </c>
      <c r="KR196" s="92">
        <v>29</v>
      </c>
      <c r="KS196" s="92" t="s">
        <v>1343</v>
      </c>
      <c r="KT196" s="92" t="s">
        <v>1344</v>
      </c>
      <c r="KU196" s="92">
        <v>56</v>
      </c>
      <c r="KV196" s="92" t="s">
        <v>1461</v>
      </c>
      <c r="KW196" s="92" t="s">
        <v>1344</v>
      </c>
      <c r="KX196" s="92" t="s">
        <v>1376</v>
      </c>
      <c r="KY196" s="92" t="s">
        <v>1377</v>
      </c>
      <c r="KZ196" s="92" t="s">
        <v>1403</v>
      </c>
      <c r="LA196" s="92" t="s">
        <v>109</v>
      </c>
      <c r="LB196" s="92" t="s">
        <v>109</v>
      </c>
      <c r="LC196" s="92" t="s">
        <v>1372</v>
      </c>
      <c r="LD196" s="92" t="s">
        <v>4438</v>
      </c>
      <c r="LE196" s="92" t="s">
        <v>192</v>
      </c>
      <c r="LF196" s="92" t="s">
        <v>192</v>
      </c>
    </row>
    <row r="197" spans="1:318" x14ac:dyDescent="0.25">
      <c r="A197" t="s">
        <v>2294</v>
      </c>
      <c r="B197" t="s">
        <v>2295</v>
      </c>
      <c r="C197" t="s">
        <v>1304</v>
      </c>
      <c r="D197" t="s">
        <v>1305</v>
      </c>
      <c r="E197" t="s">
        <v>1306</v>
      </c>
      <c r="G197" t="s">
        <v>1307</v>
      </c>
      <c r="H197">
        <v>3</v>
      </c>
      <c r="I197" t="s">
        <v>1307</v>
      </c>
      <c r="J197" t="s">
        <v>1430</v>
      </c>
      <c r="K197" t="s">
        <v>1309</v>
      </c>
      <c r="L197" t="s">
        <v>1309</v>
      </c>
      <c r="M197" t="s">
        <v>1310</v>
      </c>
      <c r="N197" t="s">
        <v>1309</v>
      </c>
      <c r="O197" t="s">
        <v>1309</v>
      </c>
      <c r="P197" t="s">
        <v>1309</v>
      </c>
      <c r="Q197" t="s">
        <v>1309</v>
      </c>
      <c r="R197" t="s">
        <v>1309</v>
      </c>
      <c r="T197">
        <v>1</v>
      </c>
      <c r="U197" t="s">
        <v>1311</v>
      </c>
      <c r="V197" t="s">
        <v>1312</v>
      </c>
      <c r="W197" t="s">
        <v>1311</v>
      </c>
      <c r="X197" t="s">
        <v>1312</v>
      </c>
      <c r="Y197" t="s">
        <v>1312</v>
      </c>
      <c r="Z197" t="s">
        <v>1312</v>
      </c>
      <c r="AC197">
        <v>2</v>
      </c>
      <c r="AD197">
        <v>15000</v>
      </c>
      <c r="AE197">
        <v>10000</v>
      </c>
      <c r="AF197" t="s">
        <v>1351</v>
      </c>
      <c r="AH197" t="s">
        <v>1383</v>
      </c>
      <c r="AJ197" t="s">
        <v>1353</v>
      </c>
      <c r="AL197" t="s">
        <v>1316</v>
      </c>
      <c r="BA197" t="s">
        <v>1316</v>
      </c>
      <c r="BS197" t="s">
        <v>1307</v>
      </c>
      <c r="CE197" t="s">
        <v>2224</v>
      </c>
      <c r="CF197" t="s">
        <v>1309</v>
      </c>
      <c r="CG197" t="s">
        <v>1309</v>
      </c>
      <c r="CH197" t="s">
        <v>1309</v>
      </c>
      <c r="CI197" t="s">
        <v>1310</v>
      </c>
      <c r="CJ197" t="s">
        <v>1309</v>
      </c>
      <c r="CK197" t="s">
        <v>1310</v>
      </c>
      <c r="CL197" t="s">
        <v>1309</v>
      </c>
      <c r="CM197" t="s">
        <v>1309</v>
      </c>
      <c r="CN197" t="s">
        <v>1310</v>
      </c>
      <c r="CO197" t="s">
        <v>1309</v>
      </c>
      <c r="CP197" t="s">
        <v>1309</v>
      </c>
      <c r="CQ197" t="s">
        <v>1309</v>
      </c>
      <c r="CR197" t="s">
        <v>1309</v>
      </c>
      <c r="CT197" t="s">
        <v>4436</v>
      </c>
      <c r="CV197" t="s">
        <v>1308</v>
      </c>
      <c r="CW197" t="s">
        <v>1310</v>
      </c>
      <c r="CX197" t="s">
        <v>1309</v>
      </c>
      <c r="CY197" t="s">
        <v>1309</v>
      </c>
      <c r="CZ197" t="s">
        <v>1309</v>
      </c>
      <c r="DA197" t="s">
        <v>1309</v>
      </c>
      <c r="DB197" t="s">
        <v>1309</v>
      </c>
      <c r="DC197" t="s">
        <v>1309</v>
      </c>
      <c r="DE197" t="s">
        <v>1358</v>
      </c>
      <c r="DF197" t="s">
        <v>1319</v>
      </c>
      <c r="DG197">
        <v>100</v>
      </c>
      <c r="DH197">
        <v>2000</v>
      </c>
      <c r="DI197">
        <v>300</v>
      </c>
      <c r="DJ197" t="s">
        <v>1358</v>
      </c>
      <c r="DK197">
        <v>300</v>
      </c>
      <c r="DL197">
        <v>2500</v>
      </c>
      <c r="DM197">
        <v>300</v>
      </c>
      <c r="DN197" t="s">
        <v>1672</v>
      </c>
      <c r="DO197" t="s">
        <v>1310</v>
      </c>
      <c r="DP197" t="s">
        <v>1309</v>
      </c>
      <c r="DQ197" t="s">
        <v>1309</v>
      </c>
      <c r="DR197" t="s">
        <v>1309</v>
      </c>
      <c r="DS197" t="s">
        <v>1309</v>
      </c>
      <c r="DT197" t="s">
        <v>1310</v>
      </c>
      <c r="DU197" t="s">
        <v>1309</v>
      </c>
      <c r="DV197" t="s">
        <v>1309</v>
      </c>
      <c r="DW197" t="s">
        <v>1309</v>
      </c>
      <c r="DY197" t="s">
        <v>1433</v>
      </c>
      <c r="EA197" t="s">
        <v>1386</v>
      </c>
      <c r="EC197" t="s">
        <v>1387</v>
      </c>
      <c r="EE197" t="s">
        <v>1386</v>
      </c>
      <c r="EG197" t="s">
        <v>5356</v>
      </c>
      <c r="EI197" t="s">
        <v>1307</v>
      </c>
      <c r="ET197" t="s">
        <v>1307</v>
      </c>
      <c r="EV197" t="s">
        <v>1307</v>
      </c>
      <c r="EX197" t="s">
        <v>1307</v>
      </c>
      <c r="EY197" t="s">
        <v>1307</v>
      </c>
      <c r="EZ197" t="s">
        <v>1307</v>
      </c>
      <c r="FT197" t="s">
        <v>1307</v>
      </c>
      <c r="GI197" t="s">
        <v>1324</v>
      </c>
      <c r="GJ197" t="s">
        <v>1324</v>
      </c>
      <c r="GT197" t="s">
        <v>1325</v>
      </c>
      <c r="GU197" t="s">
        <v>1310</v>
      </c>
      <c r="GV197" t="s">
        <v>1309</v>
      </c>
      <c r="GW197" t="s">
        <v>1309</v>
      </c>
      <c r="GX197" t="s">
        <v>1309</v>
      </c>
      <c r="GY197" t="s">
        <v>1309</v>
      </c>
      <c r="GZ197" t="s">
        <v>1309</v>
      </c>
      <c r="HA197" t="s">
        <v>1309</v>
      </c>
      <c r="HB197" t="s">
        <v>1309</v>
      </c>
      <c r="HC197" t="s">
        <v>1309</v>
      </c>
      <c r="HD197" t="s">
        <v>1309</v>
      </c>
      <c r="HE197" t="s">
        <v>1309</v>
      </c>
      <c r="HF197" t="s">
        <v>1309</v>
      </c>
      <c r="HH197" t="s">
        <v>1390</v>
      </c>
      <c r="HI197" t="s">
        <v>1327</v>
      </c>
      <c r="HJ197" t="s">
        <v>1326</v>
      </c>
      <c r="HK197" t="s">
        <v>1327</v>
      </c>
      <c r="HL197" t="s">
        <v>1364</v>
      </c>
      <c r="HM197" t="s">
        <v>1390</v>
      </c>
      <c r="IA197" t="s">
        <v>1319</v>
      </c>
      <c r="IB197" t="s">
        <v>1579</v>
      </c>
      <c r="IC197" t="s">
        <v>1309</v>
      </c>
      <c r="ID197" t="s">
        <v>1309</v>
      </c>
      <c r="IE197" t="s">
        <v>1309</v>
      </c>
      <c r="IF197" t="s">
        <v>1309</v>
      </c>
      <c r="IG197" t="s">
        <v>1310</v>
      </c>
      <c r="IH197" t="s">
        <v>1309</v>
      </c>
      <c r="II197" t="s">
        <v>1309</v>
      </c>
      <c r="IJ197" t="s">
        <v>1309</v>
      </c>
      <c r="IK197" t="s">
        <v>1310</v>
      </c>
      <c r="IL197" t="s">
        <v>1309</v>
      </c>
      <c r="IM197" t="s">
        <v>1309</v>
      </c>
      <c r="IN197" t="s">
        <v>1309</v>
      </c>
      <c r="IO197" t="s">
        <v>1309</v>
      </c>
      <c r="IQ197" t="s">
        <v>1308</v>
      </c>
      <c r="IS197" t="s">
        <v>1316</v>
      </c>
      <c r="JF197" t="s">
        <v>1316</v>
      </c>
      <c r="JG197" t="s">
        <v>1414</v>
      </c>
      <c r="JH197" t="s">
        <v>1309</v>
      </c>
      <c r="JI197" t="s">
        <v>1309</v>
      </c>
      <c r="JJ197" t="s">
        <v>1309</v>
      </c>
      <c r="JK197" t="s">
        <v>1309</v>
      </c>
      <c r="JL197" t="s">
        <v>1309</v>
      </c>
      <c r="JM197" t="s">
        <v>1309</v>
      </c>
      <c r="JN197" t="s">
        <v>1310</v>
      </c>
      <c r="JO197" t="s">
        <v>1309</v>
      </c>
      <c r="JQ197" s="92" t="s">
        <v>1524</v>
      </c>
      <c r="JR197" s="92" t="s">
        <v>1525</v>
      </c>
      <c r="JS197" s="92">
        <v>67</v>
      </c>
      <c r="JT197" s="92" t="s">
        <v>1319</v>
      </c>
      <c r="JU197" s="92" t="s">
        <v>1335</v>
      </c>
      <c r="JV197" s="92" t="s">
        <v>1526</v>
      </c>
      <c r="JW197" s="92" t="s">
        <v>1296</v>
      </c>
      <c r="JX197" s="92" t="s">
        <v>71</v>
      </c>
      <c r="JY197" s="92" t="s">
        <v>5549</v>
      </c>
      <c r="JZ197" s="92" t="s">
        <v>1369</v>
      </c>
      <c r="KA197" s="92" t="s">
        <v>4845</v>
      </c>
      <c r="KB197" s="92" t="s">
        <v>1476</v>
      </c>
      <c r="KC197" s="92" t="s">
        <v>109</v>
      </c>
      <c r="KD197" s="92" t="s">
        <v>4847</v>
      </c>
      <c r="KE197" s="92" t="s">
        <v>1371</v>
      </c>
      <c r="KF197" s="92">
        <v>2400</v>
      </c>
      <c r="KG197" s="92" t="s">
        <v>4438</v>
      </c>
      <c r="KH197" s="92" t="s">
        <v>192</v>
      </c>
      <c r="KI197" s="92" t="s">
        <v>192</v>
      </c>
      <c r="KJ197" s="92" t="s">
        <v>192</v>
      </c>
      <c r="KK197" s="92" t="s">
        <v>192</v>
      </c>
      <c r="KL197" s="92" t="s">
        <v>1425</v>
      </c>
      <c r="KM197" s="92">
        <v>3100</v>
      </c>
      <c r="KN197" s="92" t="s">
        <v>4438</v>
      </c>
      <c r="KO197" s="92" t="s">
        <v>1341</v>
      </c>
      <c r="KP197" s="92" t="s">
        <v>1401</v>
      </c>
      <c r="KQ197" s="92" t="s">
        <v>192</v>
      </c>
      <c r="KR197" s="92"/>
      <c r="KS197" s="92" t="s">
        <v>5554</v>
      </c>
      <c r="KT197" s="92" t="s">
        <v>1402</v>
      </c>
      <c r="KU197" s="92"/>
      <c r="KV197" s="92" t="s">
        <v>5554</v>
      </c>
      <c r="KW197" s="92" t="s">
        <v>1402</v>
      </c>
      <c r="KX197" s="92" t="s">
        <v>1346</v>
      </c>
      <c r="KY197" s="92" t="s">
        <v>1347</v>
      </c>
      <c r="KZ197" s="92" t="s">
        <v>5795</v>
      </c>
      <c r="LA197" s="92" t="s">
        <v>109</v>
      </c>
      <c r="LB197" s="92" t="s">
        <v>109</v>
      </c>
      <c r="LC197" s="92" t="s">
        <v>4438</v>
      </c>
      <c r="LD197" s="92" t="s">
        <v>4438</v>
      </c>
      <c r="LE197" s="92" t="s">
        <v>109</v>
      </c>
      <c r="LF197" s="92" t="s">
        <v>109</v>
      </c>
    </row>
    <row r="198" spans="1:318" x14ac:dyDescent="0.25">
      <c r="A198" t="s">
        <v>2296</v>
      </c>
      <c r="B198" t="s">
        <v>2297</v>
      </c>
      <c r="C198" t="s">
        <v>1304</v>
      </c>
      <c r="D198" t="s">
        <v>1305</v>
      </c>
      <c r="E198" t="s">
        <v>1306</v>
      </c>
      <c r="G198" t="s">
        <v>1307</v>
      </c>
      <c r="H198">
        <v>2</v>
      </c>
      <c r="I198" t="s">
        <v>1307</v>
      </c>
      <c r="J198" t="s">
        <v>1382</v>
      </c>
      <c r="K198" t="s">
        <v>1309</v>
      </c>
      <c r="L198" t="s">
        <v>1310</v>
      </c>
      <c r="M198" t="s">
        <v>1309</v>
      </c>
      <c r="N198" t="s">
        <v>1309</v>
      </c>
      <c r="O198" t="s">
        <v>1309</v>
      </c>
      <c r="P198" t="s">
        <v>1310</v>
      </c>
      <c r="Q198" t="s">
        <v>1309</v>
      </c>
      <c r="R198" t="s">
        <v>1309</v>
      </c>
      <c r="S198">
        <v>1</v>
      </c>
      <c r="U198" t="s">
        <v>1312</v>
      </c>
      <c r="V198" t="s">
        <v>1312</v>
      </c>
      <c r="W198" t="s">
        <v>1312</v>
      </c>
      <c r="X198" t="s">
        <v>1312</v>
      </c>
      <c r="Y198" t="s">
        <v>1312</v>
      </c>
      <c r="Z198" t="s">
        <v>1312</v>
      </c>
      <c r="AC198">
        <v>1</v>
      </c>
      <c r="AD198">
        <v>8000</v>
      </c>
      <c r="AE198">
        <v>5000</v>
      </c>
      <c r="AF198" t="s">
        <v>1313</v>
      </c>
      <c r="AH198" t="s">
        <v>1383</v>
      </c>
      <c r="AJ198" t="s">
        <v>1353</v>
      </c>
      <c r="AL198" t="s">
        <v>1316</v>
      </c>
      <c r="BA198" t="s">
        <v>1316</v>
      </c>
      <c r="BS198" t="s">
        <v>1307</v>
      </c>
      <c r="CE198" t="s">
        <v>1961</v>
      </c>
      <c r="CF198" t="s">
        <v>1309</v>
      </c>
      <c r="CG198" t="s">
        <v>1309</v>
      </c>
      <c r="CH198" t="s">
        <v>1309</v>
      </c>
      <c r="CI198" t="s">
        <v>1309</v>
      </c>
      <c r="CJ198" t="s">
        <v>1310</v>
      </c>
      <c r="CK198" t="s">
        <v>1309</v>
      </c>
      <c r="CL198" t="s">
        <v>1309</v>
      </c>
      <c r="CM198" t="s">
        <v>1309</v>
      </c>
      <c r="CN198" t="s">
        <v>1310</v>
      </c>
      <c r="CO198" t="s">
        <v>1310</v>
      </c>
      <c r="CP198" t="s">
        <v>1309</v>
      </c>
      <c r="CQ198" t="s">
        <v>1309</v>
      </c>
      <c r="CR198" t="s">
        <v>1309</v>
      </c>
      <c r="CT198" t="s">
        <v>4434</v>
      </c>
      <c r="CV198" t="s">
        <v>1357</v>
      </c>
      <c r="CW198" t="s">
        <v>1309</v>
      </c>
      <c r="CX198" t="s">
        <v>1309</v>
      </c>
      <c r="CY198" t="s">
        <v>1309</v>
      </c>
      <c r="CZ198" t="s">
        <v>1309</v>
      </c>
      <c r="DA198" t="s">
        <v>1310</v>
      </c>
      <c r="DB198" t="s">
        <v>1309</v>
      </c>
      <c r="DC198" t="s">
        <v>1309</v>
      </c>
      <c r="DE198" t="s">
        <v>1358</v>
      </c>
      <c r="DG198">
        <v>2000</v>
      </c>
      <c r="DI198">
        <v>1000</v>
      </c>
      <c r="DJ198" t="s">
        <v>1358</v>
      </c>
      <c r="DK198">
        <v>3000</v>
      </c>
      <c r="DM198">
        <v>1500</v>
      </c>
      <c r="DN198" t="s">
        <v>1320</v>
      </c>
      <c r="DO198" t="s">
        <v>1310</v>
      </c>
      <c r="DP198" t="s">
        <v>1309</v>
      </c>
      <c r="DQ198" t="s">
        <v>1309</v>
      </c>
      <c r="DR198" t="s">
        <v>1309</v>
      </c>
      <c r="DS198" t="s">
        <v>1309</v>
      </c>
      <c r="DT198" t="s">
        <v>1310</v>
      </c>
      <c r="DU198" t="s">
        <v>1309</v>
      </c>
      <c r="DV198" t="s">
        <v>1309</v>
      </c>
      <c r="DW198" t="s">
        <v>1309</v>
      </c>
      <c r="DY198" t="s">
        <v>1446</v>
      </c>
      <c r="DZ198">
        <v>400</v>
      </c>
      <c r="EA198" t="s">
        <v>1386</v>
      </c>
      <c r="EC198" t="s">
        <v>1474</v>
      </c>
      <c r="ED198">
        <v>600</v>
      </c>
      <c r="EE198" t="s">
        <v>1386</v>
      </c>
      <c r="EG198" t="s">
        <v>5356</v>
      </c>
      <c r="EI198" t="s">
        <v>1307</v>
      </c>
      <c r="ET198" t="s">
        <v>1307</v>
      </c>
      <c r="EV198" t="s">
        <v>1319</v>
      </c>
      <c r="EW198" t="s">
        <v>1361</v>
      </c>
      <c r="EX198" t="s">
        <v>1307</v>
      </c>
      <c r="EY198" t="s">
        <v>1319</v>
      </c>
      <c r="FA198" t="s">
        <v>1807</v>
      </c>
      <c r="FB198" t="s">
        <v>1310</v>
      </c>
      <c r="FC198" t="s">
        <v>1309</v>
      </c>
      <c r="FD198" t="s">
        <v>1310</v>
      </c>
      <c r="FE198" t="s">
        <v>1309</v>
      </c>
      <c r="FF198" t="s">
        <v>1309</v>
      </c>
      <c r="FG198" t="s">
        <v>1309</v>
      </c>
      <c r="FH198" t="s">
        <v>1309</v>
      </c>
      <c r="FI198" t="s">
        <v>1309</v>
      </c>
      <c r="FJ198" t="s">
        <v>1309</v>
      </c>
      <c r="FK198" t="s">
        <v>1309</v>
      </c>
      <c r="FL198" t="s">
        <v>1309</v>
      </c>
      <c r="FM198" t="s">
        <v>1309</v>
      </c>
      <c r="FN198" t="s">
        <v>1309</v>
      </c>
      <c r="FO198" t="s">
        <v>1309</v>
      </c>
      <c r="FP198" t="s">
        <v>1309</v>
      </c>
      <c r="FQ198" t="s">
        <v>1309</v>
      </c>
      <c r="FR198" t="s">
        <v>1309</v>
      </c>
      <c r="FT198" t="s">
        <v>1307</v>
      </c>
      <c r="GI198" t="s">
        <v>1324</v>
      </c>
      <c r="GJ198" t="s">
        <v>1324</v>
      </c>
      <c r="GT198" t="s">
        <v>1325</v>
      </c>
      <c r="GU198" t="s">
        <v>1310</v>
      </c>
      <c r="GV198" t="s">
        <v>1309</v>
      </c>
      <c r="GW198" t="s">
        <v>1309</v>
      </c>
      <c r="GX198" t="s">
        <v>1309</v>
      </c>
      <c r="GY198" t="s">
        <v>1309</v>
      </c>
      <c r="GZ198" t="s">
        <v>1309</v>
      </c>
      <c r="HA198" t="s">
        <v>1309</v>
      </c>
      <c r="HB198" t="s">
        <v>1309</v>
      </c>
      <c r="HC198" t="s">
        <v>1309</v>
      </c>
      <c r="HD198" t="s">
        <v>1309</v>
      </c>
      <c r="HE198" t="s">
        <v>1309</v>
      </c>
      <c r="HF198" t="s">
        <v>1309</v>
      </c>
      <c r="HH198" t="s">
        <v>1326</v>
      </c>
      <c r="HI198" t="s">
        <v>1326</v>
      </c>
      <c r="HJ198" t="s">
        <v>1326</v>
      </c>
      <c r="HK198" t="s">
        <v>1327</v>
      </c>
      <c r="HL198" t="s">
        <v>1364</v>
      </c>
      <c r="HM198" t="s">
        <v>1326</v>
      </c>
      <c r="IA198" t="s">
        <v>1319</v>
      </c>
      <c r="IB198" t="s">
        <v>1870</v>
      </c>
      <c r="IC198" t="s">
        <v>1309</v>
      </c>
      <c r="ID198" t="s">
        <v>1309</v>
      </c>
      <c r="IE198" t="s">
        <v>1309</v>
      </c>
      <c r="IF198" t="s">
        <v>1310</v>
      </c>
      <c r="IG198" t="s">
        <v>1310</v>
      </c>
      <c r="IH198" t="s">
        <v>1309</v>
      </c>
      <c r="II198" t="s">
        <v>1309</v>
      </c>
      <c r="IJ198" t="s">
        <v>1309</v>
      </c>
      <c r="IK198" t="s">
        <v>1309</v>
      </c>
      <c r="IL198" t="s">
        <v>1309</v>
      </c>
      <c r="IM198" t="s">
        <v>1309</v>
      </c>
      <c r="IN198" t="s">
        <v>1309</v>
      </c>
      <c r="IO198" t="s">
        <v>1309</v>
      </c>
      <c r="IQ198" t="s">
        <v>1308</v>
      </c>
      <c r="IS198" t="s">
        <v>1331</v>
      </c>
      <c r="JF198" t="s">
        <v>1331</v>
      </c>
      <c r="JG198" t="s">
        <v>1523</v>
      </c>
      <c r="JH198" t="s">
        <v>1309</v>
      </c>
      <c r="JI198" t="s">
        <v>1309</v>
      </c>
      <c r="JJ198" t="s">
        <v>1309</v>
      </c>
      <c r="JK198" t="s">
        <v>1310</v>
      </c>
      <c r="JL198" t="s">
        <v>1309</v>
      </c>
      <c r="JM198" t="s">
        <v>1309</v>
      </c>
      <c r="JN198" t="s">
        <v>1309</v>
      </c>
      <c r="JO198" t="s">
        <v>1309</v>
      </c>
      <c r="JQ198" s="92" t="s">
        <v>1524</v>
      </c>
      <c r="JR198" s="92" t="s">
        <v>1525</v>
      </c>
      <c r="JS198" s="92">
        <v>38</v>
      </c>
      <c r="JT198" s="92" t="s">
        <v>1319</v>
      </c>
      <c r="JU198" s="92" t="s">
        <v>1335</v>
      </c>
      <c r="JV198" s="92" t="s">
        <v>1526</v>
      </c>
      <c r="JW198" s="92" t="s">
        <v>1296</v>
      </c>
      <c r="JX198" s="92" t="s">
        <v>71</v>
      </c>
      <c r="JY198" s="92" t="s">
        <v>5549</v>
      </c>
      <c r="JZ198" s="92" t="s">
        <v>1337</v>
      </c>
      <c r="KA198" s="92" t="s">
        <v>4845</v>
      </c>
      <c r="KB198" s="92" t="s">
        <v>1399</v>
      </c>
      <c r="KC198" s="92" t="s">
        <v>109</v>
      </c>
      <c r="KD198" s="92" t="s">
        <v>4844</v>
      </c>
      <c r="KE198" s="92" t="s">
        <v>1424</v>
      </c>
      <c r="KF198" s="92">
        <v>3000</v>
      </c>
      <c r="KG198" s="92" t="s">
        <v>4439</v>
      </c>
      <c r="KH198" s="92" t="s">
        <v>192</v>
      </c>
      <c r="KI198" s="92" t="s">
        <v>109</v>
      </c>
      <c r="KJ198" s="92" t="s">
        <v>192</v>
      </c>
      <c r="KK198" s="92" t="s">
        <v>109</v>
      </c>
      <c r="KL198" s="92" t="s">
        <v>1425</v>
      </c>
      <c r="KM198" s="92">
        <v>4500</v>
      </c>
      <c r="KN198" s="92" t="s">
        <v>1400</v>
      </c>
      <c r="KO198" s="92" t="s">
        <v>1341</v>
      </c>
      <c r="KP198" s="92" t="s">
        <v>1375</v>
      </c>
      <c r="KQ198" s="92" t="s">
        <v>192</v>
      </c>
      <c r="KR198" s="92">
        <v>13</v>
      </c>
      <c r="KS198" s="92" t="s">
        <v>1343</v>
      </c>
      <c r="KT198" s="92" t="s">
        <v>1402</v>
      </c>
      <c r="KU198" s="92">
        <v>13</v>
      </c>
      <c r="KV198" s="92" t="s">
        <v>1345</v>
      </c>
      <c r="KW198" s="92" t="s">
        <v>1402</v>
      </c>
      <c r="KX198" s="92" t="s">
        <v>1376</v>
      </c>
      <c r="KY198" s="92" t="s">
        <v>1377</v>
      </c>
      <c r="KZ198" s="92" t="s">
        <v>5795</v>
      </c>
      <c r="LA198" s="92" t="s">
        <v>109</v>
      </c>
      <c r="LB198" s="92" t="s">
        <v>109</v>
      </c>
      <c r="LC198" s="92" t="s">
        <v>4439</v>
      </c>
      <c r="LD198" s="92" t="s">
        <v>4439</v>
      </c>
      <c r="LE198" s="92" t="s">
        <v>109</v>
      </c>
      <c r="LF198" s="92" t="s">
        <v>192</v>
      </c>
    </row>
    <row r="199" spans="1:318" x14ac:dyDescent="0.25">
      <c r="A199" t="s">
        <v>2298</v>
      </c>
      <c r="B199" t="s">
        <v>2299</v>
      </c>
      <c r="C199" t="s">
        <v>1304</v>
      </c>
      <c r="D199" t="s">
        <v>1305</v>
      </c>
      <c r="E199" t="s">
        <v>1306</v>
      </c>
      <c r="G199" t="s">
        <v>1307</v>
      </c>
      <c r="H199">
        <v>2</v>
      </c>
      <c r="I199" t="s">
        <v>1307</v>
      </c>
      <c r="J199" t="s">
        <v>1430</v>
      </c>
      <c r="K199" t="s">
        <v>1309</v>
      </c>
      <c r="L199" t="s">
        <v>1309</v>
      </c>
      <c r="M199" t="s">
        <v>1310</v>
      </c>
      <c r="N199" t="s">
        <v>1309</v>
      </c>
      <c r="O199" t="s">
        <v>1309</v>
      </c>
      <c r="P199" t="s">
        <v>1309</v>
      </c>
      <c r="Q199" t="s">
        <v>1309</v>
      </c>
      <c r="R199" t="s">
        <v>1309</v>
      </c>
      <c r="T199">
        <v>2</v>
      </c>
      <c r="U199" t="s">
        <v>1311</v>
      </c>
      <c r="V199" t="s">
        <v>1312</v>
      </c>
      <c r="W199" t="s">
        <v>1312</v>
      </c>
      <c r="X199" t="s">
        <v>1312</v>
      </c>
      <c r="Y199" t="s">
        <v>1312</v>
      </c>
      <c r="Z199" t="s">
        <v>1312</v>
      </c>
      <c r="AC199">
        <v>1</v>
      </c>
      <c r="AD199">
        <v>8000</v>
      </c>
      <c r="AE199">
        <v>6000</v>
      </c>
      <c r="AF199" t="s">
        <v>1313</v>
      </c>
      <c r="AH199" t="s">
        <v>1383</v>
      </c>
      <c r="AJ199" t="s">
        <v>1353</v>
      </c>
      <c r="AL199" t="s">
        <v>1316</v>
      </c>
      <c r="BA199" t="s">
        <v>1316</v>
      </c>
      <c r="BS199" t="s">
        <v>1307</v>
      </c>
      <c r="CE199" t="s">
        <v>2300</v>
      </c>
      <c r="CF199" t="s">
        <v>1309</v>
      </c>
      <c r="CG199" t="s">
        <v>1309</v>
      </c>
      <c r="CH199" t="s">
        <v>1309</v>
      </c>
      <c r="CI199" t="s">
        <v>1310</v>
      </c>
      <c r="CJ199" t="s">
        <v>1309</v>
      </c>
      <c r="CK199" t="s">
        <v>1309</v>
      </c>
      <c r="CL199" t="s">
        <v>1309</v>
      </c>
      <c r="CM199" t="s">
        <v>1309</v>
      </c>
      <c r="CN199" t="s">
        <v>1309</v>
      </c>
      <c r="CO199" t="s">
        <v>1310</v>
      </c>
      <c r="CP199" t="s">
        <v>1309</v>
      </c>
      <c r="CQ199" t="s">
        <v>1309</v>
      </c>
      <c r="CR199" t="s">
        <v>1309</v>
      </c>
      <c r="CT199" t="s">
        <v>4434</v>
      </c>
      <c r="CV199" t="s">
        <v>1308</v>
      </c>
      <c r="CW199" t="s">
        <v>1310</v>
      </c>
      <c r="CX199" t="s">
        <v>1309</v>
      </c>
      <c r="CY199" t="s">
        <v>1309</v>
      </c>
      <c r="CZ199" t="s">
        <v>1309</v>
      </c>
      <c r="DA199" t="s">
        <v>1309</v>
      </c>
      <c r="DB199" t="s">
        <v>1309</v>
      </c>
      <c r="DC199" t="s">
        <v>1309</v>
      </c>
      <c r="DE199" t="s">
        <v>1358</v>
      </c>
      <c r="DG199">
        <v>3000</v>
      </c>
      <c r="DI199">
        <v>600</v>
      </c>
      <c r="DJ199" t="s">
        <v>1358</v>
      </c>
      <c r="DK199">
        <v>3000</v>
      </c>
      <c r="DM199">
        <v>500</v>
      </c>
      <c r="DN199" t="s">
        <v>1320</v>
      </c>
      <c r="DO199" t="s">
        <v>1310</v>
      </c>
      <c r="DP199" t="s">
        <v>1309</v>
      </c>
      <c r="DQ199" t="s">
        <v>1309</v>
      </c>
      <c r="DR199" t="s">
        <v>1309</v>
      </c>
      <c r="DS199" t="s">
        <v>1309</v>
      </c>
      <c r="DT199" t="s">
        <v>1310</v>
      </c>
      <c r="DU199" t="s">
        <v>1309</v>
      </c>
      <c r="DV199" t="s">
        <v>1309</v>
      </c>
      <c r="DW199" t="s">
        <v>1309</v>
      </c>
      <c r="DY199" t="s">
        <v>1322</v>
      </c>
      <c r="DZ199">
        <v>500</v>
      </c>
      <c r="EA199" t="s">
        <v>1386</v>
      </c>
      <c r="EC199" t="s">
        <v>1322</v>
      </c>
      <c r="ED199">
        <v>800</v>
      </c>
      <c r="EE199" t="s">
        <v>1386</v>
      </c>
      <c r="EG199" t="s">
        <v>5356</v>
      </c>
      <c r="EI199" t="s">
        <v>1307</v>
      </c>
      <c r="ET199" t="s">
        <v>1414</v>
      </c>
      <c r="EV199" t="s">
        <v>1319</v>
      </c>
      <c r="EW199" t="s">
        <v>1421</v>
      </c>
      <c r="EX199" t="s">
        <v>1319</v>
      </c>
      <c r="EY199" t="s">
        <v>1319</v>
      </c>
      <c r="FA199" t="s">
        <v>2143</v>
      </c>
      <c r="FB199" t="s">
        <v>1310</v>
      </c>
      <c r="FC199" t="s">
        <v>1309</v>
      </c>
      <c r="FD199" t="s">
        <v>1310</v>
      </c>
      <c r="FE199" t="s">
        <v>1310</v>
      </c>
      <c r="FF199" t="s">
        <v>1309</v>
      </c>
      <c r="FG199" t="s">
        <v>1309</v>
      </c>
      <c r="FH199" t="s">
        <v>1309</v>
      </c>
      <c r="FI199" t="s">
        <v>1309</v>
      </c>
      <c r="FJ199" t="s">
        <v>1309</v>
      </c>
      <c r="FK199" t="s">
        <v>1309</v>
      </c>
      <c r="FL199" t="s">
        <v>1309</v>
      </c>
      <c r="FM199" t="s">
        <v>1309</v>
      </c>
      <c r="FN199" t="s">
        <v>1310</v>
      </c>
      <c r="FO199" t="s">
        <v>1309</v>
      </c>
      <c r="FP199" t="s">
        <v>1309</v>
      </c>
      <c r="FQ199" t="s">
        <v>1309</v>
      </c>
      <c r="FR199" t="s">
        <v>1309</v>
      </c>
      <c r="FT199" t="s">
        <v>1307</v>
      </c>
      <c r="GI199" t="s">
        <v>1324</v>
      </c>
      <c r="GJ199" t="s">
        <v>1324</v>
      </c>
      <c r="GT199" t="s">
        <v>1325</v>
      </c>
      <c r="GU199" t="s">
        <v>1310</v>
      </c>
      <c r="GV199" t="s">
        <v>1309</v>
      </c>
      <c r="GW199" t="s">
        <v>1309</v>
      </c>
      <c r="GX199" t="s">
        <v>1309</v>
      </c>
      <c r="GY199" t="s">
        <v>1309</v>
      </c>
      <c r="GZ199" t="s">
        <v>1309</v>
      </c>
      <c r="HA199" t="s">
        <v>1309</v>
      </c>
      <c r="HB199" t="s">
        <v>1309</v>
      </c>
      <c r="HC199" t="s">
        <v>1309</v>
      </c>
      <c r="HD199" t="s">
        <v>1309</v>
      </c>
      <c r="HE199" t="s">
        <v>1309</v>
      </c>
      <c r="HF199" t="s">
        <v>1309</v>
      </c>
      <c r="HH199" t="s">
        <v>1326</v>
      </c>
      <c r="HI199" t="s">
        <v>1326</v>
      </c>
      <c r="HJ199" t="s">
        <v>1326</v>
      </c>
      <c r="HK199" t="s">
        <v>1327</v>
      </c>
      <c r="HL199" t="s">
        <v>1364</v>
      </c>
      <c r="HM199" t="s">
        <v>1326</v>
      </c>
      <c r="IA199" t="s">
        <v>1319</v>
      </c>
      <c r="IB199" t="s">
        <v>1392</v>
      </c>
      <c r="IC199" t="s">
        <v>1309</v>
      </c>
      <c r="ID199" t="s">
        <v>1309</v>
      </c>
      <c r="IE199" t="s">
        <v>1309</v>
      </c>
      <c r="IF199" t="s">
        <v>1309</v>
      </c>
      <c r="IG199" t="s">
        <v>1309</v>
      </c>
      <c r="IH199" t="s">
        <v>1309</v>
      </c>
      <c r="II199" t="s">
        <v>1309</v>
      </c>
      <c r="IJ199" t="s">
        <v>1309</v>
      </c>
      <c r="IK199" t="s">
        <v>1310</v>
      </c>
      <c r="IL199" t="s">
        <v>1309</v>
      </c>
      <c r="IM199" t="s">
        <v>1309</v>
      </c>
      <c r="IN199" t="s">
        <v>1309</v>
      </c>
      <c r="IO199" t="s">
        <v>1309</v>
      </c>
      <c r="IQ199" t="s">
        <v>1365</v>
      </c>
      <c r="IS199" t="s">
        <v>1316</v>
      </c>
      <c r="JF199" t="s">
        <v>1316</v>
      </c>
      <c r="JG199" t="s">
        <v>1523</v>
      </c>
      <c r="JH199" t="s">
        <v>1309</v>
      </c>
      <c r="JI199" t="s">
        <v>1309</v>
      </c>
      <c r="JJ199" t="s">
        <v>1309</v>
      </c>
      <c r="JK199" t="s">
        <v>1310</v>
      </c>
      <c r="JL199" t="s">
        <v>1309</v>
      </c>
      <c r="JM199" t="s">
        <v>1309</v>
      </c>
      <c r="JN199" t="s">
        <v>1309</v>
      </c>
      <c r="JO199" t="s">
        <v>1309</v>
      </c>
      <c r="JQ199" s="92" t="s">
        <v>1524</v>
      </c>
      <c r="JR199" s="92" t="s">
        <v>1525</v>
      </c>
      <c r="JS199" s="92">
        <v>60</v>
      </c>
      <c r="JT199" s="92" t="s">
        <v>1319</v>
      </c>
      <c r="JU199" s="92" t="s">
        <v>1335</v>
      </c>
      <c r="JV199" s="92" t="s">
        <v>1526</v>
      </c>
      <c r="JW199" s="92" t="s">
        <v>1296</v>
      </c>
      <c r="JX199" s="92" t="s">
        <v>71</v>
      </c>
      <c r="JY199" s="92" t="s">
        <v>5549</v>
      </c>
      <c r="JZ199" s="92" t="s">
        <v>1369</v>
      </c>
      <c r="KA199" s="92" t="s">
        <v>4845</v>
      </c>
      <c r="KB199" s="92" t="s">
        <v>1476</v>
      </c>
      <c r="KC199" s="92" t="s">
        <v>109</v>
      </c>
      <c r="KD199" s="92" t="s">
        <v>4844</v>
      </c>
      <c r="KE199" s="92" t="s">
        <v>1424</v>
      </c>
      <c r="KF199" s="92">
        <v>3600</v>
      </c>
      <c r="KG199" s="92" t="s">
        <v>4439</v>
      </c>
      <c r="KH199" s="92" t="s">
        <v>192</v>
      </c>
      <c r="KI199" s="92" t="s">
        <v>109</v>
      </c>
      <c r="KJ199" s="92" t="s">
        <v>192</v>
      </c>
      <c r="KK199" s="92" t="s">
        <v>109</v>
      </c>
      <c r="KL199" s="92" t="s">
        <v>1341</v>
      </c>
      <c r="KM199" s="92">
        <v>3500</v>
      </c>
      <c r="KN199" s="92" t="s">
        <v>4439</v>
      </c>
      <c r="KO199" s="92" t="s">
        <v>1341</v>
      </c>
      <c r="KP199" s="92" t="s">
        <v>1460</v>
      </c>
      <c r="KQ199" s="92" t="s">
        <v>192</v>
      </c>
      <c r="KR199" s="92">
        <v>14</v>
      </c>
      <c r="KS199" s="92" t="s">
        <v>1345</v>
      </c>
      <c r="KT199" s="92" t="s">
        <v>1402</v>
      </c>
      <c r="KU199" s="92">
        <v>23</v>
      </c>
      <c r="KV199" s="92" t="s">
        <v>1441</v>
      </c>
      <c r="KW199" s="92" t="s">
        <v>1402</v>
      </c>
      <c r="KX199" s="92" t="s">
        <v>1799</v>
      </c>
      <c r="KY199" s="92" t="s">
        <v>1347</v>
      </c>
      <c r="KZ199" s="92" t="s">
        <v>5795</v>
      </c>
      <c r="LA199" s="92" t="s">
        <v>109</v>
      </c>
      <c r="LB199" s="92" t="s">
        <v>109</v>
      </c>
      <c r="LC199" s="92" t="s">
        <v>4439</v>
      </c>
      <c r="LD199" s="92" t="s">
        <v>4439</v>
      </c>
      <c r="LE199" s="92" t="s">
        <v>192</v>
      </c>
      <c r="LF199" s="92" t="s">
        <v>192</v>
      </c>
    </row>
    <row r="200" spans="1:318" x14ac:dyDescent="0.25">
      <c r="A200" t="s">
        <v>2301</v>
      </c>
      <c r="B200" t="s">
        <v>2302</v>
      </c>
      <c r="C200" t="s">
        <v>1304</v>
      </c>
      <c r="D200" t="s">
        <v>1429</v>
      </c>
      <c r="E200" t="s">
        <v>1306</v>
      </c>
      <c r="G200" t="s">
        <v>1307</v>
      </c>
      <c r="H200">
        <v>2</v>
      </c>
      <c r="I200" t="s">
        <v>1307</v>
      </c>
      <c r="J200" t="s">
        <v>2303</v>
      </c>
      <c r="K200" t="s">
        <v>1309</v>
      </c>
      <c r="L200" t="s">
        <v>1309</v>
      </c>
      <c r="M200" t="s">
        <v>1309</v>
      </c>
      <c r="N200" t="s">
        <v>1310</v>
      </c>
      <c r="O200" t="s">
        <v>1309</v>
      </c>
      <c r="P200" t="s">
        <v>1309</v>
      </c>
      <c r="Q200" t="s">
        <v>1309</v>
      </c>
      <c r="R200" t="s">
        <v>1309</v>
      </c>
      <c r="U200" t="s">
        <v>1312</v>
      </c>
      <c r="V200" t="s">
        <v>1312</v>
      </c>
      <c r="W200" t="s">
        <v>1311</v>
      </c>
      <c r="X200" t="s">
        <v>1311</v>
      </c>
      <c r="Y200" t="s">
        <v>1311</v>
      </c>
      <c r="Z200" t="s">
        <v>1312</v>
      </c>
      <c r="AA200">
        <v>1</v>
      </c>
      <c r="AB200">
        <v>1</v>
      </c>
      <c r="AC200">
        <v>2</v>
      </c>
      <c r="AD200">
        <v>10000</v>
      </c>
      <c r="AE200">
        <v>6000</v>
      </c>
      <c r="AF200" t="s">
        <v>1351</v>
      </c>
      <c r="AH200" t="s">
        <v>1314</v>
      </c>
      <c r="AJ200" t="s">
        <v>1353</v>
      </c>
      <c r="AL200" t="s">
        <v>1316</v>
      </c>
      <c r="BA200" t="s">
        <v>1316</v>
      </c>
      <c r="BS200" t="s">
        <v>1307</v>
      </c>
      <c r="CE200" t="s">
        <v>1355</v>
      </c>
      <c r="CF200" t="s">
        <v>1309</v>
      </c>
      <c r="CG200" t="s">
        <v>1309</v>
      </c>
      <c r="CH200" t="s">
        <v>1309</v>
      </c>
      <c r="CI200" t="s">
        <v>1309</v>
      </c>
      <c r="CJ200" t="s">
        <v>1309</v>
      </c>
      <c r="CK200" t="s">
        <v>1309</v>
      </c>
      <c r="CL200" t="s">
        <v>1309</v>
      </c>
      <c r="CM200" t="s">
        <v>1309</v>
      </c>
      <c r="CN200" t="s">
        <v>1310</v>
      </c>
      <c r="CO200" t="s">
        <v>1309</v>
      </c>
      <c r="CP200" t="s">
        <v>1309</v>
      </c>
      <c r="CQ200" t="s">
        <v>1309</v>
      </c>
      <c r="CR200" t="s">
        <v>1309</v>
      </c>
      <c r="CT200" t="s">
        <v>4436</v>
      </c>
      <c r="CV200" t="s">
        <v>1308</v>
      </c>
      <c r="CW200" t="s">
        <v>1310</v>
      </c>
      <c r="CX200" t="s">
        <v>1309</v>
      </c>
      <c r="CY200" t="s">
        <v>1309</v>
      </c>
      <c r="CZ200" t="s">
        <v>1309</v>
      </c>
      <c r="DA200" t="s">
        <v>1309</v>
      </c>
      <c r="DB200" t="s">
        <v>1309</v>
      </c>
      <c r="DC200" t="s">
        <v>1309</v>
      </c>
      <c r="DE200" t="s">
        <v>1358</v>
      </c>
      <c r="DF200" t="s">
        <v>1319</v>
      </c>
      <c r="DG200">
        <v>600</v>
      </c>
      <c r="DH200">
        <v>2000</v>
      </c>
      <c r="DI200">
        <v>400</v>
      </c>
      <c r="DJ200" t="s">
        <v>1358</v>
      </c>
      <c r="DK200">
        <v>400</v>
      </c>
      <c r="DL200">
        <v>2000</v>
      </c>
      <c r="DM200">
        <v>300</v>
      </c>
      <c r="DN200" t="s">
        <v>1320</v>
      </c>
      <c r="DO200" t="s">
        <v>1310</v>
      </c>
      <c r="DP200" t="s">
        <v>1309</v>
      </c>
      <c r="DQ200" t="s">
        <v>1309</v>
      </c>
      <c r="DR200" t="s">
        <v>1309</v>
      </c>
      <c r="DS200" t="s">
        <v>1309</v>
      </c>
      <c r="DT200" t="s">
        <v>1310</v>
      </c>
      <c r="DU200" t="s">
        <v>1309</v>
      </c>
      <c r="DV200" t="s">
        <v>1309</v>
      </c>
      <c r="DW200" t="s">
        <v>1309</v>
      </c>
      <c r="DY200" t="s">
        <v>1408</v>
      </c>
      <c r="DZ200">
        <v>500</v>
      </c>
      <c r="EA200" t="s">
        <v>1386</v>
      </c>
      <c r="EC200" t="s">
        <v>1420</v>
      </c>
      <c r="ED200">
        <v>800</v>
      </c>
      <c r="EE200" t="s">
        <v>1386</v>
      </c>
      <c r="EG200" t="s">
        <v>5356</v>
      </c>
      <c r="EI200" t="s">
        <v>1307</v>
      </c>
      <c r="ET200" t="s">
        <v>1434</v>
      </c>
      <c r="EV200" t="s">
        <v>1319</v>
      </c>
      <c r="EW200" t="s">
        <v>1361</v>
      </c>
      <c r="EX200" t="s">
        <v>1319</v>
      </c>
      <c r="EY200" t="s">
        <v>1319</v>
      </c>
      <c r="EZ200" t="s">
        <v>1319</v>
      </c>
      <c r="FA200" t="s">
        <v>2304</v>
      </c>
      <c r="FB200" t="s">
        <v>1310</v>
      </c>
      <c r="FC200" t="s">
        <v>1309</v>
      </c>
      <c r="FD200" t="s">
        <v>1310</v>
      </c>
      <c r="FE200" t="s">
        <v>1309</v>
      </c>
      <c r="FF200" t="s">
        <v>1309</v>
      </c>
      <c r="FG200" t="s">
        <v>1309</v>
      </c>
      <c r="FH200" t="s">
        <v>1309</v>
      </c>
      <c r="FI200" t="s">
        <v>1310</v>
      </c>
      <c r="FJ200" t="s">
        <v>1309</v>
      </c>
      <c r="FK200" t="s">
        <v>1310</v>
      </c>
      <c r="FL200" t="s">
        <v>1309</v>
      </c>
      <c r="FM200" t="s">
        <v>1309</v>
      </c>
      <c r="FN200" t="s">
        <v>1310</v>
      </c>
      <c r="FO200" t="s">
        <v>1309</v>
      </c>
      <c r="FP200" t="s">
        <v>1309</v>
      </c>
      <c r="FQ200" t="s">
        <v>1309</v>
      </c>
      <c r="FR200" t="s">
        <v>1309</v>
      </c>
      <c r="FT200" t="s">
        <v>1307</v>
      </c>
      <c r="GI200" t="s">
        <v>1324</v>
      </c>
      <c r="GJ200" t="s">
        <v>1324</v>
      </c>
      <c r="GT200" t="s">
        <v>1325</v>
      </c>
      <c r="GU200" t="s">
        <v>1310</v>
      </c>
      <c r="GV200" t="s">
        <v>1309</v>
      </c>
      <c r="GW200" t="s">
        <v>1309</v>
      </c>
      <c r="GX200" t="s">
        <v>1309</v>
      </c>
      <c r="GY200" t="s">
        <v>1309</v>
      </c>
      <c r="GZ200" t="s">
        <v>1309</v>
      </c>
      <c r="HA200" t="s">
        <v>1309</v>
      </c>
      <c r="HB200" t="s">
        <v>1309</v>
      </c>
      <c r="HC200" t="s">
        <v>1309</v>
      </c>
      <c r="HD200" t="s">
        <v>1309</v>
      </c>
      <c r="HE200" t="s">
        <v>1309</v>
      </c>
      <c r="HF200" t="s">
        <v>1309</v>
      </c>
      <c r="HH200" t="s">
        <v>1390</v>
      </c>
      <c r="HI200" t="s">
        <v>1327</v>
      </c>
      <c r="HJ200" t="s">
        <v>1326</v>
      </c>
      <c r="HK200" t="s">
        <v>1327</v>
      </c>
      <c r="HL200" t="s">
        <v>1364</v>
      </c>
      <c r="HM200" t="s">
        <v>1390</v>
      </c>
      <c r="IA200" t="s">
        <v>1319</v>
      </c>
      <c r="IB200" t="s">
        <v>1532</v>
      </c>
      <c r="IC200" t="s">
        <v>1309</v>
      </c>
      <c r="ID200" t="s">
        <v>1309</v>
      </c>
      <c r="IE200" t="s">
        <v>1309</v>
      </c>
      <c r="IF200" t="s">
        <v>1309</v>
      </c>
      <c r="IG200" t="s">
        <v>1310</v>
      </c>
      <c r="IH200" t="s">
        <v>1309</v>
      </c>
      <c r="II200" t="s">
        <v>1310</v>
      </c>
      <c r="IJ200" t="s">
        <v>1309</v>
      </c>
      <c r="IK200" t="s">
        <v>1309</v>
      </c>
      <c r="IL200" t="s">
        <v>1309</v>
      </c>
      <c r="IM200" t="s">
        <v>1309</v>
      </c>
      <c r="IN200" t="s">
        <v>1309</v>
      </c>
      <c r="IO200" t="s">
        <v>1309</v>
      </c>
      <c r="IQ200" t="s">
        <v>1330</v>
      </c>
      <c r="IS200" t="s">
        <v>1316</v>
      </c>
      <c r="JF200" t="s">
        <v>1316</v>
      </c>
      <c r="JG200" t="s">
        <v>1523</v>
      </c>
      <c r="JH200" t="s">
        <v>1309</v>
      </c>
      <c r="JI200" t="s">
        <v>1309</v>
      </c>
      <c r="JJ200" t="s">
        <v>1309</v>
      </c>
      <c r="JK200" t="s">
        <v>1310</v>
      </c>
      <c r="JL200" t="s">
        <v>1309</v>
      </c>
      <c r="JM200" t="s">
        <v>1309</v>
      </c>
      <c r="JN200" t="s">
        <v>1309</v>
      </c>
      <c r="JO200" t="s">
        <v>1309</v>
      </c>
      <c r="JQ200" s="92" t="s">
        <v>1524</v>
      </c>
      <c r="JR200" s="92" t="s">
        <v>1525</v>
      </c>
      <c r="JS200" s="92">
        <v>24</v>
      </c>
      <c r="JT200" s="92" t="s">
        <v>1319</v>
      </c>
      <c r="JU200" s="92" t="s">
        <v>1335</v>
      </c>
      <c r="JV200" s="92" t="s">
        <v>1526</v>
      </c>
      <c r="JW200" s="92" t="s">
        <v>1296</v>
      </c>
      <c r="JX200" s="92" t="s">
        <v>71</v>
      </c>
      <c r="JY200" s="92" t="s">
        <v>5549</v>
      </c>
      <c r="JZ200" s="92" t="s">
        <v>1398</v>
      </c>
      <c r="KA200" s="92" t="s">
        <v>4845</v>
      </c>
      <c r="KB200" s="92" t="s">
        <v>1338</v>
      </c>
      <c r="KC200" s="92" t="s">
        <v>109</v>
      </c>
      <c r="KD200" s="92" t="s">
        <v>4847</v>
      </c>
      <c r="KE200" s="92" t="s">
        <v>1424</v>
      </c>
      <c r="KF200" s="92">
        <v>3000</v>
      </c>
      <c r="KG200" s="92" t="s">
        <v>4439</v>
      </c>
      <c r="KH200" s="92" t="s">
        <v>192</v>
      </c>
      <c r="KI200" s="92" t="s">
        <v>192</v>
      </c>
      <c r="KJ200" s="92" t="s">
        <v>192</v>
      </c>
      <c r="KK200" s="92" t="s">
        <v>192</v>
      </c>
      <c r="KL200" s="92" t="s">
        <v>1425</v>
      </c>
      <c r="KM200" s="92">
        <v>2700</v>
      </c>
      <c r="KN200" s="92" t="s">
        <v>4439</v>
      </c>
      <c r="KO200" s="92" t="s">
        <v>1425</v>
      </c>
      <c r="KP200" s="92" t="s">
        <v>1401</v>
      </c>
      <c r="KQ200" s="92" t="s">
        <v>192</v>
      </c>
      <c r="KR200" s="92"/>
      <c r="KS200" s="92" t="s">
        <v>1345</v>
      </c>
      <c r="KT200" s="92" t="s">
        <v>1402</v>
      </c>
      <c r="KU200" s="92"/>
      <c r="KV200" s="92" t="s">
        <v>1441</v>
      </c>
      <c r="KW200" s="92" t="s">
        <v>1402</v>
      </c>
      <c r="KX200" s="92" t="s">
        <v>1346</v>
      </c>
      <c r="KY200" s="92" t="s">
        <v>1377</v>
      </c>
      <c r="KZ200" s="92" t="s">
        <v>5795</v>
      </c>
      <c r="LA200" s="92" t="s">
        <v>192</v>
      </c>
      <c r="LB200" s="92" t="s">
        <v>192</v>
      </c>
      <c r="LC200" s="92" t="s">
        <v>4439</v>
      </c>
      <c r="LD200" s="92" t="s">
        <v>4439</v>
      </c>
      <c r="LE200" s="92" t="s">
        <v>109</v>
      </c>
      <c r="LF200" s="92" t="s">
        <v>109</v>
      </c>
    </row>
    <row r="201" spans="1:318" x14ac:dyDescent="0.25">
      <c r="A201" t="s">
        <v>2305</v>
      </c>
      <c r="B201" t="s">
        <v>2306</v>
      </c>
      <c r="C201" t="s">
        <v>1304</v>
      </c>
      <c r="D201" t="s">
        <v>1305</v>
      </c>
      <c r="E201" t="s">
        <v>1381</v>
      </c>
      <c r="G201" t="s">
        <v>1319</v>
      </c>
      <c r="H201">
        <v>4</v>
      </c>
      <c r="I201" t="s">
        <v>2096</v>
      </c>
      <c r="J201" t="s">
        <v>1406</v>
      </c>
      <c r="K201" t="s">
        <v>1309</v>
      </c>
      <c r="L201" t="s">
        <v>1310</v>
      </c>
      <c r="M201" t="s">
        <v>1309</v>
      </c>
      <c r="N201" t="s">
        <v>1309</v>
      </c>
      <c r="O201" t="s">
        <v>1309</v>
      </c>
      <c r="P201" t="s">
        <v>1309</v>
      </c>
      <c r="Q201" t="s">
        <v>1309</v>
      </c>
      <c r="R201" t="s">
        <v>1309</v>
      </c>
      <c r="S201">
        <v>2</v>
      </c>
      <c r="U201" t="s">
        <v>1312</v>
      </c>
      <c r="V201" t="s">
        <v>1312</v>
      </c>
      <c r="W201" t="s">
        <v>1312</v>
      </c>
      <c r="X201" t="s">
        <v>1312</v>
      </c>
      <c r="Y201" t="s">
        <v>1312</v>
      </c>
      <c r="Z201" t="s">
        <v>1312</v>
      </c>
      <c r="AC201">
        <v>4</v>
      </c>
      <c r="AD201">
        <v>20000</v>
      </c>
      <c r="AE201">
        <v>15000</v>
      </c>
      <c r="AF201" t="s">
        <v>1313</v>
      </c>
      <c r="AH201" t="s">
        <v>1383</v>
      </c>
      <c r="AJ201" t="s">
        <v>1315</v>
      </c>
      <c r="AL201" t="s">
        <v>1316</v>
      </c>
      <c r="BS201" t="s">
        <v>1307</v>
      </c>
      <c r="CE201" t="s">
        <v>1487</v>
      </c>
      <c r="CF201" t="s">
        <v>1310</v>
      </c>
      <c r="CG201" t="s">
        <v>1309</v>
      </c>
      <c r="CH201" t="s">
        <v>1309</v>
      </c>
      <c r="CI201" t="s">
        <v>1309</v>
      </c>
      <c r="CJ201" t="s">
        <v>1310</v>
      </c>
      <c r="CK201" t="s">
        <v>1309</v>
      </c>
      <c r="CL201" t="s">
        <v>1309</v>
      </c>
      <c r="CM201" t="s">
        <v>1309</v>
      </c>
      <c r="CN201" t="s">
        <v>1310</v>
      </c>
      <c r="CO201" t="s">
        <v>1310</v>
      </c>
      <c r="CP201" t="s">
        <v>1309</v>
      </c>
      <c r="CQ201" t="s">
        <v>1309</v>
      </c>
      <c r="CR201" t="s">
        <v>1309</v>
      </c>
      <c r="CT201" t="s">
        <v>4434</v>
      </c>
      <c r="CV201" t="s">
        <v>1308</v>
      </c>
      <c r="CW201" t="s">
        <v>1310</v>
      </c>
      <c r="CX201" t="s">
        <v>1309</v>
      </c>
      <c r="CY201" t="s">
        <v>1309</v>
      </c>
      <c r="CZ201" t="s">
        <v>1309</v>
      </c>
      <c r="DA201" t="s">
        <v>1309</v>
      </c>
      <c r="DB201" t="s">
        <v>1309</v>
      </c>
      <c r="DC201" t="s">
        <v>1309</v>
      </c>
      <c r="DE201" t="s">
        <v>1358</v>
      </c>
      <c r="DG201">
        <v>3600</v>
      </c>
      <c r="DI201">
        <v>700</v>
      </c>
      <c r="DJ201" t="s">
        <v>1358</v>
      </c>
      <c r="DK201">
        <v>4400</v>
      </c>
      <c r="DM201">
        <v>850</v>
      </c>
      <c r="DN201" t="s">
        <v>1584</v>
      </c>
      <c r="DO201" t="s">
        <v>1310</v>
      </c>
      <c r="DP201" t="s">
        <v>1309</v>
      </c>
      <c r="DQ201" t="s">
        <v>1309</v>
      </c>
      <c r="DR201" t="s">
        <v>1309</v>
      </c>
      <c r="DS201" t="s">
        <v>1310</v>
      </c>
      <c r="DT201" t="s">
        <v>1310</v>
      </c>
      <c r="DU201" t="s">
        <v>1309</v>
      </c>
      <c r="DV201" t="s">
        <v>1309</v>
      </c>
      <c r="DW201" t="s">
        <v>1309</v>
      </c>
      <c r="DY201" t="s">
        <v>1433</v>
      </c>
      <c r="DZ201">
        <v>400</v>
      </c>
      <c r="EA201" t="s">
        <v>1319</v>
      </c>
      <c r="EC201" t="s">
        <v>1322</v>
      </c>
      <c r="ED201">
        <v>1000</v>
      </c>
      <c r="EE201" t="s">
        <v>1319</v>
      </c>
      <c r="EG201" t="s">
        <v>5356</v>
      </c>
      <c r="EI201" t="s">
        <v>1307</v>
      </c>
      <c r="ET201" t="s">
        <v>1307</v>
      </c>
      <c r="EV201" t="s">
        <v>1319</v>
      </c>
      <c r="EW201" t="s">
        <v>1361</v>
      </c>
      <c r="EX201" t="s">
        <v>1319</v>
      </c>
      <c r="EY201" t="s">
        <v>1319</v>
      </c>
      <c r="FA201" t="s">
        <v>2307</v>
      </c>
      <c r="FB201" t="s">
        <v>1309</v>
      </c>
      <c r="FC201" t="s">
        <v>1310</v>
      </c>
      <c r="FD201" t="s">
        <v>1309</v>
      </c>
      <c r="FE201" t="s">
        <v>1309</v>
      </c>
      <c r="FF201" t="s">
        <v>1309</v>
      </c>
      <c r="FG201" t="s">
        <v>1309</v>
      </c>
      <c r="FH201" t="s">
        <v>1310</v>
      </c>
      <c r="FI201" t="s">
        <v>1309</v>
      </c>
      <c r="FJ201" t="s">
        <v>1309</v>
      </c>
      <c r="FK201" t="s">
        <v>1309</v>
      </c>
      <c r="FL201" t="s">
        <v>1309</v>
      </c>
      <c r="FM201" t="s">
        <v>1310</v>
      </c>
      <c r="FN201" t="s">
        <v>1309</v>
      </c>
      <c r="FO201" t="s">
        <v>1309</v>
      </c>
      <c r="FP201" t="s">
        <v>1309</v>
      </c>
      <c r="FQ201" t="s">
        <v>1309</v>
      </c>
      <c r="FR201" t="s">
        <v>1309</v>
      </c>
      <c r="FT201" t="s">
        <v>1307</v>
      </c>
      <c r="GI201" t="s">
        <v>1324</v>
      </c>
      <c r="GJ201" t="s">
        <v>1324</v>
      </c>
      <c r="GT201" t="s">
        <v>1325</v>
      </c>
      <c r="GU201" t="s">
        <v>1310</v>
      </c>
      <c r="GV201" t="s">
        <v>1309</v>
      </c>
      <c r="GW201" t="s">
        <v>1309</v>
      </c>
      <c r="GX201" t="s">
        <v>1309</v>
      </c>
      <c r="GY201" t="s">
        <v>1309</v>
      </c>
      <c r="GZ201" t="s">
        <v>1309</v>
      </c>
      <c r="HA201" t="s">
        <v>1309</v>
      </c>
      <c r="HB201" t="s">
        <v>1309</v>
      </c>
      <c r="HC201" t="s">
        <v>1309</v>
      </c>
      <c r="HD201" t="s">
        <v>1309</v>
      </c>
      <c r="HE201" t="s">
        <v>1309</v>
      </c>
      <c r="HF201" t="s">
        <v>1309</v>
      </c>
      <c r="HH201" t="s">
        <v>1390</v>
      </c>
      <c r="HI201" t="s">
        <v>1327</v>
      </c>
      <c r="HJ201" t="s">
        <v>1390</v>
      </c>
      <c r="HK201" t="s">
        <v>1327</v>
      </c>
      <c r="HL201" t="s">
        <v>1364</v>
      </c>
      <c r="HM201" t="s">
        <v>1390</v>
      </c>
      <c r="IA201" t="s">
        <v>1307</v>
      </c>
      <c r="IQ201" t="s">
        <v>1330</v>
      </c>
      <c r="IS201" t="s">
        <v>1316</v>
      </c>
      <c r="JF201" t="s">
        <v>1316</v>
      </c>
      <c r="JG201" t="s">
        <v>1451</v>
      </c>
      <c r="JH201" t="s">
        <v>1310</v>
      </c>
      <c r="JI201" t="s">
        <v>1309</v>
      </c>
      <c r="JJ201" t="s">
        <v>1309</v>
      </c>
      <c r="JK201" t="s">
        <v>1310</v>
      </c>
      <c r="JL201" t="s">
        <v>1309</v>
      </c>
      <c r="JM201" t="s">
        <v>1309</v>
      </c>
      <c r="JN201" t="s">
        <v>1309</v>
      </c>
      <c r="JO201" t="s">
        <v>1309</v>
      </c>
      <c r="JQ201" s="92" t="s">
        <v>1524</v>
      </c>
      <c r="JR201" s="92" t="s">
        <v>1525</v>
      </c>
      <c r="JS201" s="92">
        <v>34</v>
      </c>
      <c r="JT201" s="92" t="s">
        <v>1319</v>
      </c>
      <c r="JU201" s="92" t="s">
        <v>1396</v>
      </c>
      <c r="JV201" s="92" t="s">
        <v>1526</v>
      </c>
      <c r="JW201" s="92" t="s">
        <v>1296</v>
      </c>
      <c r="JX201" s="92" t="s">
        <v>71</v>
      </c>
      <c r="JY201" s="92" t="s">
        <v>5549</v>
      </c>
      <c r="JZ201" s="92" t="s">
        <v>1398</v>
      </c>
      <c r="KA201" s="92" t="s">
        <v>4845</v>
      </c>
      <c r="KB201" s="92" t="s">
        <v>1415</v>
      </c>
      <c r="KC201" s="92" t="s">
        <v>109</v>
      </c>
      <c r="KD201" s="92" t="s">
        <v>4848</v>
      </c>
      <c r="KE201" s="92" t="s">
        <v>1452</v>
      </c>
      <c r="KF201" s="92">
        <v>4300</v>
      </c>
      <c r="KG201" s="92" t="s">
        <v>4438</v>
      </c>
      <c r="KH201" s="92" t="s">
        <v>192</v>
      </c>
      <c r="KI201" s="92" t="s">
        <v>109</v>
      </c>
      <c r="KJ201" s="92" t="s">
        <v>192</v>
      </c>
      <c r="KK201" s="92" t="s">
        <v>109</v>
      </c>
      <c r="KL201" s="92" t="s">
        <v>1341</v>
      </c>
      <c r="KM201" s="92">
        <v>5250</v>
      </c>
      <c r="KN201" s="92" t="s">
        <v>4439</v>
      </c>
      <c r="KO201" s="92" t="s">
        <v>1341</v>
      </c>
      <c r="KP201" s="92" t="s">
        <v>1460</v>
      </c>
      <c r="KQ201" s="92" t="s">
        <v>192</v>
      </c>
      <c r="KR201" s="92">
        <v>9</v>
      </c>
      <c r="KS201" s="92" t="s">
        <v>1343</v>
      </c>
      <c r="KT201" s="92" t="s">
        <v>1344</v>
      </c>
      <c r="KU201" s="92">
        <v>19</v>
      </c>
      <c r="KV201" s="92" t="s">
        <v>1461</v>
      </c>
      <c r="KW201" s="92" t="s">
        <v>1344</v>
      </c>
      <c r="KX201" s="92" t="s">
        <v>1346</v>
      </c>
      <c r="KY201" s="92" t="s">
        <v>1347</v>
      </c>
      <c r="KZ201" s="92" t="s">
        <v>1403</v>
      </c>
      <c r="LA201" s="92" t="s">
        <v>109</v>
      </c>
      <c r="LB201" s="92" t="s">
        <v>109</v>
      </c>
      <c r="LC201" s="92" t="s">
        <v>4438</v>
      </c>
      <c r="LD201" s="92" t="s">
        <v>4439</v>
      </c>
      <c r="LE201" s="92" t="s">
        <v>109</v>
      </c>
      <c r="LF201" s="92" t="s">
        <v>192</v>
      </c>
    </row>
    <row r="202" spans="1:318" x14ac:dyDescent="0.25">
      <c r="A202" t="s">
        <v>2308</v>
      </c>
      <c r="B202" t="s">
        <v>2309</v>
      </c>
      <c r="C202" t="s">
        <v>1304</v>
      </c>
      <c r="D202" t="s">
        <v>1305</v>
      </c>
      <c r="E202" t="s">
        <v>1306</v>
      </c>
      <c r="G202" t="s">
        <v>1307</v>
      </c>
      <c r="H202">
        <v>4</v>
      </c>
      <c r="I202" t="s">
        <v>1307</v>
      </c>
      <c r="J202" t="s">
        <v>1406</v>
      </c>
      <c r="K202" t="s">
        <v>1309</v>
      </c>
      <c r="L202" t="s">
        <v>1310</v>
      </c>
      <c r="M202" t="s">
        <v>1309</v>
      </c>
      <c r="N202" t="s">
        <v>1309</v>
      </c>
      <c r="O202" t="s">
        <v>1309</v>
      </c>
      <c r="P202" t="s">
        <v>1309</v>
      </c>
      <c r="Q202" t="s">
        <v>1309</v>
      </c>
      <c r="R202" t="s">
        <v>1309</v>
      </c>
      <c r="S202">
        <v>2</v>
      </c>
      <c r="U202" t="s">
        <v>1312</v>
      </c>
      <c r="V202" t="s">
        <v>1312</v>
      </c>
      <c r="W202" t="s">
        <v>1312</v>
      </c>
      <c r="X202" t="s">
        <v>1312</v>
      </c>
      <c r="Y202" t="s">
        <v>1312</v>
      </c>
      <c r="Z202" t="s">
        <v>1312</v>
      </c>
      <c r="AC202">
        <v>2</v>
      </c>
      <c r="AD202">
        <v>18000</v>
      </c>
      <c r="AE202">
        <v>15000</v>
      </c>
      <c r="AF202" t="s">
        <v>1313</v>
      </c>
      <c r="AH202" t="s">
        <v>1383</v>
      </c>
      <c r="AJ202" t="s">
        <v>1315</v>
      </c>
      <c r="AL202" t="s">
        <v>1316</v>
      </c>
      <c r="BS202" t="s">
        <v>1307</v>
      </c>
      <c r="CE202" t="s">
        <v>1499</v>
      </c>
      <c r="CF202" t="s">
        <v>1310</v>
      </c>
      <c r="CG202" t="s">
        <v>1309</v>
      </c>
      <c r="CH202" t="s">
        <v>1309</v>
      </c>
      <c r="CI202" t="s">
        <v>1309</v>
      </c>
      <c r="CJ202" t="s">
        <v>1309</v>
      </c>
      <c r="CK202" t="s">
        <v>1309</v>
      </c>
      <c r="CL202" t="s">
        <v>1309</v>
      </c>
      <c r="CM202" t="s">
        <v>1309</v>
      </c>
      <c r="CN202" t="s">
        <v>1309</v>
      </c>
      <c r="CO202" t="s">
        <v>1310</v>
      </c>
      <c r="CP202" t="s">
        <v>1309</v>
      </c>
      <c r="CQ202" t="s">
        <v>1309</v>
      </c>
      <c r="CR202" t="s">
        <v>1309</v>
      </c>
      <c r="CT202" t="s">
        <v>4435</v>
      </c>
      <c r="CV202" t="s">
        <v>1357</v>
      </c>
      <c r="CW202" t="s">
        <v>1309</v>
      </c>
      <c r="CX202" t="s">
        <v>1309</v>
      </c>
      <c r="CY202" t="s">
        <v>1309</v>
      </c>
      <c r="CZ202" t="s">
        <v>1309</v>
      </c>
      <c r="DA202" t="s">
        <v>1310</v>
      </c>
      <c r="DB202" t="s">
        <v>1309</v>
      </c>
      <c r="DC202" t="s">
        <v>1309</v>
      </c>
      <c r="DE202" t="s">
        <v>1358</v>
      </c>
      <c r="DF202" t="s">
        <v>1307</v>
      </c>
      <c r="DH202">
        <v>1600</v>
      </c>
      <c r="DI202">
        <v>500</v>
      </c>
      <c r="DJ202" t="s">
        <v>1358</v>
      </c>
      <c r="DL202">
        <v>2000</v>
      </c>
      <c r="DM202">
        <v>1200</v>
      </c>
      <c r="DN202" t="s">
        <v>1320</v>
      </c>
      <c r="DO202" t="s">
        <v>1310</v>
      </c>
      <c r="DP202" t="s">
        <v>1309</v>
      </c>
      <c r="DQ202" t="s">
        <v>1309</v>
      </c>
      <c r="DR202" t="s">
        <v>1309</v>
      </c>
      <c r="DS202" t="s">
        <v>1309</v>
      </c>
      <c r="DT202" t="s">
        <v>1310</v>
      </c>
      <c r="DU202" t="s">
        <v>1309</v>
      </c>
      <c r="DV202" t="s">
        <v>1309</v>
      </c>
      <c r="DW202" t="s">
        <v>1309</v>
      </c>
      <c r="DY202" t="s">
        <v>1696</v>
      </c>
      <c r="DZ202">
        <v>500</v>
      </c>
      <c r="EA202" t="s">
        <v>1319</v>
      </c>
      <c r="EC202" t="s">
        <v>1991</v>
      </c>
      <c r="ED202">
        <v>550</v>
      </c>
      <c r="EE202" t="s">
        <v>1319</v>
      </c>
      <c r="EG202" t="s">
        <v>5357</v>
      </c>
      <c r="ET202" t="s">
        <v>1307</v>
      </c>
      <c r="EV202" t="s">
        <v>1319</v>
      </c>
      <c r="EW202" t="s">
        <v>1409</v>
      </c>
      <c r="EX202" t="s">
        <v>1319</v>
      </c>
      <c r="FA202" t="s">
        <v>1697</v>
      </c>
      <c r="FB202" t="s">
        <v>1309</v>
      </c>
      <c r="FC202" t="s">
        <v>1309</v>
      </c>
      <c r="FD202" t="s">
        <v>1309</v>
      </c>
      <c r="FE202" t="s">
        <v>1309</v>
      </c>
      <c r="FF202" t="s">
        <v>1309</v>
      </c>
      <c r="FG202" t="s">
        <v>1309</v>
      </c>
      <c r="FH202" t="s">
        <v>1309</v>
      </c>
      <c r="FI202" t="s">
        <v>1310</v>
      </c>
      <c r="FJ202" t="s">
        <v>1309</v>
      </c>
      <c r="FK202" t="s">
        <v>1309</v>
      </c>
      <c r="FL202" t="s">
        <v>1309</v>
      </c>
      <c r="FM202" t="s">
        <v>1309</v>
      </c>
      <c r="FN202" t="s">
        <v>1309</v>
      </c>
      <c r="FO202" t="s">
        <v>1309</v>
      </c>
      <c r="FP202" t="s">
        <v>1309</v>
      </c>
      <c r="FQ202" t="s">
        <v>1309</v>
      </c>
      <c r="FR202" t="s">
        <v>1309</v>
      </c>
      <c r="FT202" t="s">
        <v>1307</v>
      </c>
      <c r="GI202" t="s">
        <v>1324</v>
      </c>
      <c r="GJ202" t="s">
        <v>1324</v>
      </c>
      <c r="GT202" t="s">
        <v>1325</v>
      </c>
      <c r="GU202" t="s">
        <v>1310</v>
      </c>
      <c r="GV202" t="s">
        <v>1309</v>
      </c>
      <c r="GW202" t="s">
        <v>1309</v>
      </c>
      <c r="GX202" t="s">
        <v>1309</v>
      </c>
      <c r="GY202" t="s">
        <v>1309</v>
      </c>
      <c r="GZ202" t="s">
        <v>1309</v>
      </c>
      <c r="HA202" t="s">
        <v>1309</v>
      </c>
      <c r="HB202" t="s">
        <v>1309</v>
      </c>
      <c r="HC202" t="s">
        <v>1309</v>
      </c>
      <c r="HD202" t="s">
        <v>1309</v>
      </c>
      <c r="HE202" t="s">
        <v>1309</v>
      </c>
      <c r="HF202" t="s">
        <v>1309</v>
      </c>
      <c r="HH202" t="s">
        <v>1390</v>
      </c>
      <c r="HI202" t="s">
        <v>1326</v>
      </c>
      <c r="HJ202" t="s">
        <v>1326</v>
      </c>
      <c r="HK202" t="s">
        <v>1327</v>
      </c>
      <c r="HL202" t="s">
        <v>1328</v>
      </c>
      <c r="HM202" t="s">
        <v>1326</v>
      </c>
      <c r="HN202" t="s">
        <v>1329</v>
      </c>
      <c r="HO202" t="s">
        <v>1309</v>
      </c>
      <c r="HP202" t="s">
        <v>1309</v>
      </c>
      <c r="HQ202" t="s">
        <v>1309</v>
      </c>
      <c r="HR202" t="s">
        <v>1310</v>
      </c>
      <c r="HS202" t="s">
        <v>1309</v>
      </c>
      <c r="HT202" t="s">
        <v>1309</v>
      </c>
      <c r="HU202" t="s">
        <v>1309</v>
      </c>
      <c r="HV202" t="s">
        <v>1309</v>
      </c>
      <c r="HW202" t="s">
        <v>1309</v>
      </c>
      <c r="HX202" t="s">
        <v>1309</v>
      </c>
      <c r="HY202" t="s">
        <v>1309</v>
      </c>
      <c r="IA202" t="s">
        <v>1319</v>
      </c>
      <c r="IB202" t="s">
        <v>1423</v>
      </c>
      <c r="IC202" t="s">
        <v>1309</v>
      </c>
      <c r="ID202" t="s">
        <v>1309</v>
      </c>
      <c r="IE202" t="s">
        <v>1309</v>
      </c>
      <c r="IF202" t="s">
        <v>1309</v>
      </c>
      <c r="IG202" t="s">
        <v>1310</v>
      </c>
      <c r="IH202" t="s">
        <v>1309</v>
      </c>
      <c r="II202" t="s">
        <v>1309</v>
      </c>
      <c r="IJ202" t="s">
        <v>1309</v>
      </c>
      <c r="IK202" t="s">
        <v>1309</v>
      </c>
      <c r="IL202" t="s">
        <v>1309</v>
      </c>
      <c r="IM202" t="s">
        <v>1309</v>
      </c>
      <c r="IN202" t="s">
        <v>1309</v>
      </c>
      <c r="IO202" t="s">
        <v>1309</v>
      </c>
      <c r="IQ202" t="s">
        <v>1330</v>
      </c>
      <c r="IS202" t="s">
        <v>1316</v>
      </c>
      <c r="JF202" t="s">
        <v>1331</v>
      </c>
      <c r="JG202" t="s">
        <v>1414</v>
      </c>
      <c r="JH202" t="s">
        <v>1309</v>
      </c>
      <c r="JI202" t="s">
        <v>1309</v>
      </c>
      <c r="JJ202" t="s">
        <v>1309</v>
      </c>
      <c r="JK202" t="s">
        <v>1309</v>
      </c>
      <c r="JL202" t="s">
        <v>1309</v>
      </c>
      <c r="JM202" t="s">
        <v>1309</v>
      </c>
      <c r="JN202" t="s">
        <v>1310</v>
      </c>
      <c r="JO202" t="s">
        <v>1309</v>
      </c>
      <c r="JQ202" s="92" t="s">
        <v>1333</v>
      </c>
      <c r="JR202" s="92" t="s">
        <v>1334</v>
      </c>
      <c r="JS202" s="92">
        <v>38</v>
      </c>
      <c r="JT202" s="92" t="s">
        <v>1319</v>
      </c>
      <c r="JU202" s="92" t="s">
        <v>1335</v>
      </c>
      <c r="JV202" s="92" t="s">
        <v>1336</v>
      </c>
      <c r="JW202" s="92" t="s">
        <v>1296</v>
      </c>
      <c r="JX202" s="92" t="s">
        <v>71</v>
      </c>
      <c r="JY202" s="92" t="s">
        <v>5549</v>
      </c>
      <c r="JZ202" s="92" t="s">
        <v>1337</v>
      </c>
      <c r="KA202" s="92" t="s">
        <v>4845</v>
      </c>
      <c r="KB202" s="92" t="s">
        <v>1415</v>
      </c>
      <c r="KC202" s="92" t="s">
        <v>109</v>
      </c>
      <c r="KD202" s="92" t="s">
        <v>4847</v>
      </c>
      <c r="KE202" s="92" t="s">
        <v>1452</v>
      </c>
      <c r="KF202" s="92">
        <v>2100</v>
      </c>
      <c r="KG202" s="92" t="s">
        <v>4438</v>
      </c>
      <c r="KH202" s="92" t="s">
        <v>109</v>
      </c>
      <c r="KI202" s="92" t="s">
        <v>192</v>
      </c>
      <c r="KJ202" s="92" t="s">
        <v>109</v>
      </c>
      <c r="KK202" s="92" t="s">
        <v>192</v>
      </c>
      <c r="KL202" s="92" t="s">
        <v>1425</v>
      </c>
      <c r="KM202" s="92">
        <v>3200</v>
      </c>
      <c r="KN202" s="92" t="s">
        <v>4438</v>
      </c>
      <c r="KO202" s="92" t="s">
        <v>1341</v>
      </c>
      <c r="KP202" s="92" t="s">
        <v>1375</v>
      </c>
      <c r="KQ202" s="92" t="s">
        <v>109</v>
      </c>
      <c r="KR202" s="92">
        <v>24</v>
      </c>
      <c r="KS202" s="92" t="s">
        <v>1345</v>
      </c>
      <c r="KT202" s="92" t="s">
        <v>1344</v>
      </c>
      <c r="KU202" s="92">
        <v>17</v>
      </c>
      <c r="KV202" s="92" t="s">
        <v>1345</v>
      </c>
      <c r="KW202" s="92" t="s">
        <v>1344</v>
      </c>
      <c r="KX202" s="92" t="s">
        <v>1346</v>
      </c>
      <c r="KY202" s="92" t="s">
        <v>1347</v>
      </c>
      <c r="KZ202" s="92" t="s">
        <v>5795</v>
      </c>
      <c r="LA202" s="92" t="s">
        <v>109</v>
      </c>
      <c r="LB202" s="92" t="s">
        <v>109</v>
      </c>
      <c r="LC202" s="92" t="s">
        <v>4438</v>
      </c>
      <c r="LD202" s="92" t="s">
        <v>4438</v>
      </c>
      <c r="LE202" s="92" t="s">
        <v>109</v>
      </c>
      <c r="LF202" s="92" t="s">
        <v>192</v>
      </c>
    </row>
    <row r="203" spans="1:318" x14ac:dyDescent="0.25">
      <c r="A203" t="s">
        <v>2310</v>
      </c>
      <c r="B203" t="s">
        <v>2311</v>
      </c>
      <c r="C203" t="s">
        <v>1304</v>
      </c>
      <c r="D203" t="s">
        <v>1305</v>
      </c>
      <c r="E203" t="s">
        <v>1381</v>
      </c>
      <c r="G203" t="s">
        <v>1319</v>
      </c>
      <c r="H203">
        <v>4</v>
      </c>
      <c r="I203" t="s">
        <v>1358</v>
      </c>
      <c r="J203" t="s">
        <v>2312</v>
      </c>
      <c r="K203" t="s">
        <v>1309</v>
      </c>
      <c r="L203" t="s">
        <v>1310</v>
      </c>
      <c r="M203" t="s">
        <v>1310</v>
      </c>
      <c r="N203" t="s">
        <v>1309</v>
      </c>
      <c r="O203" t="s">
        <v>1310</v>
      </c>
      <c r="P203" t="s">
        <v>1310</v>
      </c>
      <c r="Q203" t="s">
        <v>1309</v>
      </c>
      <c r="R203" t="s">
        <v>1309</v>
      </c>
      <c r="S203">
        <v>2</v>
      </c>
      <c r="T203">
        <v>1</v>
      </c>
      <c r="U203" t="s">
        <v>1311</v>
      </c>
      <c r="V203" t="s">
        <v>1312</v>
      </c>
      <c r="W203" t="s">
        <v>1312</v>
      </c>
      <c r="X203" t="s">
        <v>1312</v>
      </c>
      <c r="Y203" t="s">
        <v>1312</v>
      </c>
      <c r="Z203" t="s">
        <v>1312</v>
      </c>
      <c r="AC203">
        <v>4</v>
      </c>
      <c r="AD203">
        <v>12000</v>
      </c>
      <c r="AE203">
        <v>9000</v>
      </c>
      <c r="AF203" t="s">
        <v>1313</v>
      </c>
      <c r="AH203" t="s">
        <v>1383</v>
      </c>
      <c r="AJ203" t="s">
        <v>1315</v>
      </c>
      <c r="AL203" t="s">
        <v>1354</v>
      </c>
      <c r="BS203" t="s">
        <v>1307</v>
      </c>
      <c r="CE203" t="s">
        <v>1355</v>
      </c>
      <c r="CF203" t="s">
        <v>1309</v>
      </c>
      <c r="CG203" t="s">
        <v>1309</v>
      </c>
      <c r="CH203" t="s">
        <v>1309</v>
      </c>
      <c r="CI203" t="s">
        <v>1309</v>
      </c>
      <c r="CJ203" t="s">
        <v>1309</v>
      </c>
      <c r="CK203" t="s">
        <v>1309</v>
      </c>
      <c r="CL203" t="s">
        <v>1309</v>
      </c>
      <c r="CM203" t="s">
        <v>1309</v>
      </c>
      <c r="CN203" t="s">
        <v>1310</v>
      </c>
      <c r="CO203" t="s">
        <v>1309</v>
      </c>
      <c r="CP203" t="s">
        <v>1309</v>
      </c>
      <c r="CQ203" t="s">
        <v>1309</v>
      </c>
      <c r="CR203" t="s">
        <v>1309</v>
      </c>
      <c r="CT203" t="s">
        <v>4435</v>
      </c>
      <c r="CV203" t="s">
        <v>1308</v>
      </c>
      <c r="CW203" t="s">
        <v>1310</v>
      </c>
      <c r="CX203" t="s">
        <v>1309</v>
      </c>
      <c r="CY203" t="s">
        <v>1309</v>
      </c>
      <c r="CZ203" t="s">
        <v>1309</v>
      </c>
      <c r="DA203" t="s">
        <v>1309</v>
      </c>
      <c r="DB203" t="s">
        <v>1309</v>
      </c>
      <c r="DC203" t="s">
        <v>1309</v>
      </c>
      <c r="DE203" t="s">
        <v>1358</v>
      </c>
      <c r="DF203" t="s">
        <v>1307</v>
      </c>
      <c r="DH203">
        <v>2000</v>
      </c>
      <c r="DI203">
        <v>450</v>
      </c>
      <c r="DJ203" t="s">
        <v>1358</v>
      </c>
      <c r="DL203">
        <v>2500</v>
      </c>
      <c r="DM203">
        <v>400</v>
      </c>
      <c r="DN203" t="s">
        <v>1676</v>
      </c>
      <c r="DO203" t="s">
        <v>1309</v>
      </c>
      <c r="DP203" t="s">
        <v>1309</v>
      </c>
      <c r="DQ203" t="s">
        <v>1309</v>
      </c>
      <c r="DR203" t="s">
        <v>1309</v>
      </c>
      <c r="DS203" t="s">
        <v>1310</v>
      </c>
      <c r="DT203" t="s">
        <v>1310</v>
      </c>
      <c r="DU203" t="s">
        <v>1309</v>
      </c>
      <c r="DV203" t="s">
        <v>1309</v>
      </c>
      <c r="DW203" t="s">
        <v>1309</v>
      </c>
      <c r="DY203" t="s">
        <v>1456</v>
      </c>
      <c r="DZ203">
        <v>350</v>
      </c>
      <c r="EA203" t="s">
        <v>1319</v>
      </c>
      <c r="EC203" t="s">
        <v>1457</v>
      </c>
      <c r="ED203">
        <v>950</v>
      </c>
      <c r="EE203" t="s">
        <v>1319</v>
      </c>
      <c r="EG203" t="s">
        <v>5356</v>
      </c>
      <c r="EI203" t="s">
        <v>1307</v>
      </c>
      <c r="ET203" t="s">
        <v>1307</v>
      </c>
      <c r="EV203" t="s">
        <v>1319</v>
      </c>
      <c r="EW203" t="s">
        <v>1409</v>
      </c>
      <c r="EX203" t="s">
        <v>1319</v>
      </c>
      <c r="FA203" t="s">
        <v>2251</v>
      </c>
      <c r="FB203" t="s">
        <v>1309</v>
      </c>
      <c r="FC203" t="s">
        <v>1309</v>
      </c>
      <c r="FD203" t="s">
        <v>1309</v>
      </c>
      <c r="FE203" t="s">
        <v>1310</v>
      </c>
      <c r="FF203" t="s">
        <v>1309</v>
      </c>
      <c r="FG203" t="s">
        <v>1309</v>
      </c>
      <c r="FH203" t="s">
        <v>1309</v>
      </c>
      <c r="FI203" t="s">
        <v>1310</v>
      </c>
      <c r="FJ203" t="s">
        <v>1309</v>
      </c>
      <c r="FK203" t="s">
        <v>1309</v>
      </c>
      <c r="FL203" t="s">
        <v>1309</v>
      </c>
      <c r="FM203" t="s">
        <v>1310</v>
      </c>
      <c r="FN203" t="s">
        <v>1309</v>
      </c>
      <c r="FO203" t="s">
        <v>1309</v>
      </c>
      <c r="FP203" t="s">
        <v>1309</v>
      </c>
      <c r="FQ203" t="s">
        <v>1309</v>
      </c>
      <c r="FR203" t="s">
        <v>1309</v>
      </c>
      <c r="FT203" t="s">
        <v>1319</v>
      </c>
      <c r="FU203" t="s">
        <v>1635</v>
      </c>
      <c r="FV203" t="s">
        <v>1310</v>
      </c>
      <c r="FW203" t="s">
        <v>1309</v>
      </c>
      <c r="FX203" t="s">
        <v>1309</v>
      </c>
      <c r="FY203" t="s">
        <v>1309</v>
      </c>
      <c r="FZ203" t="s">
        <v>1309</v>
      </c>
      <c r="GA203" t="s">
        <v>1310</v>
      </c>
      <c r="GB203" t="s">
        <v>1309</v>
      </c>
      <c r="GC203" t="s">
        <v>1309</v>
      </c>
      <c r="GD203" t="s">
        <v>1309</v>
      </c>
      <c r="GE203" t="s">
        <v>1309</v>
      </c>
      <c r="GF203" t="s">
        <v>1309</v>
      </c>
      <c r="GG203" t="s">
        <v>1309</v>
      </c>
      <c r="GI203" t="s">
        <v>1324</v>
      </c>
      <c r="GJ203" t="s">
        <v>1324</v>
      </c>
      <c r="GT203" t="s">
        <v>1325</v>
      </c>
      <c r="GU203" t="s">
        <v>1310</v>
      </c>
      <c r="GV203" t="s">
        <v>1309</v>
      </c>
      <c r="GW203" t="s">
        <v>1309</v>
      </c>
      <c r="GX203" t="s">
        <v>1309</v>
      </c>
      <c r="GY203" t="s">
        <v>1309</v>
      </c>
      <c r="GZ203" t="s">
        <v>1309</v>
      </c>
      <c r="HA203" t="s">
        <v>1309</v>
      </c>
      <c r="HB203" t="s">
        <v>1309</v>
      </c>
      <c r="HC203" t="s">
        <v>1309</v>
      </c>
      <c r="HD203" t="s">
        <v>1309</v>
      </c>
      <c r="HE203" t="s">
        <v>1309</v>
      </c>
      <c r="HF203" t="s">
        <v>1309</v>
      </c>
      <c r="HH203" t="s">
        <v>1390</v>
      </c>
      <c r="HI203" t="s">
        <v>1390</v>
      </c>
      <c r="HJ203" t="s">
        <v>1390</v>
      </c>
      <c r="HK203" t="s">
        <v>1327</v>
      </c>
      <c r="HL203" t="s">
        <v>1364</v>
      </c>
      <c r="HM203" t="s">
        <v>1363</v>
      </c>
      <c r="IA203" t="s">
        <v>1307</v>
      </c>
      <c r="IQ203" t="s">
        <v>1365</v>
      </c>
      <c r="IS203" t="s">
        <v>1316</v>
      </c>
      <c r="JF203" t="s">
        <v>1316</v>
      </c>
      <c r="JG203" t="s">
        <v>1414</v>
      </c>
      <c r="JH203" t="s">
        <v>1309</v>
      </c>
      <c r="JI203" t="s">
        <v>1309</v>
      </c>
      <c r="JJ203" t="s">
        <v>1309</v>
      </c>
      <c r="JK203" t="s">
        <v>1309</v>
      </c>
      <c r="JL203" t="s">
        <v>1309</v>
      </c>
      <c r="JM203" t="s">
        <v>1309</v>
      </c>
      <c r="JN203" t="s">
        <v>1310</v>
      </c>
      <c r="JO203" t="s">
        <v>1309</v>
      </c>
      <c r="JQ203" s="92" t="s">
        <v>1333</v>
      </c>
      <c r="JR203" s="92" t="s">
        <v>1334</v>
      </c>
      <c r="JS203" s="92">
        <v>32</v>
      </c>
      <c r="JT203" s="92" t="s">
        <v>1319</v>
      </c>
      <c r="JU203" s="92" t="s">
        <v>1396</v>
      </c>
      <c r="JV203" s="92" t="s">
        <v>1336</v>
      </c>
      <c r="JW203" s="92" t="s">
        <v>1296</v>
      </c>
      <c r="JX203" s="92" t="s">
        <v>71</v>
      </c>
      <c r="JY203" s="92" t="s">
        <v>1397</v>
      </c>
      <c r="JZ203" s="92" t="s">
        <v>1398</v>
      </c>
      <c r="KA203" s="92" t="s">
        <v>4845</v>
      </c>
      <c r="KB203" s="92" t="s">
        <v>1370</v>
      </c>
      <c r="KC203" s="92" t="s">
        <v>109</v>
      </c>
      <c r="KD203" s="92" t="s">
        <v>4848</v>
      </c>
      <c r="KE203" s="92" t="s">
        <v>1371</v>
      </c>
      <c r="KF203" s="92">
        <v>2450</v>
      </c>
      <c r="KG203" s="92" t="s">
        <v>4438</v>
      </c>
      <c r="KH203" s="92" t="s">
        <v>109</v>
      </c>
      <c r="KI203" s="92" t="s">
        <v>192</v>
      </c>
      <c r="KJ203" s="92" t="s">
        <v>109</v>
      </c>
      <c r="KK203" s="92" t="s">
        <v>192</v>
      </c>
      <c r="KL203" s="92" t="s">
        <v>1425</v>
      </c>
      <c r="KM203" s="92">
        <v>2900</v>
      </c>
      <c r="KN203" s="92" t="s">
        <v>4438</v>
      </c>
      <c r="KO203" s="92" t="s">
        <v>1425</v>
      </c>
      <c r="KP203" s="92" t="s">
        <v>1342</v>
      </c>
      <c r="KQ203" s="92" t="s">
        <v>109</v>
      </c>
      <c r="KR203" s="92">
        <v>14</v>
      </c>
      <c r="KS203" s="92" t="s">
        <v>1343</v>
      </c>
      <c r="KT203" s="92" t="s">
        <v>1344</v>
      </c>
      <c r="KU203" s="92">
        <v>33</v>
      </c>
      <c r="KV203" s="92" t="s">
        <v>1461</v>
      </c>
      <c r="KW203" s="92" t="s">
        <v>1344</v>
      </c>
      <c r="KX203" s="92" t="s">
        <v>1376</v>
      </c>
      <c r="KY203" s="92" t="s">
        <v>1377</v>
      </c>
      <c r="KZ203" s="92" t="s">
        <v>1403</v>
      </c>
      <c r="LA203" s="92" t="s">
        <v>109</v>
      </c>
      <c r="LB203" s="92" t="s">
        <v>109</v>
      </c>
      <c r="LC203" s="92" t="s">
        <v>4438</v>
      </c>
      <c r="LD203" s="92" t="s">
        <v>4438</v>
      </c>
      <c r="LE203" s="92" t="s">
        <v>109</v>
      </c>
      <c r="LF203" s="92" t="s">
        <v>109</v>
      </c>
    </row>
    <row r="204" spans="1:318" x14ac:dyDescent="0.25">
      <c r="A204" t="s">
        <v>2313</v>
      </c>
      <c r="B204" t="s">
        <v>2314</v>
      </c>
      <c r="C204" t="s">
        <v>1304</v>
      </c>
      <c r="D204" t="s">
        <v>1305</v>
      </c>
      <c r="E204" t="s">
        <v>1381</v>
      </c>
      <c r="G204" t="s">
        <v>1319</v>
      </c>
      <c r="H204">
        <v>2</v>
      </c>
      <c r="I204" t="s">
        <v>1358</v>
      </c>
      <c r="J204" t="s">
        <v>1382</v>
      </c>
      <c r="K204" t="s">
        <v>1309</v>
      </c>
      <c r="L204" t="s">
        <v>1310</v>
      </c>
      <c r="M204" t="s">
        <v>1309</v>
      </c>
      <c r="N204" t="s">
        <v>1309</v>
      </c>
      <c r="O204" t="s">
        <v>1309</v>
      </c>
      <c r="P204" t="s">
        <v>1310</v>
      </c>
      <c r="Q204" t="s">
        <v>1309</v>
      </c>
      <c r="R204" t="s">
        <v>1309</v>
      </c>
      <c r="S204">
        <v>1</v>
      </c>
      <c r="U204" t="s">
        <v>1311</v>
      </c>
      <c r="V204" t="s">
        <v>1312</v>
      </c>
      <c r="W204" t="s">
        <v>1312</v>
      </c>
      <c r="X204" t="s">
        <v>1312</v>
      </c>
      <c r="Y204" t="s">
        <v>1312</v>
      </c>
      <c r="Z204" t="s">
        <v>1312</v>
      </c>
      <c r="AC204">
        <v>1</v>
      </c>
      <c r="AD204">
        <v>12000</v>
      </c>
      <c r="AE204">
        <v>15000</v>
      </c>
      <c r="AF204" t="s">
        <v>1313</v>
      </c>
      <c r="AH204" t="s">
        <v>1383</v>
      </c>
      <c r="AJ204" t="s">
        <v>1315</v>
      </c>
      <c r="AL204" t="s">
        <v>1316</v>
      </c>
      <c r="BS204" t="s">
        <v>1307</v>
      </c>
      <c r="CE204" t="s">
        <v>1355</v>
      </c>
      <c r="CF204" t="s">
        <v>1309</v>
      </c>
      <c r="CG204" t="s">
        <v>1309</v>
      </c>
      <c r="CH204" t="s">
        <v>1309</v>
      </c>
      <c r="CI204" t="s">
        <v>1309</v>
      </c>
      <c r="CJ204" t="s">
        <v>1309</v>
      </c>
      <c r="CK204" t="s">
        <v>1309</v>
      </c>
      <c r="CL204" t="s">
        <v>1309</v>
      </c>
      <c r="CM204" t="s">
        <v>1309</v>
      </c>
      <c r="CN204" t="s">
        <v>1310</v>
      </c>
      <c r="CO204" t="s">
        <v>1309</v>
      </c>
      <c r="CP204" t="s">
        <v>1309</v>
      </c>
      <c r="CQ204" t="s">
        <v>1309</v>
      </c>
      <c r="CR204" t="s">
        <v>1309</v>
      </c>
      <c r="CT204" t="s">
        <v>4434</v>
      </c>
      <c r="CV204" t="s">
        <v>1308</v>
      </c>
      <c r="CW204" t="s">
        <v>1310</v>
      </c>
      <c r="CX204" t="s">
        <v>1309</v>
      </c>
      <c r="CY204" t="s">
        <v>1309</v>
      </c>
      <c r="CZ204" t="s">
        <v>1309</v>
      </c>
      <c r="DA204" t="s">
        <v>1309</v>
      </c>
      <c r="DB204" t="s">
        <v>1309</v>
      </c>
      <c r="DC204" t="s">
        <v>1309</v>
      </c>
      <c r="DE204" t="s">
        <v>1318</v>
      </c>
      <c r="DG204">
        <v>1500</v>
      </c>
      <c r="DI204">
        <v>400</v>
      </c>
      <c r="DJ204" t="s">
        <v>1318</v>
      </c>
      <c r="DK204">
        <v>2000</v>
      </c>
      <c r="DM204">
        <v>600</v>
      </c>
      <c r="DN204" t="s">
        <v>1953</v>
      </c>
      <c r="DO204" t="s">
        <v>1310</v>
      </c>
      <c r="DP204" t="s">
        <v>1310</v>
      </c>
      <c r="DQ204" t="s">
        <v>1309</v>
      </c>
      <c r="DR204" t="s">
        <v>1309</v>
      </c>
      <c r="DS204" t="s">
        <v>1310</v>
      </c>
      <c r="DT204" t="s">
        <v>1310</v>
      </c>
      <c r="DU204" t="s">
        <v>1309</v>
      </c>
      <c r="DV204" t="s">
        <v>1309</v>
      </c>
      <c r="DW204" t="s">
        <v>1309</v>
      </c>
      <c r="DY204" t="s">
        <v>1408</v>
      </c>
      <c r="DZ204">
        <v>300</v>
      </c>
      <c r="EA204" t="s">
        <v>1319</v>
      </c>
      <c r="EC204" t="s">
        <v>1658</v>
      </c>
      <c r="ED204">
        <v>800</v>
      </c>
      <c r="EE204" t="s">
        <v>1319</v>
      </c>
      <c r="EG204" t="s">
        <v>5357</v>
      </c>
      <c r="ET204" t="s">
        <v>1307</v>
      </c>
      <c r="EV204" t="s">
        <v>1319</v>
      </c>
      <c r="EW204" t="s">
        <v>1409</v>
      </c>
      <c r="EX204" t="s">
        <v>1319</v>
      </c>
      <c r="EY204" t="s">
        <v>1319</v>
      </c>
      <c r="FA204" t="s">
        <v>1323</v>
      </c>
      <c r="FB204" t="s">
        <v>1310</v>
      </c>
      <c r="FC204" t="s">
        <v>1309</v>
      </c>
      <c r="FD204" t="s">
        <v>1309</v>
      </c>
      <c r="FE204" t="s">
        <v>1309</v>
      </c>
      <c r="FF204" t="s">
        <v>1309</v>
      </c>
      <c r="FG204" t="s">
        <v>1309</v>
      </c>
      <c r="FH204" t="s">
        <v>1309</v>
      </c>
      <c r="FI204" t="s">
        <v>1309</v>
      </c>
      <c r="FJ204" t="s">
        <v>1309</v>
      </c>
      <c r="FK204" t="s">
        <v>1309</v>
      </c>
      <c r="FL204" t="s">
        <v>1309</v>
      </c>
      <c r="FM204" t="s">
        <v>1309</v>
      </c>
      <c r="FN204" t="s">
        <v>1309</v>
      </c>
      <c r="FO204" t="s">
        <v>1309</v>
      </c>
      <c r="FP204" t="s">
        <v>1309</v>
      </c>
      <c r="FQ204" t="s">
        <v>1309</v>
      </c>
      <c r="FR204" t="s">
        <v>1309</v>
      </c>
      <c r="FT204" t="s">
        <v>1307</v>
      </c>
      <c r="GI204" t="s">
        <v>1324</v>
      </c>
      <c r="GJ204" t="s">
        <v>1324</v>
      </c>
      <c r="GT204" t="s">
        <v>1325</v>
      </c>
      <c r="GU204" t="s">
        <v>1310</v>
      </c>
      <c r="GV204" t="s">
        <v>1309</v>
      </c>
      <c r="GW204" t="s">
        <v>1309</v>
      </c>
      <c r="GX204" t="s">
        <v>1309</v>
      </c>
      <c r="GY204" t="s">
        <v>1309</v>
      </c>
      <c r="GZ204" t="s">
        <v>1309</v>
      </c>
      <c r="HA204" t="s">
        <v>1309</v>
      </c>
      <c r="HB204" t="s">
        <v>1309</v>
      </c>
      <c r="HC204" t="s">
        <v>1309</v>
      </c>
      <c r="HD204" t="s">
        <v>1309</v>
      </c>
      <c r="HE204" t="s">
        <v>1309</v>
      </c>
      <c r="HF204" t="s">
        <v>1309</v>
      </c>
      <c r="HH204" t="s">
        <v>1390</v>
      </c>
      <c r="HI204" t="s">
        <v>1326</v>
      </c>
      <c r="HJ204" t="s">
        <v>1326</v>
      </c>
      <c r="HK204" t="s">
        <v>1327</v>
      </c>
      <c r="HL204" t="s">
        <v>1328</v>
      </c>
      <c r="HM204" t="s">
        <v>1390</v>
      </c>
      <c r="HN204" t="s">
        <v>1329</v>
      </c>
      <c r="HO204" t="s">
        <v>1309</v>
      </c>
      <c r="HP204" t="s">
        <v>1309</v>
      </c>
      <c r="HQ204" t="s">
        <v>1309</v>
      </c>
      <c r="HR204" t="s">
        <v>1310</v>
      </c>
      <c r="HS204" t="s">
        <v>1309</v>
      </c>
      <c r="HT204" t="s">
        <v>1309</v>
      </c>
      <c r="HU204" t="s">
        <v>1309</v>
      </c>
      <c r="HV204" t="s">
        <v>1309</v>
      </c>
      <c r="HW204" t="s">
        <v>1309</v>
      </c>
      <c r="HX204" t="s">
        <v>1309</v>
      </c>
      <c r="HY204" t="s">
        <v>1309</v>
      </c>
      <c r="IA204" t="s">
        <v>1307</v>
      </c>
      <c r="IQ204" t="s">
        <v>1330</v>
      </c>
      <c r="IS204" t="s">
        <v>1316</v>
      </c>
      <c r="JF204" t="s">
        <v>1331</v>
      </c>
      <c r="JG204" t="s">
        <v>1414</v>
      </c>
      <c r="JH204" t="s">
        <v>1309</v>
      </c>
      <c r="JI204" t="s">
        <v>1309</v>
      </c>
      <c r="JJ204" t="s">
        <v>1309</v>
      </c>
      <c r="JK204" t="s">
        <v>1309</v>
      </c>
      <c r="JL204" t="s">
        <v>1309</v>
      </c>
      <c r="JM204" t="s">
        <v>1309</v>
      </c>
      <c r="JN204" t="s">
        <v>1310</v>
      </c>
      <c r="JO204" t="s">
        <v>1309</v>
      </c>
      <c r="JQ204" s="92" t="s">
        <v>1333</v>
      </c>
      <c r="JR204" s="92" t="s">
        <v>1334</v>
      </c>
      <c r="JS204" s="92">
        <v>41</v>
      </c>
      <c r="JT204" s="92" t="s">
        <v>1319</v>
      </c>
      <c r="JU204" s="92" t="s">
        <v>1335</v>
      </c>
      <c r="JV204" s="92" t="s">
        <v>1336</v>
      </c>
      <c r="JW204" s="92" t="s">
        <v>1296</v>
      </c>
      <c r="JX204" s="92" t="s">
        <v>71</v>
      </c>
      <c r="JY204" s="92" t="s">
        <v>1397</v>
      </c>
      <c r="JZ204" s="92" t="s">
        <v>1337</v>
      </c>
      <c r="KA204" s="92" t="s">
        <v>4845</v>
      </c>
      <c r="KB204" s="92" t="s">
        <v>1399</v>
      </c>
      <c r="KC204" s="92" t="s">
        <v>109</v>
      </c>
      <c r="KD204" s="92" t="s">
        <v>4844</v>
      </c>
      <c r="KE204" s="92" t="s">
        <v>1371</v>
      </c>
      <c r="KF204" s="92">
        <v>1900</v>
      </c>
      <c r="KG204" s="92" t="s">
        <v>4438</v>
      </c>
      <c r="KH204" s="92" t="s">
        <v>192</v>
      </c>
      <c r="KI204" s="92" t="s">
        <v>109</v>
      </c>
      <c r="KJ204" s="92" t="s">
        <v>192</v>
      </c>
      <c r="KK204" s="92" t="s">
        <v>109</v>
      </c>
      <c r="KL204" s="92" t="s">
        <v>1440</v>
      </c>
      <c r="KM204" s="92">
        <v>2600</v>
      </c>
      <c r="KN204" s="92" t="s">
        <v>4438</v>
      </c>
      <c r="KO204" s="92" t="s">
        <v>1425</v>
      </c>
      <c r="KP204" s="92" t="s">
        <v>1460</v>
      </c>
      <c r="KQ204" s="92" t="s">
        <v>192</v>
      </c>
      <c r="KR204" s="92">
        <v>16</v>
      </c>
      <c r="KS204" s="92" t="s">
        <v>1343</v>
      </c>
      <c r="KT204" s="92" t="s">
        <v>1344</v>
      </c>
      <c r="KU204" s="92">
        <v>31</v>
      </c>
      <c r="KV204" s="92" t="s">
        <v>1441</v>
      </c>
      <c r="KW204" s="92" t="s">
        <v>1344</v>
      </c>
      <c r="KX204" s="92" t="s">
        <v>1346</v>
      </c>
      <c r="KY204" s="92" t="s">
        <v>1347</v>
      </c>
      <c r="KZ204" s="92" t="s">
        <v>1403</v>
      </c>
      <c r="LA204" s="92" t="s">
        <v>109</v>
      </c>
      <c r="LB204" s="92" t="s">
        <v>109</v>
      </c>
      <c r="LC204" s="92" t="s">
        <v>4438</v>
      </c>
      <c r="LD204" s="92" t="s">
        <v>4438</v>
      </c>
      <c r="LE204" s="92" t="s">
        <v>192</v>
      </c>
      <c r="LF204" s="92" t="s">
        <v>192</v>
      </c>
    </row>
    <row r="205" spans="1:318" x14ac:dyDescent="0.25">
      <c r="A205" t="s">
        <v>2315</v>
      </c>
      <c r="B205" t="s">
        <v>2316</v>
      </c>
      <c r="C205" t="s">
        <v>1304</v>
      </c>
      <c r="D205" t="s">
        <v>1305</v>
      </c>
      <c r="E205" t="s">
        <v>1381</v>
      </c>
      <c r="G205" t="s">
        <v>1319</v>
      </c>
      <c r="H205">
        <v>2</v>
      </c>
      <c r="I205" t="s">
        <v>1358</v>
      </c>
      <c r="J205" t="s">
        <v>1382</v>
      </c>
      <c r="K205" t="s">
        <v>1309</v>
      </c>
      <c r="L205" t="s">
        <v>1310</v>
      </c>
      <c r="M205" t="s">
        <v>1309</v>
      </c>
      <c r="N205" t="s">
        <v>1309</v>
      </c>
      <c r="O205" t="s">
        <v>1309</v>
      </c>
      <c r="P205" t="s">
        <v>1310</v>
      </c>
      <c r="Q205" t="s">
        <v>1309</v>
      </c>
      <c r="R205" t="s">
        <v>1309</v>
      </c>
      <c r="S205">
        <v>1</v>
      </c>
      <c r="U205" t="s">
        <v>1312</v>
      </c>
      <c r="V205" t="s">
        <v>1312</v>
      </c>
      <c r="W205" t="s">
        <v>1312</v>
      </c>
      <c r="X205" t="s">
        <v>1312</v>
      </c>
      <c r="Y205" t="s">
        <v>1312</v>
      </c>
      <c r="Z205" t="s">
        <v>1312</v>
      </c>
      <c r="AC205">
        <v>2</v>
      </c>
      <c r="AE205">
        <v>10000</v>
      </c>
      <c r="AF205" t="s">
        <v>1313</v>
      </c>
      <c r="AH205" t="s">
        <v>1383</v>
      </c>
      <c r="AJ205" t="s">
        <v>1315</v>
      </c>
      <c r="AL205" t="s">
        <v>1354</v>
      </c>
      <c r="BS205" t="s">
        <v>1307</v>
      </c>
      <c r="CE205" t="s">
        <v>2317</v>
      </c>
      <c r="CF205" t="s">
        <v>1310</v>
      </c>
      <c r="CG205" t="s">
        <v>1309</v>
      </c>
      <c r="CH205" t="s">
        <v>1309</v>
      </c>
      <c r="CI205" t="s">
        <v>1310</v>
      </c>
      <c r="CJ205" t="s">
        <v>1310</v>
      </c>
      <c r="CK205" t="s">
        <v>1309</v>
      </c>
      <c r="CL205" t="s">
        <v>1309</v>
      </c>
      <c r="CM205" t="s">
        <v>1309</v>
      </c>
      <c r="CN205" t="s">
        <v>1310</v>
      </c>
      <c r="CO205" t="s">
        <v>1309</v>
      </c>
      <c r="CP205" t="s">
        <v>1309</v>
      </c>
      <c r="CQ205" t="s">
        <v>1309</v>
      </c>
      <c r="CR205" t="s">
        <v>1309</v>
      </c>
      <c r="CT205" t="s">
        <v>4434</v>
      </c>
      <c r="CV205" t="s">
        <v>1308</v>
      </c>
      <c r="CW205" t="s">
        <v>1310</v>
      </c>
      <c r="CX205" t="s">
        <v>1309</v>
      </c>
      <c r="CY205" t="s">
        <v>1309</v>
      </c>
      <c r="CZ205" t="s">
        <v>1309</v>
      </c>
      <c r="DA205" t="s">
        <v>1309</v>
      </c>
      <c r="DB205" t="s">
        <v>1309</v>
      </c>
      <c r="DC205" t="s">
        <v>1309</v>
      </c>
      <c r="DE205" t="s">
        <v>1358</v>
      </c>
      <c r="DG205">
        <v>2000</v>
      </c>
      <c r="DI205">
        <v>500</v>
      </c>
      <c r="DJ205" t="s">
        <v>1358</v>
      </c>
      <c r="DK205">
        <v>2500</v>
      </c>
      <c r="DM205">
        <v>700</v>
      </c>
      <c r="DN205" t="s">
        <v>1564</v>
      </c>
      <c r="DO205" t="s">
        <v>1309</v>
      </c>
      <c r="DP205" t="s">
        <v>1309</v>
      </c>
      <c r="DQ205" t="s">
        <v>1309</v>
      </c>
      <c r="DR205" t="s">
        <v>1310</v>
      </c>
      <c r="DS205" t="s">
        <v>1310</v>
      </c>
      <c r="DT205" t="s">
        <v>1310</v>
      </c>
      <c r="DU205" t="s">
        <v>1309</v>
      </c>
      <c r="DV205" t="s">
        <v>1309</v>
      </c>
      <c r="DW205" t="s">
        <v>1309</v>
      </c>
      <c r="DY205" t="s">
        <v>1359</v>
      </c>
      <c r="DZ205">
        <v>300</v>
      </c>
      <c r="EA205" t="s">
        <v>1319</v>
      </c>
      <c r="EC205" t="s">
        <v>1474</v>
      </c>
      <c r="ED205">
        <v>900</v>
      </c>
      <c r="EE205" t="s">
        <v>1319</v>
      </c>
      <c r="EG205" t="s">
        <v>5356</v>
      </c>
      <c r="EI205" t="s">
        <v>1307</v>
      </c>
      <c r="ET205" t="s">
        <v>1307</v>
      </c>
      <c r="EV205" t="s">
        <v>1307</v>
      </c>
      <c r="EX205" t="s">
        <v>1319</v>
      </c>
      <c r="EY205" t="s">
        <v>1319</v>
      </c>
      <c r="FA205" t="s">
        <v>2318</v>
      </c>
      <c r="FB205" t="s">
        <v>1310</v>
      </c>
      <c r="FC205" t="s">
        <v>1309</v>
      </c>
      <c r="FD205" t="s">
        <v>1309</v>
      </c>
      <c r="FE205" t="s">
        <v>1310</v>
      </c>
      <c r="FF205" t="s">
        <v>1309</v>
      </c>
      <c r="FG205" t="s">
        <v>1309</v>
      </c>
      <c r="FH205" t="s">
        <v>1310</v>
      </c>
      <c r="FI205" t="s">
        <v>1310</v>
      </c>
      <c r="FJ205" t="s">
        <v>1309</v>
      </c>
      <c r="FK205" t="s">
        <v>1309</v>
      </c>
      <c r="FL205" t="s">
        <v>1309</v>
      </c>
      <c r="FM205" t="s">
        <v>1310</v>
      </c>
      <c r="FN205" t="s">
        <v>1309</v>
      </c>
      <c r="FO205" t="s">
        <v>1309</v>
      </c>
      <c r="FP205" t="s">
        <v>1309</v>
      </c>
      <c r="FQ205" t="s">
        <v>1309</v>
      </c>
      <c r="FR205" t="s">
        <v>1309</v>
      </c>
      <c r="FT205" t="s">
        <v>1319</v>
      </c>
      <c r="FU205" t="s">
        <v>1892</v>
      </c>
      <c r="FV205" t="s">
        <v>1310</v>
      </c>
      <c r="FW205" t="s">
        <v>1309</v>
      </c>
      <c r="FX205" t="s">
        <v>1309</v>
      </c>
      <c r="FY205" t="s">
        <v>1309</v>
      </c>
      <c r="FZ205" t="s">
        <v>1309</v>
      </c>
      <c r="GA205" t="s">
        <v>1310</v>
      </c>
      <c r="GB205" t="s">
        <v>1309</v>
      </c>
      <c r="GC205" t="s">
        <v>1309</v>
      </c>
      <c r="GD205" t="s">
        <v>1310</v>
      </c>
      <c r="GE205" t="s">
        <v>1309</v>
      </c>
      <c r="GF205" t="s">
        <v>1309</v>
      </c>
      <c r="GG205" t="s">
        <v>1309</v>
      </c>
      <c r="GI205" t="s">
        <v>1324</v>
      </c>
      <c r="GJ205" t="s">
        <v>1436</v>
      </c>
      <c r="GK205" t="s">
        <v>1319</v>
      </c>
      <c r="GL205" t="s">
        <v>1619</v>
      </c>
      <c r="GM205" t="s">
        <v>1310</v>
      </c>
      <c r="GN205" t="s">
        <v>1309</v>
      </c>
      <c r="GO205" t="s">
        <v>1309</v>
      </c>
      <c r="GP205" t="s">
        <v>1309</v>
      </c>
      <c r="GQ205" t="s">
        <v>1309</v>
      </c>
      <c r="GR205" t="s">
        <v>1309</v>
      </c>
      <c r="GT205" t="s">
        <v>1325</v>
      </c>
      <c r="GU205" t="s">
        <v>1310</v>
      </c>
      <c r="GV205" t="s">
        <v>1309</v>
      </c>
      <c r="GW205" t="s">
        <v>1309</v>
      </c>
      <c r="GX205" t="s">
        <v>1309</v>
      </c>
      <c r="GY205" t="s">
        <v>1309</v>
      </c>
      <c r="GZ205" t="s">
        <v>1309</v>
      </c>
      <c r="HA205" t="s">
        <v>1309</v>
      </c>
      <c r="HB205" t="s">
        <v>1309</v>
      </c>
      <c r="HC205" t="s">
        <v>1309</v>
      </c>
      <c r="HD205" t="s">
        <v>1309</v>
      </c>
      <c r="HE205" t="s">
        <v>1309</v>
      </c>
      <c r="HF205" t="s">
        <v>1309</v>
      </c>
      <c r="HH205" t="s">
        <v>1326</v>
      </c>
      <c r="HI205" t="s">
        <v>1327</v>
      </c>
      <c r="HJ205" t="s">
        <v>1326</v>
      </c>
      <c r="HK205" t="s">
        <v>1327</v>
      </c>
      <c r="HL205" t="s">
        <v>1437</v>
      </c>
      <c r="HM205" t="s">
        <v>1326</v>
      </c>
      <c r="HN205" t="s">
        <v>1698</v>
      </c>
      <c r="HO205" t="s">
        <v>1309</v>
      </c>
      <c r="HP205" t="s">
        <v>1309</v>
      </c>
      <c r="HQ205" t="s">
        <v>1309</v>
      </c>
      <c r="HR205" t="s">
        <v>1309</v>
      </c>
      <c r="HS205" t="s">
        <v>1309</v>
      </c>
      <c r="HT205" t="s">
        <v>1309</v>
      </c>
      <c r="HU205" t="s">
        <v>1309</v>
      </c>
      <c r="HV205" t="s">
        <v>1309</v>
      </c>
      <c r="HW205" t="s">
        <v>1310</v>
      </c>
      <c r="HX205" t="s">
        <v>1309</v>
      </c>
      <c r="HY205" t="s">
        <v>1309</v>
      </c>
      <c r="HZ205" t="s">
        <v>2041</v>
      </c>
      <c r="IA205" t="s">
        <v>1307</v>
      </c>
      <c r="IQ205" t="s">
        <v>1330</v>
      </c>
      <c r="IS205" t="s">
        <v>1316</v>
      </c>
      <c r="JF205" t="s">
        <v>1316</v>
      </c>
      <c r="JG205" t="s">
        <v>1414</v>
      </c>
      <c r="JH205" t="s">
        <v>1309</v>
      </c>
      <c r="JI205" t="s">
        <v>1309</v>
      </c>
      <c r="JJ205" t="s">
        <v>1309</v>
      </c>
      <c r="JK205" t="s">
        <v>1309</v>
      </c>
      <c r="JL205" t="s">
        <v>1309</v>
      </c>
      <c r="JM205" t="s">
        <v>1309</v>
      </c>
      <c r="JN205" t="s">
        <v>1310</v>
      </c>
      <c r="JO205" t="s">
        <v>1309</v>
      </c>
      <c r="JQ205" s="92" t="s">
        <v>1524</v>
      </c>
      <c r="JR205" s="92" t="s">
        <v>1525</v>
      </c>
      <c r="JS205" s="92">
        <v>54</v>
      </c>
      <c r="JT205" s="92" t="s">
        <v>1319</v>
      </c>
      <c r="JU205" s="92" t="s">
        <v>1396</v>
      </c>
      <c r="JV205" s="92" t="s">
        <v>1526</v>
      </c>
      <c r="JW205" s="92" t="s">
        <v>1296</v>
      </c>
      <c r="JX205" s="92" t="s">
        <v>71</v>
      </c>
      <c r="JY205" s="92" t="s">
        <v>1397</v>
      </c>
      <c r="JZ205" s="92" t="s">
        <v>1337</v>
      </c>
      <c r="KA205" s="92" t="s">
        <v>4845</v>
      </c>
      <c r="KB205" s="92" t="s">
        <v>1399</v>
      </c>
      <c r="KC205" s="92" t="s">
        <v>109</v>
      </c>
      <c r="KD205" s="92" t="s">
        <v>4847</v>
      </c>
      <c r="KE205" s="92" t="s">
        <v>1340</v>
      </c>
      <c r="KF205" s="92">
        <v>2500</v>
      </c>
      <c r="KG205" s="92" t="s">
        <v>1340</v>
      </c>
      <c r="KH205" s="92" t="s">
        <v>192</v>
      </c>
      <c r="KI205" s="92" t="s">
        <v>109</v>
      </c>
      <c r="KJ205" s="92" t="s">
        <v>192</v>
      </c>
      <c r="KK205" s="92" t="s">
        <v>109</v>
      </c>
      <c r="KL205" s="92" t="s">
        <v>1425</v>
      </c>
      <c r="KM205" s="92">
        <v>3200</v>
      </c>
      <c r="KN205" s="92" t="s">
        <v>1340</v>
      </c>
      <c r="KO205" s="92" t="s">
        <v>1341</v>
      </c>
      <c r="KP205" s="92" t="s">
        <v>1460</v>
      </c>
      <c r="KQ205" s="92" t="s">
        <v>192</v>
      </c>
      <c r="KR205" s="92">
        <v>12</v>
      </c>
      <c r="KS205" s="92" t="s">
        <v>1343</v>
      </c>
      <c r="KT205" s="92" t="s">
        <v>1344</v>
      </c>
      <c r="KU205" s="92">
        <v>28</v>
      </c>
      <c r="KV205" s="92" t="s">
        <v>1461</v>
      </c>
      <c r="KW205" s="92" t="s">
        <v>1344</v>
      </c>
      <c r="KX205" s="92" t="s">
        <v>1376</v>
      </c>
      <c r="KY205" s="92" t="s">
        <v>1377</v>
      </c>
      <c r="KZ205" s="92" t="s">
        <v>1403</v>
      </c>
      <c r="LA205" s="92" t="s">
        <v>109</v>
      </c>
      <c r="LB205" s="92" t="s">
        <v>109</v>
      </c>
      <c r="LC205" s="92" t="s">
        <v>5566</v>
      </c>
      <c r="LD205" s="92" t="s">
        <v>5566</v>
      </c>
      <c r="LE205" s="92"/>
      <c r="LF205" s="92"/>
    </row>
    <row r="206" spans="1:318" x14ac:dyDescent="0.25">
      <c r="A206" t="s">
        <v>2319</v>
      </c>
      <c r="B206" t="s">
        <v>2320</v>
      </c>
      <c r="C206" t="s">
        <v>1304</v>
      </c>
      <c r="D206" t="s">
        <v>1429</v>
      </c>
      <c r="E206" t="s">
        <v>1306</v>
      </c>
      <c r="G206" t="s">
        <v>1307</v>
      </c>
      <c r="H206">
        <v>1</v>
      </c>
      <c r="J206" t="s">
        <v>1891</v>
      </c>
      <c r="K206" t="s">
        <v>1309</v>
      </c>
      <c r="L206" t="s">
        <v>1309</v>
      </c>
      <c r="M206" t="s">
        <v>1310</v>
      </c>
      <c r="N206" t="s">
        <v>1309</v>
      </c>
      <c r="O206" t="s">
        <v>1310</v>
      </c>
      <c r="P206" t="s">
        <v>1309</v>
      </c>
      <c r="Q206" t="s">
        <v>1309</v>
      </c>
      <c r="R206" t="s">
        <v>1309</v>
      </c>
      <c r="T206">
        <v>1</v>
      </c>
      <c r="U206" t="s">
        <v>1311</v>
      </c>
      <c r="V206" t="s">
        <v>1312</v>
      </c>
      <c r="W206" t="s">
        <v>1311</v>
      </c>
      <c r="X206" t="s">
        <v>1312</v>
      </c>
      <c r="Y206" t="s">
        <v>1311</v>
      </c>
      <c r="Z206" t="s">
        <v>1312</v>
      </c>
      <c r="AC206">
        <v>1</v>
      </c>
      <c r="AD206">
        <v>5000</v>
      </c>
      <c r="AE206">
        <v>3000</v>
      </c>
      <c r="AF206" t="s">
        <v>1313</v>
      </c>
      <c r="AH206" t="s">
        <v>1314</v>
      </c>
      <c r="AJ206" t="s">
        <v>1315</v>
      </c>
      <c r="AL206" t="s">
        <v>1331</v>
      </c>
      <c r="BS206" t="s">
        <v>1307</v>
      </c>
      <c r="CE206" t="s">
        <v>1414</v>
      </c>
      <c r="CF206" t="s">
        <v>1309</v>
      </c>
      <c r="CG206" t="s">
        <v>1309</v>
      </c>
      <c r="CH206" t="s">
        <v>1309</v>
      </c>
      <c r="CI206" t="s">
        <v>1309</v>
      </c>
      <c r="CJ206" t="s">
        <v>1309</v>
      </c>
      <c r="CK206" t="s">
        <v>1309</v>
      </c>
      <c r="CL206" t="s">
        <v>1309</v>
      </c>
      <c r="CM206" t="s">
        <v>1309</v>
      </c>
      <c r="CN206" t="s">
        <v>1309</v>
      </c>
      <c r="CO206" t="s">
        <v>1309</v>
      </c>
      <c r="CP206" t="s">
        <v>1309</v>
      </c>
      <c r="CQ206" t="s">
        <v>1310</v>
      </c>
      <c r="CR206" t="s">
        <v>1309</v>
      </c>
      <c r="CT206" t="s">
        <v>4435</v>
      </c>
      <c r="CV206" t="s">
        <v>1308</v>
      </c>
      <c r="CW206" t="s">
        <v>1310</v>
      </c>
      <c r="CX206" t="s">
        <v>1309</v>
      </c>
      <c r="CY206" t="s">
        <v>1309</v>
      </c>
      <c r="CZ206" t="s">
        <v>1309</v>
      </c>
      <c r="DA206" t="s">
        <v>1309</v>
      </c>
      <c r="DB206" t="s">
        <v>1309</v>
      </c>
      <c r="DC206" t="s">
        <v>1309</v>
      </c>
      <c r="DE206" t="s">
        <v>1358</v>
      </c>
      <c r="DF206" t="s">
        <v>1307</v>
      </c>
      <c r="DH206">
        <v>1800</v>
      </c>
      <c r="DI206">
        <v>300</v>
      </c>
      <c r="DJ206" t="s">
        <v>1358</v>
      </c>
      <c r="DL206">
        <v>2200</v>
      </c>
      <c r="DM206">
        <v>350</v>
      </c>
      <c r="DN206" t="s">
        <v>1432</v>
      </c>
      <c r="DO206" t="s">
        <v>1310</v>
      </c>
      <c r="DP206" t="s">
        <v>1309</v>
      </c>
      <c r="DQ206" t="s">
        <v>1309</v>
      </c>
      <c r="DR206" t="s">
        <v>1310</v>
      </c>
      <c r="DS206" t="s">
        <v>1309</v>
      </c>
      <c r="DT206" t="s">
        <v>1310</v>
      </c>
      <c r="DU206" t="s">
        <v>1309</v>
      </c>
      <c r="DV206" t="s">
        <v>1309</v>
      </c>
      <c r="DW206" t="s">
        <v>1309</v>
      </c>
      <c r="DY206" t="s">
        <v>1419</v>
      </c>
      <c r="DZ206">
        <v>400</v>
      </c>
      <c r="EA206" t="s">
        <v>1319</v>
      </c>
      <c r="EC206" t="s">
        <v>1420</v>
      </c>
      <c r="ED206">
        <v>600</v>
      </c>
      <c r="EE206" t="s">
        <v>1319</v>
      </c>
      <c r="EG206" t="s">
        <v>5357</v>
      </c>
      <c r="ET206" t="s">
        <v>1307</v>
      </c>
      <c r="EV206" t="s">
        <v>1319</v>
      </c>
      <c r="EW206" t="s">
        <v>1361</v>
      </c>
      <c r="EX206" t="s">
        <v>1307</v>
      </c>
      <c r="FT206" t="s">
        <v>1319</v>
      </c>
      <c r="FU206" t="s">
        <v>1435</v>
      </c>
      <c r="FV206" t="s">
        <v>1310</v>
      </c>
      <c r="FW206" t="s">
        <v>1309</v>
      </c>
      <c r="FX206" t="s">
        <v>1309</v>
      </c>
      <c r="FY206" t="s">
        <v>1309</v>
      </c>
      <c r="FZ206" t="s">
        <v>1309</v>
      </c>
      <c r="GA206" t="s">
        <v>1309</v>
      </c>
      <c r="GB206" t="s">
        <v>1309</v>
      </c>
      <c r="GC206" t="s">
        <v>1309</v>
      </c>
      <c r="GD206" t="s">
        <v>1309</v>
      </c>
      <c r="GE206" t="s">
        <v>1309</v>
      </c>
      <c r="GF206" t="s">
        <v>1309</v>
      </c>
      <c r="GG206" t="s">
        <v>1309</v>
      </c>
      <c r="GI206" t="s">
        <v>1324</v>
      </c>
      <c r="GJ206" t="s">
        <v>1324</v>
      </c>
      <c r="GT206" t="s">
        <v>1325</v>
      </c>
      <c r="GU206" t="s">
        <v>1310</v>
      </c>
      <c r="GV206" t="s">
        <v>1309</v>
      </c>
      <c r="GW206" t="s">
        <v>1309</v>
      </c>
      <c r="GX206" t="s">
        <v>1309</v>
      </c>
      <c r="GY206" t="s">
        <v>1309</v>
      </c>
      <c r="GZ206" t="s">
        <v>1309</v>
      </c>
      <c r="HA206" t="s">
        <v>1309</v>
      </c>
      <c r="HB206" t="s">
        <v>1309</v>
      </c>
      <c r="HC206" t="s">
        <v>1309</v>
      </c>
      <c r="HD206" t="s">
        <v>1309</v>
      </c>
      <c r="HE206" t="s">
        <v>1309</v>
      </c>
      <c r="HF206" t="s">
        <v>1309</v>
      </c>
      <c r="HH206" t="s">
        <v>1390</v>
      </c>
      <c r="HI206" t="s">
        <v>1390</v>
      </c>
      <c r="HJ206" t="s">
        <v>1363</v>
      </c>
      <c r="HK206" t="s">
        <v>1327</v>
      </c>
      <c r="HL206" t="s">
        <v>1328</v>
      </c>
      <c r="HM206" t="s">
        <v>1363</v>
      </c>
      <c r="HN206" t="s">
        <v>1626</v>
      </c>
      <c r="HO206" t="s">
        <v>1310</v>
      </c>
      <c r="HP206" t="s">
        <v>1309</v>
      </c>
      <c r="HQ206" t="s">
        <v>1309</v>
      </c>
      <c r="HR206" t="s">
        <v>1309</v>
      </c>
      <c r="HS206" t="s">
        <v>1309</v>
      </c>
      <c r="HT206" t="s">
        <v>1309</v>
      </c>
      <c r="HU206" t="s">
        <v>1309</v>
      </c>
      <c r="HV206" t="s">
        <v>1309</v>
      </c>
      <c r="HW206" t="s">
        <v>1309</v>
      </c>
      <c r="HX206" t="s">
        <v>1309</v>
      </c>
      <c r="HY206" t="s">
        <v>1309</v>
      </c>
      <c r="IA206" t="s">
        <v>1307</v>
      </c>
      <c r="IQ206" t="s">
        <v>1365</v>
      </c>
      <c r="IS206" t="s">
        <v>1316</v>
      </c>
      <c r="JF206" t="s">
        <v>1316</v>
      </c>
      <c r="JG206" t="s">
        <v>1414</v>
      </c>
      <c r="JH206" t="s">
        <v>1309</v>
      </c>
      <c r="JI206" t="s">
        <v>1309</v>
      </c>
      <c r="JJ206" t="s">
        <v>1309</v>
      </c>
      <c r="JK206" t="s">
        <v>1309</v>
      </c>
      <c r="JL206" t="s">
        <v>1309</v>
      </c>
      <c r="JM206" t="s">
        <v>1309</v>
      </c>
      <c r="JN206" t="s">
        <v>1310</v>
      </c>
      <c r="JO206" t="s">
        <v>1309</v>
      </c>
      <c r="JQ206" s="92" t="s">
        <v>1333</v>
      </c>
      <c r="JR206" s="92" t="s">
        <v>1334</v>
      </c>
      <c r="JS206" s="92">
        <v>75</v>
      </c>
      <c r="JT206" s="92" t="s">
        <v>1319</v>
      </c>
      <c r="JU206" s="92" t="s">
        <v>1335</v>
      </c>
      <c r="JV206" s="92" t="s">
        <v>1336</v>
      </c>
      <c r="JW206" s="92" t="s">
        <v>1296</v>
      </c>
      <c r="JX206" s="92" t="s">
        <v>71</v>
      </c>
      <c r="JY206" s="92" t="s">
        <v>5549</v>
      </c>
      <c r="JZ206" s="92" t="s">
        <v>1369</v>
      </c>
      <c r="KA206" s="92" t="s">
        <v>4844</v>
      </c>
      <c r="KB206" s="92" t="s">
        <v>1476</v>
      </c>
      <c r="KC206" s="92" t="s">
        <v>109</v>
      </c>
      <c r="KD206" s="92" t="s">
        <v>4844</v>
      </c>
      <c r="KE206" s="92" t="s">
        <v>5560</v>
      </c>
      <c r="KF206" s="92">
        <v>2100</v>
      </c>
      <c r="KG206" s="92" t="s">
        <v>4439</v>
      </c>
      <c r="KH206" s="92" t="s">
        <v>109</v>
      </c>
      <c r="KI206" s="92" t="s">
        <v>192</v>
      </c>
      <c r="KJ206" s="92" t="s">
        <v>109</v>
      </c>
      <c r="KK206" s="92" t="s">
        <v>192</v>
      </c>
      <c r="KL206" s="92" t="s">
        <v>1425</v>
      </c>
      <c r="KM206" s="92">
        <v>2550</v>
      </c>
      <c r="KN206" s="92" t="s">
        <v>1400</v>
      </c>
      <c r="KO206" s="92" t="s">
        <v>1425</v>
      </c>
      <c r="KP206" s="92" t="s">
        <v>1342</v>
      </c>
      <c r="KQ206" s="92" t="s">
        <v>109</v>
      </c>
      <c r="KR206" s="92">
        <v>19</v>
      </c>
      <c r="KS206" s="92" t="s">
        <v>1343</v>
      </c>
      <c r="KT206" s="92" t="s">
        <v>1344</v>
      </c>
      <c r="KU206" s="92">
        <v>24</v>
      </c>
      <c r="KV206" s="92" t="s">
        <v>1345</v>
      </c>
      <c r="KW206" s="92" t="s">
        <v>1344</v>
      </c>
      <c r="KX206" s="92" t="s">
        <v>1376</v>
      </c>
      <c r="KY206" s="92" t="s">
        <v>1377</v>
      </c>
      <c r="KZ206" s="92" t="s">
        <v>5795</v>
      </c>
      <c r="LA206" s="92" t="s">
        <v>109</v>
      </c>
      <c r="LB206" s="92" t="s">
        <v>109</v>
      </c>
      <c r="LC206" s="92" t="s">
        <v>4439</v>
      </c>
      <c r="LD206" s="92" t="s">
        <v>4439</v>
      </c>
      <c r="LE206" s="92" t="s">
        <v>192</v>
      </c>
      <c r="LF206" s="92" t="s">
        <v>192</v>
      </c>
    </row>
    <row r="207" spans="1:318" x14ac:dyDescent="0.25">
      <c r="A207" t="s">
        <v>2321</v>
      </c>
      <c r="B207" t="s">
        <v>2322</v>
      </c>
      <c r="C207" t="s">
        <v>1304</v>
      </c>
      <c r="D207" t="s">
        <v>1305</v>
      </c>
      <c r="E207" t="s">
        <v>1381</v>
      </c>
      <c r="G207" t="s">
        <v>1319</v>
      </c>
      <c r="H207">
        <v>4</v>
      </c>
      <c r="I207" t="s">
        <v>1318</v>
      </c>
      <c r="J207" t="s">
        <v>1511</v>
      </c>
      <c r="K207" t="s">
        <v>1309</v>
      </c>
      <c r="L207" t="s">
        <v>1310</v>
      </c>
      <c r="M207" t="s">
        <v>1309</v>
      </c>
      <c r="N207" t="s">
        <v>1310</v>
      </c>
      <c r="O207" t="s">
        <v>1309</v>
      </c>
      <c r="P207" t="s">
        <v>1309</v>
      </c>
      <c r="Q207" t="s">
        <v>1309</v>
      </c>
      <c r="R207" t="s">
        <v>1309</v>
      </c>
      <c r="S207">
        <v>2</v>
      </c>
      <c r="U207" t="s">
        <v>1312</v>
      </c>
      <c r="V207" t="s">
        <v>1312</v>
      </c>
      <c r="W207" t="s">
        <v>1311</v>
      </c>
      <c r="X207" t="s">
        <v>1486</v>
      </c>
      <c r="Y207" t="s">
        <v>1486</v>
      </c>
      <c r="Z207" t="s">
        <v>1486</v>
      </c>
      <c r="AA207">
        <v>0</v>
      </c>
      <c r="AC207">
        <v>4</v>
      </c>
      <c r="AF207" t="s">
        <v>1351</v>
      </c>
      <c r="AH207" t="s">
        <v>1383</v>
      </c>
      <c r="AJ207" t="s">
        <v>1315</v>
      </c>
      <c r="AL207" t="s">
        <v>1316</v>
      </c>
      <c r="BS207" t="s">
        <v>1307</v>
      </c>
      <c r="CE207" t="s">
        <v>1355</v>
      </c>
      <c r="CF207" t="s">
        <v>1309</v>
      </c>
      <c r="CG207" t="s">
        <v>1309</v>
      </c>
      <c r="CH207" t="s">
        <v>1309</v>
      </c>
      <c r="CI207" t="s">
        <v>1309</v>
      </c>
      <c r="CJ207" t="s">
        <v>1309</v>
      </c>
      <c r="CK207" t="s">
        <v>1309</v>
      </c>
      <c r="CL207" t="s">
        <v>1309</v>
      </c>
      <c r="CM207" t="s">
        <v>1309</v>
      </c>
      <c r="CN207" t="s">
        <v>1310</v>
      </c>
      <c r="CO207" t="s">
        <v>1309</v>
      </c>
      <c r="CP207" t="s">
        <v>1309</v>
      </c>
      <c r="CQ207" t="s">
        <v>1309</v>
      </c>
      <c r="CR207" t="s">
        <v>1309</v>
      </c>
      <c r="CT207" t="s">
        <v>4434</v>
      </c>
      <c r="CV207" t="s">
        <v>1488</v>
      </c>
      <c r="CW207" t="s">
        <v>1309</v>
      </c>
      <c r="CX207" t="s">
        <v>1309</v>
      </c>
      <c r="CY207" t="s">
        <v>1309</v>
      </c>
      <c r="CZ207" t="s">
        <v>1310</v>
      </c>
      <c r="DA207" t="s">
        <v>1310</v>
      </c>
      <c r="DB207" t="s">
        <v>1309</v>
      </c>
      <c r="DC207" t="s">
        <v>1309</v>
      </c>
      <c r="DE207" t="s">
        <v>1358</v>
      </c>
      <c r="DG207">
        <v>3000</v>
      </c>
      <c r="DI207">
        <v>650</v>
      </c>
      <c r="DJ207" t="s">
        <v>1358</v>
      </c>
      <c r="DK207">
        <v>3600</v>
      </c>
      <c r="DM207">
        <v>700</v>
      </c>
      <c r="DN207" t="s">
        <v>1584</v>
      </c>
      <c r="DO207" t="s">
        <v>1310</v>
      </c>
      <c r="DP207" t="s">
        <v>1309</v>
      </c>
      <c r="DQ207" t="s">
        <v>1309</v>
      </c>
      <c r="DR207" t="s">
        <v>1309</v>
      </c>
      <c r="DS207" t="s">
        <v>1310</v>
      </c>
      <c r="DT207" t="s">
        <v>1310</v>
      </c>
      <c r="DU207" t="s">
        <v>1309</v>
      </c>
      <c r="DV207" t="s">
        <v>1309</v>
      </c>
      <c r="DW207" t="s">
        <v>1309</v>
      </c>
      <c r="DY207" t="s">
        <v>1456</v>
      </c>
      <c r="DZ207">
        <v>500</v>
      </c>
      <c r="EA207" t="s">
        <v>1319</v>
      </c>
      <c r="EC207" t="s">
        <v>1457</v>
      </c>
      <c r="ED207">
        <v>1000</v>
      </c>
      <c r="EE207" t="s">
        <v>1319</v>
      </c>
      <c r="EG207" t="s">
        <v>5357</v>
      </c>
      <c r="ET207" t="s">
        <v>1434</v>
      </c>
      <c r="EV207" t="s">
        <v>1319</v>
      </c>
      <c r="EW207" t="s">
        <v>1529</v>
      </c>
      <c r="EX207" t="s">
        <v>1307</v>
      </c>
      <c r="EY207" t="s">
        <v>1307</v>
      </c>
      <c r="EZ207" t="s">
        <v>1307</v>
      </c>
      <c r="FT207" t="s">
        <v>1319</v>
      </c>
      <c r="FU207" t="s">
        <v>2323</v>
      </c>
      <c r="FV207" t="s">
        <v>1310</v>
      </c>
      <c r="FW207" t="s">
        <v>1309</v>
      </c>
      <c r="FX207" t="s">
        <v>1309</v>
      </c>
      <c r="FY207" t="s">
        <v>1309</v>
      </c>
      <c r="FZ207" t="s">
        <v>1309</v>
      </c>
      <c r="GA207" t="s">
        <v>1309</v>
      </c>
      <c r="GB207" t="s">
        <v>1309</v>
      </c>
      <c r="GC207" t="s">
        <v>1309</v>
      </c>
      <c r="GD207" t="s">
        <v>1310</v>
      </c>
      <c r="GE207" t="s">
        <v>1309</v>
      </c>
      <c r="GF207" t="s">
        <v>1309</v>
      </c>
      <c r="GG207" t="s">
        <v>1309</v>
      </c>
      <c r="GI207" t="s">
        <v>1324</v>
      </c>
      <c r="GJ207" t="s">
        <v>1324</v>
      </c>
      <c r="GT207" t="s">
        <v>1325</v>
      </c>
      <c r="GU207" t="s">
        <v>1310</v>
      </c>
      <c r="GV207" t="s">
        <v>1309</v>
      </c>
      <c r="GW207" t="s">
        <v>1309</v>
      </c>
      <c r="GX207" t="s">
        <v>1309</v>
      </c>
      <c r="GY207" t="s">
        <v>1309</v>
      </c>
      <c r="GZ207" t="s">
        <v>1309</v>
      </c>
      <c r="HA207" t="s">
        <v>1309</v>
      </c>
      <c r="HB207" t="s">
        <v>1309</v>
      </c>
      <c r="HC207" t="s">
        <v>1309</v>
      </c>
      <c r="HD207" t="s">
        <v>1309</v>
      </c>
      <c r="HE207" t="s">
        <v>1309</v>
      </c>
      <c r="HF207" t="s">
        <v>1309</v>
      </c>
      <c r="HH207" t="s">
        <v>1390</v>
      </c>
      <c r="HI207" t="s">
        <v>1390</v>
      </c>
      <c r="HJ207" t="s">
        <v>1390</v>
      </c>
      <c r="HK207" t="s">
        <v>1327</v>
      </c>
      <c r="HL207" t="s">
        <v>1437</v>
      </c>
      <c r="HM207" t="s">
        <v>1390</v>
      </c>
      <c r="HN207" t="s">
        <v>1698</v>
      </c>
      <c r="HO207" t="s">
        <v>1309</v>
      </c>
      <c r="HP207" t="s">
        <v>1309</v>
      </c>
      <c r="HQ207" t="s">
        <v>1309</v>
      </c>
      <c r="HR207" t="s">
        <v>1309</v>
      </c>
      <c r="HS207" t="s">
        <v>1309</v>
      </c>
      <c r="HT207" t="s">
        <v>1309</v>
      </c>
      <c r="HU207" t="s">
        <v>1309</v>
      </c>
      <c r="HV207" t="s">
        <v>1309</v>
      </c>
      <c r="HW207" t="s">
        <v>1310</v>
      </c>
      <c r="HX207" t="s">
        <v>1309</v>
      </c>
      <c r="HY207" t="s">
        <v>1309</v>
      </c>
      <c r="HZ207" t="s">
        <v>2041</v>
      </c>
      <c r="IA207" t="s">
        <v>1319</v>
      </c>
      <c r="IB207" t="s">
        <v>1718</v>
      </c>
      <c r="IC207" t="s">
        <v>1309</v>
      </c>
      <c r="ID207" t="s">
        <v>1309</v>
      </c>
      <c r="IE207" t="s">
        <v>1309</v>
      </c>
      <c r="IF207" t="s">
        <v>1310</v>
      </c>
      <c r="IG207" t="s">
        <v>1310</v>
      </c>
      <c r="IH207" t="s">
        <v>1309</v>
      </c>
      <c r="II207" t="s">
        <v>1309</v>
      </c>
      <c r="IJ207" t="s">
        <v>1309</v>
      </c>
      <c r="IK207" t="s">
        <v>1310</v>
      </c>
      <c r="IL207" t="s">
        <v>1309</v>
      </c>
      <c r="IM207" t="s">
        <v>1309</v>
      </c>
      <c r="IN207" t="s">
        <v>1309</v>
      </c>
      <c r="IO207" t="s">
        <v>1309</v>
      </c>
      <c r="IQ207" t="s">
        <v>1330</v>
      </c>
      <c r="IS207" t="s">
        <v>1316</v>
      </c>
      <c r="JF207" t="s">
        <v>1354</v>
      </c>
      <c r="JG207" t="s">
        <v>1507</v>
      </c>
      <c r="JH207" t="s">
        <v>1309</v>
      </c>
      <c r="JI207" t="s">
        <v>1309</v>
      </c>
      <c r="JJ207" t="s">
        <v>1310</v>
      </c>
      <c r="JK207" t="s">
        <v>1310</v>
      </c>
      <c r="JL207" t="s">
        <v>1309</v>
      </c>
      <c r="JM207" t="s">
        <v>1309</v>
      </c>
      <c r="JN207" t="s">
        <v>1309</v>
      </c>
      <c r="JO207" t="s">
        <v>1309</v>
      </c>
      <c r="JQ207" s="92" t="s">
        <v>1524</v>
      </c>
      <c r="JR207" s="92" t="s">
        <v>1525</v>
      </c>
      <c r="JS207" s="92">
        <v>39</v>
      </c>
      <c r="JT207" s="92" t="s">
        <v>1319</v>
      </c>
      <c r="JU207" s="92" t="s">
        <v>1575</v>
      </c>
      <c r="JV207" s="92" t="s">
        <v>1526</v>
      </c>
      <c r="JW207" s="92" t="s">
        <v>1296</v>
      </c>
      <c r="JX207" s="92" t="s">
        <v>71</v>
      </c>
      <c r="JY207" s="92" t="s">
        <v>5549</v>
      </c>
      <c r="JZ207" s="92" t="s">
        <v>1337</v>
      </c>
      <c r="KA207" s="92" t="s">
        <v>4845</v>
      </c>
      <c r="KB207" s="92" t="s">
        <v>1415</v>
      </c>
      <c r="KC207" s="92" t="s">
        <v>192</v>
      </c>
      <c r="KD207" s="92" t="s">
        <v>4848</v>
      </c>
      <c r="KE207" s="92" t="s">
        <v>1340</v>
      </c>
      <c r="KF207" s="92">
        <v>3650</v>
      </c>
      <c r="KG207" s="92" t="s">
        <v>1340</v>
      </c>
      <c r="KH207" s="92" t="s">
        <v>192</v>
      </c>
      <c r="KI207" s="92" t="s">
        <v>109</v>
      </c>
      <c r="KJ207" s="92" t="s">
        <v>192</v>
      </c>
      <c r="KK207" s="92" t="s">
        <v>109</v>
      </c>
      <c r="KL207" s="92" t="s">
        <v>1341</v>
      </c>
      <c r="KM207" s="92">
        <v>4300</v>
      </c>
      <c r="KN207" s="92" t="s">
        <v>1340</v>
      </c>
      <c r="KO207" s="92" t="s">
        <v>1341</v>
      </c>
      <c r="KP207" s="92" t="s">
        <v>1375</v>
      </c>
      <c r="KQ207" s="92" t="s">
        <v>192</v>
      </c>
      <c r="KR207" s="92">
        <v>14</v>
      </c>
      <c r="KS207" s="92" t="s">
        <v>1345</v>
      </c>
      <c r="KT207" s="92" t="s">
        <v>1344</v>
      </c>
      <c r="KU207" s="92">
        <v>23</v>
      </c>
      <c r="KV207" s="92" t="s">
        <v>1461</v>
      </c>
      <c r="KW207" s="92" t="s">
        <v>1344</v>
      </c>
      <c r="KX207" s="92" t="s">
        <v>1376</v>
      </c>
      <c r="KY207" s="92" t="s">
        <v>1377</v>
      </c>
      <c r="KZ207" s="92" t="s">
        <v>1378</v>
      </c>
      <c r="LA207" s="92" t="s">
        <v>109</v>
      </c>
      <c r="LB207" s="92" t="s">
        <v>109</v>
      </c>
      <c r="LC207" s="92" t="s">
        <v>5566</v>
      </c>
      <c r="LD207" s="92" t="s">
        <v>5566</v>
      </c>
      <c r="LE207" s="92"/>
      <c r="LF207" s="92"/>
    </row>
    <row r="208" spans="1:318" x14ac:dyDescent="0.25">
      <c r="A208" t="s">
        <v>2324</v>
      </c>
      <c r="B208" t="s">
        <v>2325</v>
      </c>
      <c r="C208" t="s">
        <v>1304</v>
      </c>
      <c r="D208" t="s">
        <v>1305</v>
      </c>
      <c r="E208" t="s">
        <v>1381</v>
      </c>
      <c r="G208" t="s">
        <v>1319</v>
      </c>
      <c r="H208">
        <v>3</v>
      </c>
      <c r="I208" t="s">
        <v>1358</v>
      </c>
      <c r="J208" t="s">
        <v>1614</v>
      </c>
      <c r="K208" t="s">
        <v>1309</v>
      </c>
      <c r="L208" t="s">
        <v>1310</v>
      </c>
      <c r="M208" t="s">
        <v>1310</v>
      </c>
      <c r="N208" t="s">
        <v>1309</v>
      </c>
      <c r="O208" t="s">
        <v>1310</v>
      </c>
      <c r="P208" t="s">
        <v>1309</v>
      </c>
      <c r="Q208" t="s">
        <v>1309</v>
      </c>
      <c r="R208" t="s">
        <v>1309</v>
      </c>
      <c r="S208">
        <v>1</v>
      </c>
      <c r="T208">
        <v>1</v>
      </c>
      <c r="U208" t="s">
        <v>1486</v>
      </c>
      <c r="V208" t="s">
        <v>1312</v>
      </c>
      <c r="W208" t="s">
        <v>1312</v>
      </c>
      <c r="X208" t="s">
        <v>1312</v>
      </c>
      <c r="Y208" t="s">
        <v>1312</v>
      </c>
      <c r="Z208" t="s">
        <v>1312</v>
      </c>
      <c r="AC208">
        <v>3</v>
      </c>
      <c r="AD208">
        <v>6500</v>
      </c>
      <c r="AE208">
        <v>5000</v>
      </c>
      <c r="AF208" t="s">
        <v>1313</v>
      </c>
      <c r="AH208" t="s">
        <v>1314</v>
      </c>
      <c r="AJ208" t="s">
        <v>1315</v>
      </c>
      <c r="AL208" t="s">
        <v>1316</v>
      </c>
      <c r="BS208" t="s">
        <v>1307</v>
      </c>
      <c r="CE208" t="s">
        <v>1355</v>
      </c>
      <c r="CF208" t="s">
        <v>1309</v>
      </c>
      <c r="CG208" t="s">
        <v>1309</v>
      </c>
      <c r="CH208" t="s">
        <v>1309</v>
      </c>
      <c r="CI208" t="s">
        <v>1309</v>
      </c>
      <c r="CJ208" t="s">
        <v>1309</v>
      </c>
      <c r="CK208" t="s">
        <v>1309</v>
      </c>
      <c r="CL208" t="s">
        <v>1309</v>
      </c>
      <c r="CM208" t="s">
        <v>1309</v>
      </c>
      <c r="CN208" t="s">
        <v>1310</v>
      </c>
      <c r="CO208" t="s">
        <v>1309</v>
      </c>
      <c r="CP208" t="s">
        <v>1309</v>
      </c>
      <c r="CQ208" t="s">
        <v>1309</v>
      </c>
      <c r="CR208" t="s">
        <v>1309</v>
      </c>
      <c r="CT208" t="s">
        <v>4434</v>
      </c>
      <c r="CV208" t="s">
        <v>1357</v>
      </c>
      <c r="CW208" t="s">
        <v>1309</v>
      </c>
      <c r="CX208" t="s">
        <v>1309</v>
      </c>
      <c r="CY208" t="s">
        <v>1309</v>
      </c>
      <c r="CZ208" t="s">
        <v>1309</v>
      </c>
      <c r="DA208" t="s">
        <v>1310</v>
      </c>
      <c r="DB208" t="s">
        <v>1309</v>
      </c>
      <c r="DC208" t="s">
        <v>1309</v>
      </c>
      <c r="DE208" t="s">
        <v>1318</v>
      </c>
      <c r="DG208">
        <v>700</v>
      </c>
      <c r="DI208">
        <v>200</v>
      </c>
      <c r="DJ208" t="s">
        <v>1318</v>
      </c>
      <c r="DK208">
        <v>1600</v>
      </c>
      <c r="DM208">
        <v>300</v>
      </c>
      <c r="DN208" t="s">
        <v>1584</v>
      </c>
      <c r="DO208" t="s">
        <v>1310</v>
      </c>
      <c r="DP208" t="s">
        <v>1309</v>
      </c>
      <c r="DQ208" t="s">
        <v>1309</v>
      </c>
      <c r="DR208" t="s">
        <v>1309</v>
      </c>
      <c r="DS208" t="s">
        <v>1310</v>
      </c>
      <c r="DT208" t="s">
        <v>1310</v>
      </c>
      <c r="DU208" t="s">
        <v>1309</v>
      </c>
      <c r="DV208" t="s">
        <v>1309</v>
      </c>
      <c r="DW208" t="s">
        <v>1309</v>
      </c>
      <c r="DY208" t="s">
        <v>1481</v>
      </c>
      <c r="DZ208">
        <v>660</v>
      </c>
      <c r="EA208" t="s">
        <v>1319</v>
      </c>
      <c r="EC208" t="s">
        <v>1624</v>
      </c>
      <c r="ED208">
        <v>800</v>
      </c>
      <c r="EE208" t="s">
        <v>1319</v>
      </c>
      <c r="EG208" t="s">
        <v>5356</v>
      </c>
      <c r="EI208" t="s">
        <v>1307</v>
      </c>
      <c r="ET208" t="s">
        <v>1544</v>
      </c>
      <c r="EV208" t="s">
        <v>1307</v>
      </c>
      <c r="EX208" t="s">
        <v>1319</v>
      </c>
      <c r="EY208" t="s">
        <v>1319</v>
      </c>
      <c r="FA208" t="s">
        <v>2326</v>
      </c>
      <c r="FB208" t="s">
        <v>1310</v>
      </c>
      <c r="FC208" t="s">
        <v>1309</v>
      </c>
      <c r="FD208" t="s">
        <v>1309</v>
      </c>
      <c r="FE208" t="s">
        <v>1309</v>
      </c>
      <c r="FF208" t="s">
        <v>1309</v>
      </c>
      <c r="FG208" t="s">
        <v>1309</v>
      </c>
      <c r="FH208" t="s">
        <v>1309</v>
      </c>
      <c r="FI208" t="s">
        <v>1310</v>
      </c>
      <c r="FJ208" t="s">
        <v>1309</v>
      </c>
      <c r="FK208" t="s">
        <v>1309</v>
      </c>
      <c r="FL208" t="s">
        <v>1309</v>
      </c>
      <c r="FM208" t="s">
        <v>1309</v>
      </c>
      <c r="FN208" t="s">
        <v>1309</v>
      </c>
      <c r="FO208" t="s">
        <v>1309</v>
      </c>
      <c r="FP208" t="s">
        <v>1309</v>
      </c>
      <c r="FQ208" t="s">
        <v>1309</v>
      </c>
      <c r="FR208" t="s">
        <v>1309</v>
      </c>
      <c r="FT208" t="s">
        <v>1307</v>
      </c>
      <c r="GI208" t="s">
        <v>1324</v>
      </c>
      <c r="GJ208" t="s">
        <v>1324</v>
      </c>
      <c r="GT208" t="s">
        <v>1325</v>
      </c>
      <c r="GU208" t="s">
        <v>1310</v>
      </c>
      <c r="GV208" t="s">
        <v>1309</v>
      </c>
      <c r="GW208" t="s">
        <v>1309</v>
      </c>
      <c r="GX208" t="s">
        <v>1309</v>
      </c>
      <c r="GY208" t="s">
        <v>1309</v>
      </c>
      <c r="GZ208" t="s">
        <v>1309</v>
      </c>
      <c r="HA208" t="s">
        <v>1309</v>
      </c>
      <c r="HB208" t="s">
        <v>1309</v>
      </c>
      <c r="HC208" t="s">
        <v>1309</v>
      </c>
      <c r="HD208" t="s">
        <v>1309</v>
      </c>
      <c r="HE208" t="s">
        <v>1309</v>
      </c>
      <c r="HF208" t="s">
        <v>1309</v>
      </c>
      <c r="HH208" t="s">
        <v>1390</v>
      </c>
      <c r="HI208" t="s">
        <v>1390</v>
      </c>
      <c r="HJ208" t="s">
        <v>1390</v>
      </c>
      <c r="HK208" t="s">
        <v>1390</v>
      </c>
      <c r="HL208" t="s">
        <v>1328</v>
      </c>
      <c r="HM208" t="s">
        <v>1390</v>
      </c>
      <c r="HN208" t="s">
        <v>1550</v>
      </c>
      <c r="HO208" t="s">
        <v>1310</v>
      </c>
      <c r="HP208" t="s">
        <v>1309</v>
      </c>
      <c r="HQ208" t="s">
        <v>1309</v>
      </c>
      <c r="HR208" t="s">
        <v>1310</v>
      </c>
      <c r="HS208" t="s">
        <v>1309</v>
      </c>
      <c r="HT208" t="s">
        <v>1309</v>
      </c>
      <c r="HU208" t="s">
        <v>1309</v>
      </c>
      <c r="HV208" t="s">
        <v>1309</v>
      </c>
      <c r="HW208" t="s">
        <v>1309</v>
      </c>
      <c r="HX208" t="s">
        <v>1309</v>
      </c>
      <c r="HY208" t="s">
        <v>1309</v>
      </c>
      <c r="IA208" t="s">
        <v>1307</v>
      </c>
      <c r="IQ208" t="s">
        <v>1330</v>
      </c>
      <c r="IS208" t="s">
        <v>1316</v>
      </c>
      <c r="JF208" t="s">
        <v>1331</v>
      </c>
      <c r="JG208" t="s">
        <v>1523</v>
      </c>
      <c r="JH208" t="s">
        <v>1309</v>
      </c>
      <c r="JI208" t="s">
        <v>1309</v>
      </c>
      <c r="JJ208" t="s">
        <v>1309</v>
      </c>
      <c r="JK208" t="s">
        <v>1310</v>
      </c>
      <c r="JL208" t="s">
        <v>1309</v>
      </c>
      <c r="JM208" t="s">
        <v>1309</v>
      </c>
      <c r="JN208" t="s">
        <v>1309</v>
      </c>
      <c r="JO208" t="s">
        <v>1309</v>
      </c>
      <c r="JQ208" s="92" t="s">
        <v>1333</v>
      </c>
      <c r="JR208" s="92" t="s">
        <v>1334</v>
      </c>
      <c r="JS208" s="92">
        <v>43</v>
      </c>
      <c r="JT208" s="92" t="s">
        <v>1319</v>
      </c>
      <c r="JU208" s="92" t="s">
        <v>1396</v>
      </c>
      <c r="JV208" s="92" t="s">
        <v>1336</v>
      </c>
      <c r="JW208" s="92" t="s">
        <v>1296</v>
      </c>
      <c r="JX208" s="92" t="s">
        <v>71</v>
      </c>
      <c r="JY208" s="92" t="s">
        <v>1397</v>
      </c>
      <c r="JZ208" s="92" t="s">
        <v>1337</v>
      </c>
      <c r="KA208" s="92" t="s">
        <v>4845</v>
      </c>
      <c r="KB208" s="92" t="s">
        <v>1370</v>
      </c>
      <c r="KC208" s="92" t="s">
        <v>192</v>
      </c>
      <c r="KD208" s="92" t="s">
        <v>4848</v>
      </c>
      <c r="KE208" s="92" t="s">
        <v>1424</v>
      </c>
      <c r="KF208" s="92">
        <v>900</v>
      </c>
      <c r="KG208" s="92" t="s">
        <v>4438</v>
      </c>
      <c r="KH208" s="92" t="s">
        <v>192</v>
      </c>
      <c r="KI208" s="92" t="s">
        <v>109</v>
      </c>
      <c r="KJ208" s="92" t="s">
        <v>192</v>
      </c>
      <c r="KK208" s="92" t="s">
        <v>109</v>
      </c>
      <c r="KL208" s="92" t="s">
        <v>1374</v>
      </c>
      <c r="KM208" s="92">
        <v>1900</v>
      </c>
      <c r="KN208" s="92" t="s">
        <v>4439</v>
      </c>
      <c r="KO208" s="92" t="s">
        <v>1440</v>
      </c>
      <c r="KP208" s="92" t="s">
        <v>1375</v>
      </c>
      <c r="KQ208" s="92" t="s">
        <v>192</v>
      </c>
      <c r="KR208" s="92">
        <v>73</v>
      </c>
      <c r="KS208" s="92" t="s">
        <v>1345</v>
      </c>
      <c r="KT208" s="92" t="s">
        <v>1344</v>
      </c>
      <c r="KU208" s="92">
        <v>42</v>
      </c>
      <c r="KV208" s="92" t="s">
        <v>1441</v>
      </c>
      <c r="KW208" s="92" t="s">
        <v>1344</v>
      </c>
      <c r="KX208" s="92" t="s">
        <v>1376</v>
      </c>
      <c r="KY208" s="92" t="s">
        <v>1377</v>
      </c>
      <c r="KZ208" s="92" t="s">
        <v>1403</v>
      </c>
      <c r="LA208" s="92" t="s">
        <v>109</v>
      </c>
      <c r="LB208" s="92" t="s">
        <v>109</v>
      </c>
      <c r="LC208" s="92" t="s">
        <v>4438</v>
      </c>
      <c r="LD208" s="92" t="s">
        <v>4439</v>
      </c>
      <c r="LE208" s="92" t="s">
        <v>109</v>
      </c>
      <c r="LF208" s="92" t="s">
        <v>192</v>
      </c>
    </row>
    <row r="209" spans="1:318" x14ac:dyDescent="0.25">
      <c r="A209" t="s">
        <v>2327</v>
      </c>
      <c r="B209" t="s">
        <v>2328</v>
      </c>
      <c r="C209" t="s">
        <v>1304</v>
      </c>
      <c r="D209" t="s">
        <v>1305</v>
      </c>
      <c r="E209" t="s">
        <v>1381</v>
      </c>
      <c r="G209" t="s">
        <v>1319</v>
      </c>
      <c r="H209">
        <v>3</v>
      </c>
      <c r="I209" t="s">
        <v>1358</v>
      </c>
      <c r="J209" t="s">
        <v>1382</v>
      </c>
      <c r="K209" t="s">
        <v>1309</v>
      </c>
      <c r="L209" t="s">
        <v>1310</v>
      </c>
      <c r="M209" t="s">
        <v>1309</v>
      </c>
      <c r="N209" t="s">
        <v>1309</v>
      </c>
      <c r="O209" t="s">
        <v>1309</v>
      </c>
      <c r="P209" t="s">
        <v>1310</v>
      </c>
      <c r="Q209" t="s">
        <v>1309</v>
      </c>
      <c r="R209" t="s">
        <v>1309</v>
      </c>
      <c r="S209">
        <v>2</v>
      </c>
      <c r="U209" t="s">
        <v>1312</v>
      </c>
      <c r="V209" t="s">
        <v>1312</v>
      </c>
      <c r="W209" t="s">
        <v>1312</v>
      </c>
      <c r="X209" t="s">
        <v>1312</v>
      </c>
      <c r="Y209" t="s">
        <v>1312</v>
      </c>
      <c r="Z209" t="s">
        <v>1312</v>
      </c>
      <c r="AC209">
        <v>3</v>
      </c>
      <c r="AD209">
        <v>7000</v>
      </c>
      <c r="AE209">
        <v>7000</v>
      </c>
      <c r="AF209" t="s">
        <v>1351</v>
      </c>
      <c r="AH209" t="s">
        <v>1315</v>
      </c>
      <c r="AJ209" t="s">
        <v>1353</v>
      </c>
      <c r="AL209" t="s">
        <v>1316</v>
      </c>
      <c r="BA209" t="s">
        <v>1316</v>
      </c>
      <c r="BS209" t="s">
        <v>1307</v>
      </c>
      <c r="CE209" t="s">
        <v>1590</v>
      </c>
      <c r="CF209" t="s">
        <v>1310</v>
      </c>
      <c r="CG209" t="s">
        <v>1309</v>
      </c>
      <c r="CH209" t="s">
        <v>1309</v>
      </c>
      <c r="CI209" t="s">
        <v>1309</v>
      </c>
      <c r="CJ209" t="s">
        <v>1309</v>
      </c>
      <c r="CK209" t="s">
        <v>1309</v>
      </c>
      <c r="CL209" t="s">
        <v>1309</v>
      </c>
      <c r="CM209" t="s">
        <v>1309</v>
      </c>
      <c r="CN209" t="s">
        <v>1310</v>
      </c>
      <c r="CO209" t="s">
        <v>1309</v>
      </c>
      <c r="CP209" t="s">
        <v>1309</v>
      </c>
      <c r="CQ209" t="s">
        <v>1309</v>
      </c>
      <c r="CR209" t="s">
        <v>1309</v>
      </c>
      <c r="CT209" t="s">
        <v>4436</v>
      </c>
      <c r="CV209" t="s">
        <v>1308</v>
      </c>
      <c r="CW209" t="s">
        <v>1310</v>
      </c>
      <c r="CX209" t="s">
        <v>1309</v>
      </c>
      <c r="CY209" t="s">
        <v>1309</v>
      </c>
      <c r="CZ209" t="s">
        <v>1309</v>
      </c>
      <c r="DA209" t="s">
        <v>1309</v>
      </c>
      <c r="DB209" t="s">
        <v>1309</v>
      </c>
      <c r="DC209" t="s">
        <v>1309</v>
      </c>
      <c r="DE209" t="s">
        <v>1358</v>
      </c>
      <c r="DF209" t="s">
        <v>1307</v>
      </c>
      <c r="DH209">
        <v>2000</v>
      </c>
      <c r="DI209">
        <v>2300</v>
      </c>
      <c r="DJ209" t="s">
        <v>1318</v>
      </c>
      <c r="DL209">
        <v>2500</v>
      </c>
      <c r="DM209">
        <v>3000</v>
      </c>
      <c r="DN209" t="s">
        <v>1584</v>
      </c>
      <c r="DO209" t="s">
        <v>1310</v>
      </c>
      <c r="DP209" t="s">
        <v>1309</v>
      </c>
      <c r="DQ209" t="s">
        <v>1309</v>
      </c>
      <c r="DR209" t="s">
        <v>1309</v>
      </c>
      <c r="DS209" t="s">
        <v>1310</v>
      </c>
      <c r="DT209" t="s">
        <v>1310</v>
      </c>
      <c r="DU209" t="s">
        <v>1309</v>
      </c>
      <c r="DV209" t="s">
        <v>1309</v>
      </c>
      <c r="DW209" t="s">
        <v>1309</v>
      </c>
      <c r="DY209" t="s">
        <v>1446</v>
      </c>
      <c r="DZ209">
        <v>800</v>
      </c>
      <c r="EA209" t="s">
        <v>1319</v>
      </c>
      <c r="EC209" t="s">
        <v>1854</v>
      </c>
      <c r="ED209">
        <v>800</v>
      </c>
      <c r="EE209" t="s">
        <v>1319</v>
      </c>
      <c r="EG209" t="s">
        <v>5356</v>
      </c>
      <c r="EI209" t="s">
        <v>1307</v>
      </c>
      <c r="ET209" t="s">
        <v>1544</v>
      </c>
      <c r="EV209" t="s">
        <v>1319</v>
      </c>
      <c r="EW209" t="s">
        <v>1409</v>
      </c>
      <c r="EX209" t="s">
        <v>1307</v>
      </c>
      <c r="EZ209" t="s">
        <v>1307</v>
      </c>
      <c r="FT209" t="s">
        <v>1307</v>
      </c>
      <c r="GI209" t="s">
        <v>1324</v>
      </c>
      <c r="GJ209" t="s">
        <v>1436</v>
      </c>
      <c r="GK209" t="s">
        <v>1307</v>
      </c>
      <c r="GT209" t="s">
        <v>1325</v>
      </c>
      <c r="GU209" t="s">
        <v>1310</v>
      </c>
      <c r="GV209" t="s">
        <v>1309</v>
      </c>
      <c r="GW209" t="s">
        <v>1309</v>
      </c>
      <c r="GX209" t="s">
        <v>1309</v>
      </c>
      <c r="GY209" t="s">
        <v>1309</v>
      </c>
      <c r="GZ209" t="s">
        <v>1309</v>
      </c>
      <c r="HA209" t="s">
        <v>1309</v>
      </c>
      <c r="HB209" t="s">
        <v>1309</v>
      </c>
      <c r="HC209" t="s">
        <v>1309</v>
      </c>
      <c r="HD209" t="s">
        <v>1309</v>
      </c>
      <c r="HE209" t="s">
        <v>1309</v>
      </c>
      <c r="HF209" t="s">
        <v>1309</v>
      </c>
      <c r="HH209" t="s">
        <v>1390</v>
      </c>
      <c r="HI209" t="s">
        <v>1308</v>
      </c>
      <c r="HJ209" t="s">
        <v>1326</v>
      </c>
      <c r="HK209" t="s">
        <v>1327</v>
      </c>
      <c r="HL209" t="s">
        <v>1328</v>
      </c>
      <c r="HM209" t="s">
        <v>1390</v>
      </c>
      <c r="HN209" t="s">
        <v>1329</v>
      </c>
      <c r="HO209" t="s">
        <v>1309</v>
      </c>
      <c r="HP209" t="s">
        <v>1309</v>
      </c>
      <c r="HQ209" t="s">
        <v>1309</v>
      </c>
      <c r="HR209" t="s">
        <v>1310</v>
      </c>
      <c r="HS209" t="s">
        <v>1309</v>
      </c>
      <c r="HT209" t="s">
        <v>1309</v>
      </c>
      <c r="HU209" t="s">
        <v>1309</v>
      </c>
      <c r="HV209" t="s">
        <v>1309</v>
      </c>
      <c r="HW209" t="s">
        <v>1309</v>
      </c>
      <c r="HX209" t="s">
        <v>1309</v>
      </c>
      <c r="HY209" t="s">
        <v>1309</v>
      </c>
      <c r="IA209" t="s">
        <v>1307</v>
      </c>
      <c r="IQ209" t="s">
        <v>1330</v>
      </c>
      <c r="IS209" t="s">
        <v>1316</v>
      </c>
      <c r="JF209" t="s">
        <v>1331</v>
      </c>
      <c r="JG209" t="s">
        <v>1698</v>
      </c>
      <c r="JH209" t="s">
        <v>1309</v>
      </c>
      <c r="JI209" t="s">
        <v>1309</v>
      </c>
      <c r="JJ209" t="s">
        <v>1309</v>
      </c>
      <c r="JK209" t="s">
        <v>1309</v>
      </c>
      <c r="JL209" t="s">
        <v>1309</v>
      </c>
      <c r="JM209" t="s">
        <v>1310</v>
      </c>
      <c r="JN209" t="s">
        <v>1309</v>
      </c>
      <c r="JO209" t="s">
        <v>1309</v>
      </c>
      <c r="JP209" t="s">
        <v>2285</v>
      </c>
      <c r="JQ209" s="92" t="s">
        <v>1593</v>
      </c>
      <c r="JR209" s="92" t="s">
        <v>1698</v>
      </c>
      <c r="JS209" s="92">
        <v>30</v>
      </c>
      <c r="JT209" s="92" t="s">
        <v>1319</v>
      </c>
      <c r="JU209" s="92" t="s">
        <v>1396</v>
      </c>
      <c r="JV209" s="92" t="s">
        <v>1526</v>
      </c>
      <c r="JW209" s="92" t="s">
        <v>1296</v>
      </c>
      <c r="JX209" s="92" t="s">
        <v>70</v>
      </c>
      <c r="JY209" s="92" t="s">
        <v>1397</v>
      </c>
      <c r="JZ209" s="92" t="s">
        <v>1398</v>
      </c>
      <c r="KA209" s="92" t="s">
        <v>4845</v>
      </c>
      <c r="KB209" s="92" t="s">
        <v>1399</v>
      </c>
      <c r="KC209" s="92" t="s">
        <v>109</v>
      </c>
      <c r="KD209" s="92" t="s">
        <v>4848</v>
      </c>
      <c r="KE209" s="92" t="s">
        <v>1424</v>
      </c>
      <c r="KF209" s="92">
        <v>4300</v>
      </c>
      <c r="KG209" s="92" t="s">
        <v>1400</v>
      </c>
      <c r="KH209" s="92" t="s">
        <v>109</v>
      </c>
      <c r="KI209" s="92" t="s">
        <v>192</v>
      </c>
      <c r="KJ209" s="92" t="s">
        <v>109</v>
      </c>
      <c r="KK209" s="92" t="s">
        <v>192</v>
      </c>
      <c r="KL209" s="92" t="s">
        <v>1341</v>
      </c>
      <c r="KM209" s="92">
        <v>5500</v>
      </c>
      <c r="KN209" s="92" t="s">
        <v>1426</v>
      </c>
      <c r="KO209" s="92" t="s">
        <v>1341</v>
      </c>
      <c r="KP209" s="92" t="s">
        <v>1401</v>
      </c>
      <c r="KQ209" s="92" t="s">
        <v>109</v>
      </c>
      <c r="KR209" s="92"/>
      <c r="KS209" s="92" t="s">
        <v>1466</v>
      </c>
      <c r="KT209" s="92" t="s">
        <v>1344</v>
      </c>
      <c r="KU209" s="92"/>
      <c r="KV209" s="92" t="s">
        <v>1441</v>
      </c>
      <c r="KW209" s="92" t="s">
        <v>1344</v>
      </c>
      <c r="KX209" s="92" t="s">
        <v>1376</v>
      </c>
      <c r="KY209" s="92" t="s">
        <v>1377</v>
      </c>
      <c r="KZ209" s="92" t="s">
        <v>1403</v>
      </c>
      <c r="LA209" s="92" t="s">
        <v>109</v>
      </c>
      <c r="LB209" s="92" t="s">
        <v>109</v>
      </c>
      <c r="LC209" s="92" t="s">
        <v>4439</v>
      </c>
      <c r="LD209" s="92" t="s">
        <v>4439</v>
      </c>
      <c r="LE209" s="92" t="s">
        <v>192</v>
      </c>
      <c r="LF209" s="92" t="s">
        <v>192</v>
      </c>
    </row>
    <row r="210" spans="1:318" x14ac:dyDescent="0.25">
      <c r="A210" t="s">
        <v>2329</v>
      </c>
      <c r="B210" t="s">
        <v>2330</v>
      </c>
      <c r="C210" t="s">
        <v>1304</v>
      </c>
      <c r="D210" t="s">
        <v>1305</v>
      </c>
      <c r="E210" t="s">
        <v>1381</v>
      </c>
      <c r="G210" t="s">
        <v>1319</v>
      </c>
      <c r="H210">
        <v>3</v>
      </c>
      <c r="I210" t="s">
        <v>1358</v>
      </c>
      <c r="J210" t="s">
        <v>1406</v>
      </c>
      <c r="K210" t="s">
        <v>1309</v>
      </c>
      <c r="L210" t="s">
        <v>1310</v>
      </c>
      <c r="M210" t="s">
        <v>1309</v>
      </c>
      <c r="N210" t="s">
        <v>1309</v>
      </c>
      <c r="O210" t="s">
        <v>1309</v>
      </c>
      <c r="P210" t="s">
        <v>1309</v>
      </c>
      <c r="Q210" t="s">
        <v>1309</v>
      </c>
      <c r="R210" t="s">
        <v>1309</v>
      </c>
      <c r="S210">
        <v>1</v>
      </c>
      <c r="U210" t="s">
        <v>1312</v>
      </c>
      <c r="V210" t="s">
        <v>1312</v>
      </c>
      <c r="W210" t="s">
        <v>1312</v>
      </c>
      <c r="X210" t="s">
        <v>1312</v>
      </c>
      <c r="Y210" t="s">
        <v>1312</v>
      </c>
      <c r="Z210" t="s">
        <v>1312</v>
      </c>
      <c r="AC210">
        <v>2</v>
      </c>
      <c r="AD210">
        <v>12000</v>
      </c>
      <c r="AE210">
        <v>12000</v>
      </c>
      <c r="AF210" t="s">
        <v>1313</v>
      </c>
      <c r="AH210" t="s">
        <v>1383</v>
      </c>
      <c r="AJ210" t="s">
        <v>1315</v>
      </c>
      <c r="AL210" t="s">
        <v>1316</v>
      </c>
      <c r="BS210" t="s">
        <v>1307</v>
      </c>
      <c r="CE210" t="s">
        <v>1355</v>
      </c>
      <c r="CF210" t="s">
        <v>1309</v>
      </c>
      <c r="CG210" t="s">
        <v>1309</v>
      </c>
      <c r="CH210" t="s">
        <v>1309</v>
      </c>
      <c r="CI210" t="s">
        <v>1309</v>
      </c>
      <c r="CJ210" t="s">
        <v>1309</v>
      </c>
      <c r="CK210" t="s">
        <v>1309</v>
      </c>
      <c r="CL210" t="s">
        <v>1309</v>
      </c>
      <c r="CM210" t="s">
        <v>1309</v>
      </c>
      <c r="CN210" t="s">
        <v>1310</v>
      </c>
      <c r="CO210" t="s">
        <v>1309</v>
      </c>
      <c r="CP210" t="s">
        <v>1309</v>
      </c>
      <c r="CQ210" t="s">
        <v>1309</v>
      </c>
      <c r="CR210" t="s">
        <v>1309</v>
      </c>
      <c r="CT210" t="s">
        <v>4434</v>
      </c>
      <c r="CV210" t="s">
        <v>1357</v>
      </c>
      <c r="CW210" t="s">
        <v>1309</v>
      </c>
      <c r="CX210" t="s">
        <v>1309</v>
      </c>
      <c r="CY210" t="s">
        <v>1309</v>
      </c>
      <c r="CZ210" t="s">
        <v>1309</v>
      </c>
      <c r="DA210" t="s">
        <v>1310</v>
      </c>
      <c r="DB210" t="s">
        <v>1309</v>
      </c>
      <c r="DC210" t="s">
        <v>1309</v>
      </c>
      <c r="DE210" t="s">
        <v>1358</v>
      </c>
      <c r="DG210">
        <v>2500</v>
      </c>
      <c r="DI210">
        <v>1500</v>
      </c>
      <c r="DJ210" t="s">
        <v>1358</v>
      </c>
      <c r="DK210">
        <v>4800</v>
      </c>
      <c r="DM210">
        <v>2000</v>
      </c>
      <c r="DN210" t="s">
        <v>1953</v>
      </c>
      <c r="DO210" t="s">
        <v>1310</v>
      </c>
      <c r="DP210" t="s">
        <v>1310</v>
      </c>
      <c r="DQ210" t="s">
        <v>1309</v>
      </c>
      <c r="DR210" t="s">
        <v>1309</v>
      </c>
      <c r="DS210" t="s">
        <v>1310</v>
      </c>
      <c r="DT210" t="s">
        <v>1310</v>
      </c>
      <c r="DU210" t="s">
        <v>1309</v>
      </c>
      <c r="DV210" t="s">
        <v>1309</v>
      </c>
      <c r="DW210" t="s">
        <v>1309</v>
      </c>
      <c r="DY210" t="s">
        <v>1408</v>
      </c>
      <c r="DZ210">
        <v>300</v>
      </c>
      <c r="EA210" t="s">
        <v>1319</v>
      </c>
      <c r="EC210" t="s">
        <v>1658</v>
      </c>
      <c r="ED210">
        <v>500</v>
      </c>
      <c r="EE210" t="s">
        <v>1319</v>
      </c>
      <c r="EG210" t="s">
        <v>5356</v>
      </c>
      <c r="EI210" t="s">
        <v>1307</v>
      </c>
      <c r="ET210" t="s">
        <v>1307</v>
      </c>
      <c r="EV210" t="s">
        <v>1319</v>
      </c>
      <c r="EW210" t="s">
        <v>1414</v>
      </c>
      <c r="EX210" t="s">
        <v>1319</v>
      </c>
      <c r="EY210" t="s">
        <v>1307</v>
      </c>
      <c r="FA210" t="s">
        <v>1697</v>
      </c>
      <c r="FB210" t="s">
        <v>1309</v>
      </c>
      <c r="FC210" t="s">
        <v>1309</v>
      </c>
      <c r="FD210" t="s">
        <v>1309</v>
      </c>
      <c r="FE210" t="s">
        <v>1309</v>
      </c>
      <c r="FF210" t="s">
        <v>1309</v>
      </c>
      <c r="FG210" t="s">
        <v>1309</v>
      </c>
      <c r="FH210" t="s">
        <v>1309</v>
      </c>
      <c r="FI210" t="s">
        <v>1310</v>
      </c>
      <c r="FJ210" t="s">
        <v>1309</v>
      </c>
      <c r="FK210" t="s">
        <v>1309</v>
      </c>
      <c r="FL210" t="s">
        <v>1309</v>
      </c>
      <c r="FM210" t="s">
        <v>1309</v>
      </c>
      <c r="FN210" t="s">
        <v>1309</v>
      </c>
      <c r="FO210" t="s">
        <v>1309</v>
      </c>
      <c r="FP210" t="s">
        <v>1309</v>
      </c>
      <c r="FQ210" t="s">
        <v>1309</v>
      </c>
      <c r="FR210" t="s">
        <v>1309</v>
      </c>
      <c r="FT210" t="s">
        <v>1307</v>
      </c>
      <c r="GI210" t="s">
        <v>1324</v>
      </c>
      <c r="GJ210" t="s">
        <v>1324</v>
      </c>
      <c r="GT210" t="s">
        <v>1325</v>
      </c>
      <c r="GU210" t="s">
        <v>1310</v>
      </c>
      <c r="GV210" t="s">
        <v>1309</v>
      </c>
      <c r="GW210" t="s">
        <v>1309</v>
      </c>
      <c r="GX210" t="s">
        <v>1309</v>
      </c>
      <c r="GY210" t="s">
        <v>1309</v>
      </c>
      <c r="GZ210" t="s">
        <v>1309</v>
      </c>
      <c r="HA210" t="s">
        <v>1309</v>
      </c>
      <c r="HB210" t="s">
        <v>1309</v>
      </c>
      <c r="HC210" t="s">
        <v>1309</v>
      </c>
      <c r="HD210" t="s">
        <v>1309</v>
      </c>
      <c r="HE210" t="s">
        <v>1309</v>
      </c>
      <c r="HF210" t="s">
        <v>1309</v>
      </c>
      <c r="HH210" t="s">
        <v>1326</v>
      </c>
      <c r="HI210" t="s">
        <v>1326</v>
      </c>
      <c r="HJ210" t="s">
        <v>1326</v>
      </c>
      <c r="HK210" t="s">
        <v>1327</v>
      </c>
      <c r="HL210" t="s">
        <v>1328</v>
      </c>
      <c r="HM210" t="s">
        <v>1390</v>
      </c>
      <c r="HN210" t="s">
        <v>1329</v>
      </c>
      <c r="HO210" t="s">
        <v>1309</v>
      </c>
      <c r="HP210" t="s">
        <v>1309</v>
      </c>
      <c r="HQ210" t="s">
        <v>1309</v>
      </c>
      <c r="HR210" t="s">
        <v>1310</v>
      </c>
      <c r="HS210" t="s">
        <v>1309</v>
      </c>
      <c r="HT210" t="s">
        <v>1309</v>
      </c>
      <c r="HU210" t="s">
        <v>1309</v>
      </c>
      <c r="HV210" t="s">
        <v>1309</v>
      </c>
      <c r="HW210" t="s">
        <v>1309</v>
      </c>
      <c r="HX210" t="s">
        <v>1309</v>
      </c>
      <c r="HY210" t="s">
        <v>1309</v>
      </c>
      <c r="IA210" t="s">
        <v>1414</v>
      </c>
      <c r="IQ210" t="s">
        <v>1330</v>
      </c>
      <c r="IS210" t="s">
        <v>1316</v>
      </c>
      <c r="JF210" t="s">
        <v>1331</v>
      </c>
      <c r="JG210" t="s">
        <v>1414</v>
      </c>
      <c r="JH210" t="s">
        <v>1309</v>
      </c>
      <c r="JI210" t="s">
        <v>1309</v>
      </c>
      <c r="JJ210" t="s">
        <v>1309</v>
      </c>
      <c r="JK210" t="s">
        <v>1309</v>
      </c>
      <c r="JL210" t="s">
        <v>1309</v>
      </c>
      <c r="JM210" t="s">
        <v>1309</v>
      </c>
      <c r="JN210" t="s">
        <v>1310</v>
      </c>
      <c r="JO210" t="s">
        <v>1309</v>
      </c>
      <c r="JQ210" s="92" t="s">
        <v>1333</v>
      </c>
      <c r="JR210" s="92" t="s">
        <v>1334</v>
      </c>
      <c r="JS210" s="92">
        <v>27</v>
      </c>
      <c r="JT210" s="92" t="s">
        <v>1319</v>
      </c>
      <c r="JU210" s="92" t="s">
        <v>1396</v>
      </c>
      <c r="JV210" s="92" t="s">
        <v>1336</v>
      </c>
      <c r="JW210" s="92" t="s">
        <v>1296</v>
      </c>
      <c r="JX210" s="92" t="s">
        <v>71</v>
      </c>
      <c r="JY210" s="92" t="s">
        <v>1397</v>
      </c>
      <c r="JZ210" s="92" t="s">
        <v>1398</v>
      </c>
      <c r="KA210" s="92" t="s">
        <v>4845</v>
      </c>
      <c r="KB210" s="92" t="s">
        <v>1415</v>
      </c>
      <c r="KC210" s="92" t="s">
        <v>109</v>
      </c>
      <c r="KD210" s="92" t="s">
        <v>4847</v>
      </c>
      <c r="KE210" s="92" t="s">
        <v>1371</v>
      </c>
      <c r="KF210" s="92">
        <v>4000</v>
      </c>
      <c r="KG210" s="92" t="s">
        <v>4439</v>
      </c>
      <c r="KH210" s="92" t="s">
        <v>192</v>
      </c>
      <c r="KI210" s="92" t="s">
        <v>109</v>
      </c>
      <c r="KJ210" s="92" t="s">
        <v>192</v>
      </c>
      <c r="KK210" s="92" t="s">
        <v>109</v>
      </c>
      <c r="KL210" s="92" t="s">
        <v>1341</v>
      </c>
      <c r="KM210" s="92">
        <v>6800</v>
      </c>
      <c r="KN210" s="92" t="s">
        <v>1400</v>
      </c>
      <c r="KO210" s="92" t="s">
        <v>1341</v>
      </c>
      <c r="KP210" s="92" t="s">
        <v>1375</v>
      </c>
      <c r="KQ210" s="92" t="s">
        <v>192</v>
      </c>
      <c r="KR210" s="92">
        <v>8</v>
      </c>
      <c r="KS210" s="92" t="s">
        <v>1343</v>
      </c>
      <c r="KT210" s="92" t="s">
        <v>1344</v>
      </c>
      <c r="KU210" s="92">
        <v>7</v>
      </c>
      <c r="KV210" s="92" t="s">
        <v>1345</v>
      </c>
      <c r="KW210" s="92" t="s">
        <v>1344</v>
      </c>
      <c r="KX210" s="92" t="s">
        <v>1346</v>
      </c>
      <c r="KY210" s="92" t="s">
        <v>1347</v>
      </c>
      <c r="KZ210" s="92" t="s">
        <v>1403</v>
      </c>
      <c r="LA210" s="92" t="s">
        <v>109</v>
      </c>
      <c r="LB210" s="92" t="s">
        <v>109</v>
      </c>
      <c r="LC210" s="92" t="s">
        <v>4438</v>
      </c>
      <c r="LD210" s="92" t="s">
        <v>4439</v>
      </c>
      <c r="LE210" s="92" t="s">
        <v>192</v>
      </c>
      <c r="LF210" s="92" t="s">
        <v>192</v>
      </c>
    </row>
    <row r="211" spans="1:318" x14ac:dyDescent="0.25">
      <c r="A211" t="s">
        <v>2331</v>
      </c>
      <c r="B211" t="s">
        <v>2332</v>
      </c>
      <c r="C211" t="s">
        <v>1304</v>
      </c>
      <c r="D211" t="s">
        <v>1305</v>
      </c>
      <c r="E211" t="s">
        <v>1381</v>
      </c>
      <c r="G211" t="s">
        <v>1319</v>
      </c>
      <c r="H211">
        <v>2</v>
      </c>
      <c r="I211" t="s">
        <v>1307</v>
      </c>
      <c r="J211" t="s">
        <v>1430</v>
      </c>
      <c r="K211" t="s">
        <v>1309</v>
      </c>
      <c r="L211" t="s">
        <v>1309</v>
      </c>
      <c r="M211" t="s">
        <v>1310</v>
      </c>
      <c r="N211" t="s">
        <v>1309</v>
      </c>
      <c r="O211" t="s">
        <v>1309</v>
      </c>
      <c r="P211" t="s">
        <v>1309</v>
      </c>
      <c r="Q211" t="s">
        <v>1309</v>
      </c>
      <c r="R211" t="s">
        <v>1309</v>
      </c>
      <c r="T211">
        <v>2</v>
      </c>
      <c r="U211" t="s">
        <v>1311</v>
      </c>
      <c r="V211" t="s">
        <v>1312</v>
      </c>
      <c r="W211" t="s">
        <v>1311</v>
      </c>
      <c r="X211" t="s">
        <v>1312</v>
      </c>
      <c r="Y211" t="s">
        <v>1312</v>
      </c>
      <c r="Z211" t="s">
        <v>1312</v>
      </c>
      <c r="AC211">
        <v>2</v>
      </c>
      <c r="AD211">
        <v>10000</v>
      </c>
      <c r="AE211">
        <v>8000</v>
      </c>
      <c r="AF211" t="s">
        <v>1313</v>
      </c>
      <c r="AH211" t="s">
        <v>1314</v>
      </c>
      <c r="AJ211" t="s">
        <v>1315</v>
      </c>
      <c r="AL211" t="s">
        <v>1331</v>
      </c>
      <c r="BS211" t="s">
        <v>1307</v>
      </c>
      <c r="CE211" t="s">
        <v>1355</v>
      </c>
      <c r="CF211" t="s">
        <v>1309</v>
      </c>
      <c r="CG211" t="s">
        <v>1309</v>
      </c>
      <c r="CH211" t="s">
        <v>1309</v>
      </c>
      <c r="CI211" t="s">
        <v>1309</v>
      </c>
      <c r="CJ211" t="s">
        <v>1309</v>
      </c>
      <c r="CK211" t="s">
        <v>1309</v>
      </c>
      <c r="CL211" t="s">
        <v>1309</v>
      </c>
      <c r="CM211" t="s">
        <v>1309</v>
      </c>
      <c r="CN211" t="s">
        <v>1310</v>
      </c>
      <c r="CO211" t="s">
        <v>1309</v>
      </c>
      <c r="CP211" t="s">
        <v>1309</v>
      </c>
      <c r="CQ211" t="s">
        <v>1309</v>
      </c>
      <c r="CR211" t="s">
        <v>1309</v>
      </c>
      <c r="CT211" t="s">
        <v>4434</v>
      </c>
      <c r="CV211" t="s">
        <v>1308</v>
      </c>
      <c r="CW211" t="s">
        <v>1310</v>
      </c>
      <c r="CX211" t="s">
        <v>1309</v>
      </c>
      <c r="CY211" t="s">
        <v>1309</v>
      </c>
      <c r="CZ211" t="s">
        <v>1309</v>
      </c>
      <c r="DA211" t="s">
        <v>1309</v>
      </c>
      <c r="DB211" t="s">
        <v>1309</v>
      </c>
      <c r="DC211" t="s">
        <v>1309</v>
      </c>
      <c r="DE211" t="s">
        <v>1358</v>
      </c>
      <c r="DG211">
        <v>1800</v>
      </c>
      <c r="DI211">
        <v>400</v>
      </c>
      <c r="DJ211" t="s">
        <v>1358</v>
      </c>
      <c r="DK211">
        <v>2400</v>
      </c>
      <c r="DM211">
        <v>500</v>
      </c>
      <c r="DN211" t="s">
        <v>1584</v>
      </c>
      <c r="DO211" t="s">
        <v>1310</v>
      </c>
      <c r="DP211" t="s">
        <v>1309</v>
      </c>
      <c r="DQ211" t="s">
        <v>1309</v>
      </c>
      <c r="DR211" t="s">
        <v>1309</v>
      </c>
      <c r="DS211" t="s">
        <v>1310</v>
      </c>
      <c r="DT211" t="s">
        <v>1310</v>
      </c>
      <c r="DU211" t="s">
        <v>1309</v>
      </c>
      <c r="DV211" t="s">
        <v>1309</v>
      </c>
      <c r="DW211" t="s">
        <v>1309</v>
      </c>
      <c r="DY211" t="s">
        <v>1481</v>
      </c>
      <c r="DZ211">
        <v>300</v>
      </c>
      <c r="EA211" t="s">
        <v>1386</v>
      </c>
      <c r="EC211" t="s">
        <v>1624</v>
      </c>
      <c r="ED211">
        <v>1000</v>
      </c>
      <c r="EE211" t="s">
        <v>1386</v>
      </c>
      <c r="EG211" t="s">
        <v>5356</v>
      </c>
      <c r="EI211" t="s">
        <v>1307</v>
      </c>
      <c r="ET211" t="s">
        <v>1307</v>
      </c>
      <c r="EV211" t="s">
        <v>1319</v>
      </c>
      <c r="EW211" t="s">
        <v>1421</v>
      </c>
      <c r="EX211" t="s">
        <v>1319</v>
      </c>
      <c r="EY211" t="s">
        <v>1319</v>
      </c>
      <c r="FA211" t="s">
        <v>2333</v>
      </c>
      <c r="FB211" t="s">
        <v>1310</v>
      </c>
      <c r="FC211" t="s">
        <v>1310</v>
      </c>
      <c r="FD211" t="s">
        <v>1310</v>
      </c>
      <c r="FE211" t="s">
        <v>1309</v>
      </c>
      <c r="FF211" t="s">
        <v>1309</v>
      </c>
      <c r="FG211" t="s">
        <v>1309</v>
      </c>
      <c r="FH211" t="s">
        <v>1310</v>
      </c>
      <c r="FI211" t="s">
        <v>1309</v>
      </c>
      <c r="FJ211" t="s">
        <v>1309</v>
      </c>
      <c r="FK211" t="s">
        <v>1309</v>
      </c>
      <c r="FL211" t="s">
        <v>1309</v>
      </c>
      <c r="FM211" t="s">
        <v>1310</v>
      </c>
      <c r="FN211" t="s">
        <v>1310</v>
      </c>
      <c r="FO211" t="s">
        <v>1309</v>
      </c>
      <c r="FP211" t="s">
        <v>1309</v>
      </c>
      <c r="FQ211" t="s">
        <v>1309</v>
      </c>
      <c r="FR211" t="s">
        <v>1309</v>
      </c>
      <c r="FT211" t="s">
        <v>1319</v>
      </c>
      <c r="FU211" t="s">
        <v>2040</v>
      </c>
      <c r="FV211" t="s">
        <v>1310</v>
      </c>
      <c r="FW211" t="s">
        <v>1310</v>
      </c>
      <c r="FX211" t="s">
        <v>1309</v>
      </c>
      <c r="FY211" t="s">
        <v>1309</v>
      </c>
      <c r="FZ211" t="s">
        <v>1309</v>
      </c>
      <c r="GA211" t="s">
        <v>1310</v>
      </c>
      <c r="GB211" t="s">
        <v>1309</v>
      </c>
      <c r="GC211" t="s">
        <v>1309</v>
      </c>
      <c r="GD211" t="s">
        <v>1310</v>
      </c>
      <c r="GE211" t="s">
        <v>1309</v>
      </c>
      <c r="GF211" t="s">
        <v>1309</v>
      </c>
      <c r="GG211" t="s">
        <v>1309</v>
      </c>
      <c r="GI211" t="s">
        <v>1324</v>
      </c>
      <c r="GJ211" t="s">
        <v>1324</v>
      </c>
      <c r="GT211" t="s">
        <v>1325</v>
      </c>
      <c r="GU211" t="s">
        <v>1310</v>
      </c>
      <c r="GV211" t="s">
        <v>1309</v>
      </c>
      <c r="GW211" t="s">
        <v>1309</v>
      </c>
      <c r="GX211" t="s">
        <v>1309</v>
      </c>
      <c r="GY211" t="s">
        <v>1309</v>
      </c>
      <c r="GZ211" t="s">
        <v>1309</v>
      </c>
      <c r="HA211" t="s">
        <v>1309</v>
      </c>
      <c r="HB211" t="s">
        <v>1309</v>
      </c>
      <c r="HC211" t="s">
        <v>1309</v>
      </c>
      <c r="HD211" t="s">
        <v>1309</v>
      </c>
      <c r="HE211" t="s">
        <v>1309</v>
      </c>
      <c r="HF211" t="s">
        <v>1309</v>
      </c>
      <c r="HH211" t="s">
        <v>1326</v>
      </c>
      <c r="HI211" t="s">
        <v>1326</v>
      </c>
      <c r="HJ211" t="s">
        <v>1326</v>
      </c>
      <c r="HK211" t="s">
        <v>1327</v>
      </c>
      <c r="HL211" t="s">
        <v>1328</v>
      </c>
      <c r="HM211" t="s">
        <v>1326</v>
      </c>
      <c r="HN211" t="s">
        <v>1698</v>
      </c>
      <c r="HO211" t="s">
        <v>1309</v>
      </c>
      <c r="HP211" t="s">
        <v>1309</v>
      </c>
      <c r="HQ211" t="s">
        <v>1309</v>
      </c>
      <c r="HR211" t="s">
        <v>1309</v>
      </c>
      <c r="HS211" t="s">
        <v>1309</v>
      </c>
      <c r="HT211" t="s">
        <v>1309</v>
      </c>
      <c r="HU211" t="s">
        <v>1309</v>
      </c>
      <c r="HV211" t="s">
        <v>1309</v>
      </c>
      <c r="HW211" t="s">
        <v>1310</v>
      </c>
      <c r="HX211" t="s">
        <v>1309</v>
      </c>
      <c r="HY211" t="s">
        <v>1309</v>
      </c>
      <c r="HZ211" t="s">
        <v>2041</v>
      </c>
      <c r="IA211" t="s">
        <v>1319</v>
      </c>
      <c r="IB211" t="s">
        <v>1579</v>
      </c>
      <c r="IC211" t="s">
        <v>1309</v>
      </c>
      <c r="ID211" t="s">
        <v>1309</v>
      </c>
      <c r="IE211" t="s">
        <v>1309</v>
      </c>
      <c r="IF211" t="s">
        <v>1309</v>
      </c>
      <c r="IG211" t="s">
        <v>1310</v>
      </c>
      <c r="IH211" t="s">
        <v>1309</v>
      </c>
      <c r="II211" t="s">
        <v>1309</v>
      </c>
      <c r="IJ211" t="s">
        <v>1309</v>
      </c>
      <c r="IK211" t="s">
        <v>1310</v>
      </c>
      <c r="IL211" t="s">
        <v>1309</v>
      </c>
      <c r="IM211" t="s">
        <v>1309</v>
      </c>
      <c r="IN211" t="s">
        <v>1309</v>
      </c>
      <c r="IO211" t="s">
        <v>1309</v>
      </c>
      <c r="IQ211" t="s">
        <v>1308</v>
      </c>
      <c r="IS211" t="s">
        <v>1316</v>
      </c>
      <c r="JF211" t="s">
        <v>1331</v>
      </c>
      <c r="JG211" t="s">
        <v>1414</v>
      </c>
      <c r="JH211" t="s">
        <v>1309</v>
      </c>
      <c r="JI211" t="s">
        <v>1309</v>
      </c>
      <c r="JJ211" t="s">
        <v>1309</v>
      </c>
      <c r="JK211" t="s">
        <v>1309</v>
      </c>
      <c r="JL211" t="s">
        <v>1309</v>
      </c>
      <c r="JM211" t="s">
        <v>1309</v>
      </c>
      <c r="JN211" t="s">
        <v>1310</v>
      </c>
      <c r="JO211" t="s">
        <v>1309</v>
      </c>
      <c r="JQ211" s="92" t="s">
        <v>1524</v>
      </c>
      <c r="JR211" s="92" t="s">
        <v>1525</v>
      </c>
      <c r="JS211" s="92">
        <v>62</v>
      </c>
      <c r="JT211" s="92" t="s">
        <v>1319</v>
      </c>
      <c r="JU211" s="92" t="s">
        <v>1575</v>
      </c>
      <c r="JV211" s="92" t="s">
        <v>1526</v>
      </c>
      <c r="JW211" s="92" t="s">
        <v>1296</v>
      </c>
      <c r="JX211" s="92" t="s">
        <v>71</v>
      </c>
      <c r="JY211" s="92" t="s">
        <v>5549</v>
      </c>
      <c r="JZ211" s="92" t="s">
        <v>1369</v>
      </c>
      <c r="KA211" s="92" t="s">
        <v>4845</v>
      </c>
      <c r="KB211" s="92" t="s">
        <v>1476</v>
      </c>
      <c r="KC211" s="92" t="s">
        <v>109</v>
      </c>
      <c r="KD211" s="92" t="s">
        <v>4847</v>
      </c>
      <c r="KE211" s="92" t="s">
        <v>1424</v>
      </c>
      <c r="KF211" s="92">
        <v>2200</v>
      </c>
      <c r="KG211" s="92" t="s">
        <v>4438</v>
      </c>
      <c r="KH211" s="92" t="s">
        <v>192</v>
      </c>
      <c r="KI211" s="92" t="s">
        <v>109</v>
      </c>
      <c r="KJ211" s="92" t="s">
        <v>192</v>
      </c>
      <c r="KK211" s="92" t="s">
        <v>109</v>
      </c>
      <c r="KL211" s="92" t="s">
        <v>1425</v>
      </c>
      <c r="KM211" s="92">
        <v>2900</v>
      </c>
      <c r="KN211" s="92" t="s">
        <v>4439</v>
      </c>
      <c r="KO211" s="92" t="s">
        <v>1425</v>
      </c>
      <c r="KP211" s="92" t="s">
        <v>1460</v>
      </c>
      <c r="KQ211" s="92" t="s">
        <v>192</v>
      </c>
      <c r="KR211" s="92">
        <v>14</v>
      </c>
      <c r="KS211" s="92" t="s">
        <v>1343</v>
      </c>
      <c r="KT211" s="92" t="s">
        <v>1402</v>
      </c>
      <c r="KU211" s="92">
        <v>34</v>
      </c>
      <c r="KV211" s="92" t="s">
        <v>1461</v>
      </c>
      <c r="KW211" s="92" t="s">
        <v>1402</v>
      </c>
      <c r="KX211" s="92" t="s">
        <v>1376</v>
      </c>
      <c r="KY211" s="92" t="s">
        <v>1377</v>
      </c>
      <c r="KZ211" s="92" t="s">
        <v>1378</v>
      </c>
      <c r="LA211" s="92" t="s">
        <v>109</v>
      </c>
      <c r="LB211" s="92" t="s">
        <v>109</v>
      </c>
      <c r="LC211" s="92" t="s">
        <v>4438</v>
      </c>
      <c r="LD211" s="92" t="s">
        <v>4439</v>
      </c>
      <c r="LE211" s="92" t="s">
        <v>192</v>
      </c>
      <c r="LF211" s="92" t="s">
        <v>192</v>
      </c>
    </row>
    <row r="212" spans="1:318" x14ac:dyDescent="0.25">
      <c r="A212" t="s">
        <v>2334</v>
      </c>
      <c r="B212" t="s">
        <v>2335</v>
      </c>
      <c r="C212" t="s">
        <v>1304</v>
      </c>
      <c r="D212" t="s">
        <v>1305</v>
      </c>
      <c r="E212" t="s">
        <v>1381</v>
      </c>
      <c r="G212" t="s">
        <v>1319</v>
      </c>
      <c r="H212">
        <v>4</v>
      </c>
      <c r="I212" t="s">
        <v>1358</v>
      </c>
      <c r="J212" t="s">
        <v>2336</v>
      </c>
      <c r="K212" t="s">
        <v>1310</v>
      </c>
      <c r="L212" t="s">
        <v>1310</v>
      </c>
      <c r="M212" t="s">
        <v>1309</v>
      </c>
      <c r="N212" t="s">
        <v>1309</v>
      </c>
      <c r="O212" t="s">
        <v>1309</v>
      </c>
      <c r="P212" t="s">
        <v>1310</v>
      </c>
      <c r="Q212" t="s">
        <v>1309</v>
      </c>
      <c r="R212" t="s">
        <v>1309</v>
      </c>
      <c r="S212">
        <v>3</v>
      </c>
      <c r="U212" t="s">
        <v>1312</v>
      </c>
      <c r="V212" t="s">
        <v>1312</v>
      </c>
      <c r="W212" t="s">
        <v>1312</v>
      </c>
      <c r="X212" t="s">
        <v>1312</v>
      </c>
      <c r="Y212" t="s">
        <v>1312</v>
      </c>
      <c r="Z212" t="s">
        <v>1312</v>
      </c>
      <c r="AC212">
        <v>4</v>
      </c>
      <c r="AD212">
        <v>10000</v>
      </c>
      <c r="AE212">
        <v>7000</v>
      </c>
      <c r="AF212" t="s">
        <v>1313</v>
      </c>
      <c r="AH212" t="s">
        <v>1383</v>
      </c>
      <c r="AJ212" t="s">
        <v>1315</v>
      </c>
      <c r="AL212" t="s">
        <v>1354</v>
      </c>
      <c r="BS212" t="s">
        <v>1307</v>
      </c>
      <c r="CE212" t="s">
        <v>1414</v>
      </c>
      <c r="CF212" t="s">
        <v>1309</v>
      </c>
      <c r="CG212" t="s">
        <v>1309</v>
      </c>
      <c r="CH212" t="s">
        <v>1309</v>
      </c>
      <c r="CI212" t="s">
        <v>1309</v>
      </c>
      <c r="CJ212" t="s">
        <v>1309</v>
      </c>
      <c r="CK212" t="s">
        <v>1309</v>
      </c>
      <c r="CL212" t="s">
        <v>1309</v>
      </c>
      <c r="CM212" t="s">
        <v>1309</v>
      </c>
      <c r="CN212" t="s">
        <v>1309</v>
      </c>
      <c r="CO212" t="s">
        <v>1309</v>
      </c>
      <c r="CP212" t="s">
        <v>1309</v>
      </c>
      <c r="CQ212" t="s">
        <v>1310</v>
      </c>
      <c r="CR212" t="s">
        <v>1309</v>
      </c>
      <c r="CT212" t="s">
        <v>4435</v>
      </c>
      <c r="CV212" t="s">
        <v>1308</v>
      </c>
      <c r="CW212" t="s">
        <v>1310</v>
      </c>
      <c r="CX212" t="s">
        <v>1309</v>
      </c>
      <c r="CY212" t="s">
        <v>1309</v>
      </c>
      <c r="CZ212" t="s">
        <v>1309</v>
      </c>
      <c r="DA212" t="s">
        <v>1309</v>
      </c>
      <c r="DB212" t="s">
        <v>1309</v>
      </c>
      <c r="DC212" t="s">
        <v>1309</v>
      </c>
      <c r="DE212" t="s">
        <v>1358</v>
      </c>
      <c r="DF212" t="s">
        <v>1307</v>
      </c>
      <c r="DH212">
        <v>1300</v>
      </c>
      <c r="DI212">
        <v>500</v>
      </c>
      <c r="DJ212" t="s">
        <v>1358</v>
      </c>
      <c r="DL212">
        <v>2000</v>
      </c>
      <c r="DM212">
        <v>500</v>
      </c>
      <c r="DN212" t="s">
        <v>1676</v>
      </c>
      <c r="DO212" t="s">
        <v>1309</v>
      </c>
      <c r="DP212" t="s">
        <v>1309</v>
      </c>
      <c r="DQ212" t="s">
        <v>1309</v>
      </c>
      <c r="DR212" t="s">
        <v>1309</v>
      </c>
      <c r="DS212" t="s">
        <v>1310</v>
      </c>
      <c r="DT212" t="s">
        <v>1310</v>
      </c>
      <c r="DU212" t="s">
        <v>1309</v>
      </c>
      <c r="DV212" t="s">
        <v>1309</v>
      </c>
      <c r="DW212" t="s">
        <v>1309</v>
      </c>
      <c r="DY212" t="s">
        <v>1456</v>
      </c>
      <c r="DZ212">
        <v>350</v>
      </c>
      <c r="EA212" t="s">
        <v>1319</v>
      </c>
      <c r="EC212" t="s">
        <v>1360</v>
      </c>
      <c r="ED212">
        <v>600</v>
      </c>
      <c r="EE212" t="s">
        <v>1319</v>
      </c>
      <c r="EG212" t="s">
        <v>5356</v>
      </c>
      <c r="EI212" t="s">
        <v>1307</v>
      </c>
      <c r="ET212" t="s">
        <v>1307</v>
      </c>
      <c r="EV212" t="s">
        <v>1319</v>
      </c>
      <c r="EW212" t="s">
        <v>1361</v>
      </c>
      <c r="EX212" t="s">
        <v>1307</v>
      </c>
      <c r="FT212" t="s">
        <v>1307</v>
      </c>
      <c r="GI212" t="s">
        <v>1324</v>
      </c>
      <c r="GJ212" t="s">
        <v>1324</v>
      </c>
      <c r="GT212" t="s">
        <v>1325</v>
      </c>
      <c r="GU212" t="s">
        <v>1310</v>
      </c>
      <c r="GV212" t="s">
        <v>1309</v>
      </c>
      <c r="GW212" t="s">
        <v>1309</v>
      </c>
      <c r="GX212" t="s">
        <v>1309</v>
      </c>
      <c r="GY212" t="s">
        <v>1309</v>
      </c>
      <c r="GZ212" t="s">
        <v>1309</v>
      </c>
      <c r="HA212" t="s">
        <v>1309</v>
      </c>
      <c r="HB212" t="s">
        <v>1309</v>
      </c>
      <c r="HC212" t="s">
        <v>1309</v>
      </c>
      <c r="HD212" t="s">
        <v>1309</v>
      </c>
      <c r="HE212" t="s">
        <v>1309</v>
      </c>
      <c r="HF212" t="s">
        <v>1309</v>
      </c>
      <c r="HH212" t="s">
        <v>1363</v>
      </c>
      <c r="HI212" t="s">
        <v>1363</v>
      </c>
      <c r="HJ212" t="s">
        <v>1363</v>
      </c>
      <c r="HK212" t="s">
        <v>1327</v>
      </c>
      <c r="HL212" t="s">
        <v>1364</v>
      </c>
      <c r="HM212" t="s">
        <v>1363</v>
      </c>
      <c r="IA212" t="s">
        <v>1307</v>
      </c>
      <c r="IQ212" t="s">
        <v>1365</v>
      </c>
      <c r="IS212" t="s">
        <v>1316</v>
      </c>
      <c r="JF212" t="s">
        <v>1316</v>
      </c>
      <c r="JG212" t="s">
        <v>1414</v>
      </c>
      <c r="JH212" t="s">
        <v>1309</v>
      </c>
      <c r="JI212" t="s">
        <v>1309</v>
      </c>
      <c r="JJ212" t="s">
        <v>1309</v>
      </c>
      <c r="JK212" t="s">
        <v>1309</v>
      </c>
      <c r="JL212" t="s">
        <v>1309</v>
      </c>
      <c r="JM212" t="s">
        <v>1309</v>
      </c>
      <c r="JN212" t="s">
        <v>1310</v>
      </c>
      <c r="JO212" t="s">
        <v>1309</v>
      </c>
      <c r="JQ212" s="92" t="s">
        <v>1333</v>
      </c>
      <c r="JR212" s="92" t="s">
        <v>1334</v>
      </c>
      <c r="JS212" s="92">
        <v>39</v>
      </c>
      <c r="JT212" s="92" t="s">
        <v>1319</v>
      </c>
      <c r="JU212" s="92" t="s">
        <v>1396</v>
      </c>
      <c r="JV212" s="92" t="s">
        <v>1336</v>
      </c>
      <c r="JW212" s="92" t="s">
        <v>1296</v>
      </c>
      <c r="JX212" s="92" t="s">
        <v>71</v>
      </c>
      <c r="JY212" s="92" t="s">
        <v>1397</v>
      </c>
      <c r="JZ212" s="92" t="s">
        <v>1337</v>
      </c>
      <c r="KA212" s="92" t="s">
        <v>4845</v>
      </c>
      <c r="KB212" s="92" t="s">
        <v>1399</v>
      </c>
      <c r="KC212" s="92" t="s">
        <v>109</v>
      </c>
      <c r="KD212" s="92" t="s">
        <v>4848</v>
      </c>
      <c r="KE212" s="92" t="s">
        <v>1424</v>
      </c>
      <c r="KF212" s="92">
        <v>1800</v>
      </c>
      <c r="KG212" s="92" t="s">
        <v>4438</v>
      </c>
      <c r="KH212" s="92" t="s">
        <v>109</v>
      </c>
      <c r="KI212" s="92" t="s">
        <v>192</v>
      </c>
      <c r="KJ212" s="92" t="s">
        <v>109</v>
      </c>
      <c r="KK212" s="92" t="s">
        <v>192</v>
      </c>
      <c r="KL212" s="92" t="s">
        <v>1440</v>
      </c>
      <c r="KM212" s="92">
        <v>2500</v>
      </c>
      <c r="KN212" s="92" t="s">
        <v>4438</v>
      </c>
      <c r="KO212" s="92" t="s">
        <v>1425</v>
      </c>
      <c r="KP212" s="92" t="s">
        <v>1342</v>
      </c>
      <c r="KQ212" s="92" t="s">
        <v>109</v>
      </c>
      <c r="KR212" s="92">
        <v>19</v>
      </c>
      <c r="KS212" s="92" t="s">
        <v>1343</v>
      </c>
      <c r="KT212" s="92" t="s">
        <v>1344</v>
      </c>
      <c r="KU212" s="92">
        <v>24</v>
      </c>
      <c r="KV212" s="92" t="s">
        <v>1345</v>
      </c>
      <c r="KW212" s="92" t="s">
        <v>1344</v>
      </c>
      <c r="KX212" s="92" t="s">
        <v>1376</v>
      </c>
      <c r="KY212" s="92" t="s">
        <v>1377</v>
      </c>
      <c r="KZ212" s="92" t="s">
        <v>1403</v>
      </c>
      <c r="LA212" s="92" t="s">
        <v>109</v>
      </c>
      <c r="LB212" s="92" t="s">
        <v>109</v>
      </c>
      <c r="LC212" s="92" t="s">
        <v>4438</v>
      </c>
      <c r="LD212" s="92" t="s">
        <v>4439</v>
      </c>
      <c r="LE212" s="92" t="s">
        <v>109</v>
      </c>
      <c r="LF212" s="92" t="s">
        <v>109</v>
      </c>
    </row>
    <row r="213" spans="1:318" x14ac:dyDescent="0.25">
      <c r="A213" t="s">
        <v>2337</v>
      </c>
      <c r="B213" t="s">
        <v>2338</v>
      </c>
      <c r="C213" t="s">
        <v>1304</v>
      </c>
      <c r="D213" t="s">
        <v>1305</v>
      </c>
      <c r="E213" t="s">
        <v>1306</v>
      </c>
      <c r="G213" t="s">
        <v>1307</v>
      </c>
      <c r="H213">
        <v>2</v>
      </c>
      <c r="I213" t="s">
        <v>1307</v>
      </c>
      <c r="J213" t="s">
        <v>1430</v>
      </c>
      <c r="K213" t="s">
        <v>1309</v>
      </c>
      <c r="L213" t="s">
        <v>1309</v>
      </c>
      <c r="M213" t="s">
        <v>1310</v>
      </c>
      <c r="N213" t="s">
        <v>1309</v>
      </c>
      <c r="O213" t="s">
        <v>1309</v>
      </c>
      <c r="P213" t="s">
        <v>1309</v>
      </c>
      <c r="Q213" t="s">
        <v>1309</v>
      </c>
      <c r="R213" t="s">
        <v>1309</v>
      </c>
      <c r="T213">
        <v>2</v>
      </c>
      <c r="U213" t="s">
        <v>1311</v>
      </c>
      <c r="V213" t="s">
        <v>1312</v>
      </c>
      <c r="W213" t="s">
        <v>1312</v>
      </c>
      <c r="X213" t="s">
        <v>1312</v>
      </c>
      <c r="Y213" t="s">
        <v>1312</v>
      </c>
      <c r="Z213" t="s">
        <v>1312</v>
      </c>
      <c r="AC213">
        <v>2</v>
      </c>
      <c r="AD213">
        <v>7000</v>
      </c>
      <c r="AE213">
        <v>5000</v>
      </c>
      <c r="AF213" t="s">
        <v>1351</v>
      </c>
      <c r="AH213" t="s">
        <v>1314</v>
      </c>
      <c r="AJ213" t="s">
        <v>1353</v>
      </c>
      <c r="AL213" t="s">
        <v>1316</v>
      </c>
      <c r="BA213" t="s">
        <v>1316</v>
      </c>
      <c r="BS213" t="s">
        <v>1307</v>
      </c>
      <c r="CE213" t="s">
        <v>2128</v>
      </c>
      <c r="CF213" t="s">
        <v>1309</v>
      </c>
      <c r="CG213" t="s">
        <v>1309</v>
      </c>
      <c r="CH213" t="s">
        <v>1309</v>
      </c>
      <c r="CI213" t="s">
        <v>1309</v>
      </c>
      <c r="CJ213" t="s">
        <v>1309</v>
      </c>
      <c r="CK213" t="s">
        <v>1309</v>
      </c>
      <c r="CL213" t="s">
        <v>1310</v>
      </c>
      <c r="CM213" t="s">
        <v>1309</v>
      </c>
      <c r="CN213" t="s">
        <v>1310</v>
      </c>
      <c r="CO213" t="s">
        <v>1310</v>
      </c>
      <c r="CP213" t="s">
        <v>1309</v>
      </c>
      <c r="CQ213" t="s">
        <v>1309</v>
      </c>
      <c r="CR213" t="s">
        <v>1309</v>
      </c>
      <c r="CT213" t="s">
        <v>4436</v>
      </c>
      <c r="CV213" t="s">
        <v>1308</v>
      </c>
      <c r="CW213" t="s">
        <v>1310</v>
      </c>
      <c r="CX213" t="s">
        <v>1309</v>
      </c>
      <c r="CY213" t="s">
        <v>1309</v>
      </c>
      <c r="CZ213" t="s">
        <v>1309</v>
      </c>
      <c r="DA213" t="s">
        <v>1309</v>
      </c>
      <c r="DB213" t="s">
        <v>1309</v>
      </c>
      <c r="DC213" t="s">
        <v>1309</v>
      </c>
      <c r="DE213" t="s">
        <v>1358</v>
      </c>
      <c r="DF213" t="s">
        <v>1319</v>
      </c>
      <c r="DG213">
        <v>150</v>
      </c>
      <c r="DH213">
        <v>1500</v>
      </c>
      <c r="DI213">
        <v>200</v>
      </c>
      <c r="DJ213" t="s">
        <v>1358</v>
      </c>
      <c r="DK213">
        <v>200</v>
      </c>
      <c r="DL213">
        <v>2000</v>
      </c>
      <c r="DM213">
        <v>200</v>
      </c>
      <c r="DN213" t="s">
        <v>1320</v>
      </c>
      <c r="DO213" t="s">
        <v>1310</v>
      </c>
      <c r="DP213" t="s">
        <v>1309</v>
      </c>
      <c r="DQ213" t="s">
        <v>1309</v>
      </c>
      <c r="DR213" t="s">
        <v>1309</v>
      </c>
      <c r="DS213" t="s">
        <v>1309</v>
      </c>
      <c r="DT213" t="s">
        <v>1310</v>
      </c>
      <c r="DU213" t="s">
        <v>1309</v>
      </c>
      <c r="DV213" t="s">
        <v>1309</v>
      </c>
      <c r="DW213" t="s">
        <v>1309</v>
      </c>
      <c r="DY213" t="s">
        <v>1446</v>
      </c>
      <c r="DZ213">
        <v>600</v>
      </c>
      <c r="EA213" t="s">
        <v>1386</v>
      </c>
      <c r="EC213" t="s">
        <v>1387</v>
      </c>
      <c r="ED213">
        <v>800</v>
      </c>
      <c r="EE213" t="s">
        <v>1386</v>
      </c>
      <c r="EG213" t="s">
        <v>5356</v>
      </c>
      <c r="EI213" t="s">
        <v>1307</v>
      </c>
      <c r="ET213" t="s">
        <v>1434</v>
      </c>
      <c r="EV213" t="s">
        <v>1319</v>
      </c>
      <c r="EW213" t="s">
        <v>1529</v>
      </c>
      <c r="EX213" t="s">
        <v>1319</v>
      </c>
      <c r="EY213" t="s">
        <v>1307</v>
      </c>
      <c r="EZ213" t="s">
        <v>1319</v>
      </c>
      <c r="FA213" t="s">
        <v>2339</v>
      </c>
      <c r="FB213" t="s">
        <v>1309</v>
      </c>
      <c r="FC213" t="s">
        <v>1310</v>
      </c>
      <c r="FD213" t="s">
        <v>1310</v>
      </c>
      <c r="FE213" t="s">
        <v>1309</v>
      </c>
      <c r="FF213" t="s">
        <v>1310</v>
      </c>
      <c r="FG213" t="s">
        <v>1309</v>
      </c>
      <c r="FH213" t="s">
        <v>1309</v>
      </c>
      <c r="FI213" t="s">
        <v>1310</v>
      </c>
      <c r="FJ213" t="s">
        <v>1309</v>
      </c>
      <c r="FK213" t="s">
        <v>1309</v>
      </c>
      <c r="FL213" t="s">
        <v>1309</v>
      </c>
      <c r="FM213" t="s">
        <v>1309</v>
      </c>
      <c r="FN213" t="s">
        <v>1310</v>
      </c>
      <c r="FO213" t="s">
        <v>1309</v>
      </c>
      <c r="FP213" t="s">
        <v>1309</v>
      </c>
      <c r="FQ213" t="s">
        <v>1309</v>
      </c>
      <c r="FR213" t="s">
        <v>1309</v>
      </c>
      <c r="FT213" t="s">
        <v>1307</v>
      </c>
      <c r="GI213" t="s">
        <v>1324</v>
      </c>
      <c r="GJ213" t="s">
        <v>1324</v>
      </c>
      <c r="GT213" t="s">
        <v>1325</v>
      </c>
      <c r="GU213" t="s">
        <v>1310</v>
      </c>
      <c r="GV213" t="s">
        <v>1309</v>
      </c>
      <c r="GW213" t="s">
        <v>1309</v>
      </c>
      <c r="GX213" t="s">
        <v>1309</v>
      </c>
      <c r="GY213" t="s">
        <v>1309</v>
      </c>
      <c r="GZ213" t="s">
        <v>1309</v>
      </c>
      <c r="HA213" t="s">
        <v>1309</v>
      </c>
      <c r="HB213" t="s">
        <v>1309</v>
      </c>
      <c r="HC213" t="s">
        <v>1309</v>
      </c>
      <c r="HD213" t="s">
        <v>1309</v>
      </c>
      <c r="HE213" t="s">
        <v>1309</v>
      </c>
      <c r="HF213" t="s">
        <v>1309</v>
      </c>
      <c r="HH213" t="s">
        <v>1326</v>
      </c>
      <c r="HI213" t="s">
        <v>1326</v>
      </c>
      <c r="HJ213" t="s">
        <v>1326</v>
      </c>
      <c r="HK213" t="s">
        <v>1327</v>
      </c>
      <c r="HL213" t="s">
        <v>1328</v>
      </c>
      <c r="HM213" t="s">
        <v>1326</v>
      </c>
      <c r="HN213" t="s">
        <v>1435</v>
      </c>
      <c r="HO213" t="s">
        <v>1309</v>
      </c>
      <c r="HP213" t="s">
        <v>1310</v>
      </c>
      <c r="HQ213" t="s">
        <v>1309</v>
      </c>
      <c r="HR213" t="s">
        <v>1309</v>
      </c>
      <c r="HS213" t="s">
        <v>1309</v>
      </c>
      <c r="HT213" t="s">
        <v>1309</v>
      </c>
      <c r="HU213" t="s">
        <v>1309</v>
      </c>
      <c r="HV213" t="s">
        <v>1309</v>
      </c>
      <c r="HW213" t="s">
        <v>1309</v>
      </c>
      <c r="HX213" t="s">
        <v>1309</v>
      </c>
      <c r="HY213" t="s">
        <v>1309</v>
      </c>
      <c r="IA213" t="s">
        <v>1319</v>
      </c>
      <c r="IB213" t="s">
        <v>2340</v>
      </c>
      <c r="IC213" t="s">
        <v>1309</v>
      </c>
      <c r="ID213" t="s">
        <v>1309</v>
      </c>
      <c r="IE213" t="s">
        <v>1309</v>
      </c>
      <c r="IF213" t="s">
        <v>1309</v>
      </c>
      <c r="IG213" t="s">
        <v>1310</v>
      </c>
      <c r="IH213" t="s">
        <v>1309</v>
      </c>
      <c r="II213" t="s">
        <v>1310</v>
      </c>
      <c r="IJ213" t="s">
        <v>1309</v>
      </c>
      <c r="IK213" t="s">
        <v>1309</v>
      </c>
      <c r="IL213" t="s">
        <v>1310</v>
      </c>
      <c r="IM213" t="s">
        <v>1309</v>
      </c>
      <c r="IN213" t="s">
        <v>1309</v>
      </c>
      <c r="IO213" t="s">
        <v>1309</v>
      </c>
      <c r="IQ213" t="s">
        <v>1308</v>
      </c>
      <c r="IS213" t="s">
        <v>1316</v>
      </c>
      <c r="JF213" t="s">
        <v>1316</v>
      </c>
      <c r="JG213" t="s">
        <v>2148</v>
      </c>
      <c r="JH213" t="s">
        <v>1309</v>
      </c>
      <c r="JI213" t="s">
        <v>1310</v>
      </c>
      <c r="JJ213" t="s">
        <v>1309</v>
      </c>
      <c r="JK213" t="s">
        <v>1309</v>
      </c>
      <c r="JL213" t="s">
        <v>1310</v>
      </c>
      <c r="JM213" t="s">
        <v>1309</v>
      </c>
      <c r="JN213" t="s">
        <v>1309</v>
      </c>
      <c r="JO213" t="s">
        <v>1309</v>
      </c>
      <c r="JQ213" s="92" t="s">
        <v>1333</v>
      </c>
      <c r="JR213" s="92" t="s">
        <v>2341</v>
      </c>
      <c r="JS213" s="92">
        <v>68</v>
      </c>
      <c r="JT213" s="92" t="s">
        <v>1319</v>
      </c>
      <c r="JU213" s="92" t="s">
        <v>1335</v>
      </c>
      <c r="JV213" s="92" t="s">
        <v>1336</v>
      </c>
      <c r="JW213" s="92" t="s">
        <v>1296</v>
      </c>
      <c r="JX213" s="92" t="s">
        <v>70</v>
      </c>
      <c r="JY213" s="92" t="s">
        <v>5549</v>
      </c>
      <c r="JZ213" s="92" t="s">
        <v>1369</v>
      </c>
      <c r="KA213" s="92" t="s">
        <v>4845</v>
      </c>
      <c r="KB213" s="92" t="s">
        <v>1476</v>
      </c>
      <c r="KC213" s="92" t="s">
        <v>109</v>
      </c>
      <c r="KD213" s="92" t="s">
        <v>4847</v>
      </c>
      <c r="KE213" s="92" t="s">
        <v>1424</v>
      </c>
      <c r="KF213" s="92">
        <v>1850</v>
      </c>
      <c r="KG213" s="92" t="s">
        <v>4439</v>
      </c>
      <c r="KH213" s="92" t="s">
        <v>192</v>
      </c>
      <c r="KI213" s="92" t="s">
        <v>192</v>
      </c>
      <c r="KJ213" s="92" t="s">
        <v>192</v>
      </c>
      <c r="KK213" s="92" t="s">
        <v>192</v>
      </c>
      <c r="KL213" s="92" t="s">
        <v>1440</v>
      </c>
      <c r="KM213" s="92">
        <v>2400</v>
      </c>
      <c r="KN213" s="92" t="s">
        <v>4439</v>
      </c>
      <c r="KO213" s="92" t="s">
        <v>1425</v>
      </c>
      <c r="KP213" s="92" t="s">
        <v>1401</v>
      </c>
      <c r="KQ213" s="92" t="s">
        <v>192</v>
      </c>
      <c r="KR213" s="92"/>
      <c r="KS213" s="92" t="s">
        <v>1345</v>
      </c>
      <c r="KT213" s="92" t="s">
        <v>1402</v>
      </c>
      <c r="KU213" s="92"/>
      <c r="KV213" s="92" t="s">
        <v>1441</v>
      </c>
      <c r="KW213" s="92" t="s">
        <v>1402</v>
      </c>
      <c r="KX213" s="92" t="s">
        <v>1376</v>
      </c>
      <c r="KY213" s="92" t="s">
        <v>1347</v>
      </c>
      <c r="KZ213" s="92" t="s">
        <v>5795</v>
      </c>
      <c r="LA213" s="92" t="s">
        <v>109</v>
      </c>
      <c r="LB213" s="92" t="s">
        <v>109</v>
      </c>
      <c r="LC213" s="92" t="s">
        <v>4439</v>
      </c>
      <c r="LD213" s="92" t="s">
        <v>4439</v>
      </c>
      <c r="LE213" s="92" t="s">
        <v>109</v>
      </c>
      <c r="LF213" s="92" t="s">
        <v>192</v>
      </c>
    </row>
    <row r="214" spans="1:318" x14ac:dyDescent="0.25">
      <c r="A214" t="s">
        <v>2342</v>
      </c>
      <c r="B214" t="s">
        <v>2343</v>
      </c>
      <c r="C214" t="s">
        <v>1304</v>
      </c>
      <c r="D214" t="s">
        <v>1305</v>
      </c>
      <c r="E214" t="s">
        <v>1306</v>
      </c>
      <c r="G214" t="s">
        <v>1307</v>
      </c>
      <c r="H214">
        <v>1</v>
      </c>
      <c r="J214" t="s">
        <v>1308</v>
      </c>
      <c r="K214" t="s">
        <v>1309</v>
      </c>
      <c r="L214" t="s">
        <v>1309</v>
      </c>
      <c r="M214" t="s">
        <v>1309</v>
      </c>
      <c r="N214" t="s">
        <v>1309</v>
      </c>
      <c r="O214" t="s">
        <v>1309</v>
      </c>
      <c r="P214" t="s">
        <v>1309</v>
      </c>
      <c r="Q214" t="s">
        <v>1310</v>
      </c>
      <c r="R214" t="s">
        <v>1309</v>
      </c>
      <c r="U214" t="s">
        <v>1312</v>
      </c>
      <c r="V214" t="s">
        <v>1312</v>
      </c>
      <c r="W214" t="s">
        <v>1311</v>
      </c>
      <c r="X214" t="s">
        <v>1312</v>
      </c>
      <c r="Y214" t="s">
        <v>1312</v>
      </c>
      <c r="Z214" t="s">
        <v>1312</v>
      </c>
      <c r="AC214">
        <v>1</v>
      </c>
      <c r="AD214">
        <v>8000</v>
      </c>
      <c r="AE214">
        <v>6000</v>
      </c>
      <c r="AF214" t="s">
        <v>1313</v>
      </c>
      <c r="AH214" t="s">
        <v>1383</v>
      </c>
      <c r="AJ214" t="s">
        <v>1353</v>
      </c>
      <c r="AL214" t="s">
        <v>1316</v>
      </c>
      <c r="BA214" t="s">
        <v>1316</v>
      </c>
      <c r="BS214" t="s">
        <v>1307</v>
      </c>
      <c r="CE214" t="s">
        <v>2344</v>
      </c>
      <c r="CF214" t="s">
        <v>1309</v>
      </c>
      <c r="CG214" t="s">
        <v>1309</v>
      </c>
      <c r="CH214" t="s">
        <v>1309</v>
      </c>
      <c r="CI214" t="s">
        <v>1310</v>
      </c>
      <c r="CJ214" t="s">
        <v>1309</v>
      </c>
      <c r="CK214" t="s">
        <v>1310</v>
      </c>
      <c r="CL214" t="s">
        <v>1310</v>
      </c>
      <c r="CM214" t="s">
        <v>1310</v>
      </c>
      <c r="CN214" t="s">
        <v>1310</v>
      </c>
      <c r="CO214" t="s">
        <v>1310</v>
      </c>
      <c r="CP214" t="s">
        <v>1309</v>
      </c>
      <c r="CQ214" t="s">
        <v>1309</v>
      </c>
      <c r="CR214" t="s">
        <v>1309</v>
      </c>
      <c r="CT214" t="s">
        <v>4435</v>
      </c>
      <c r="CV214" t="s">
        <v>1308</v>
      </c>
      <c r="CW214" t="s">
        <v>1310</v>
      </c>
      <c r="CX214" t="s">
        <v>1309</v>
      </c>
      <c r="CY214" t="s">
        <v>1309</v>
      </c>
      <c r="CZ214" t="s">
        <v>1309</v>
      </c>
      <c r="DA214" t="s">
        <v>1309</v>
      </c>
      <c r="DB214" t="s">
        <v>1309</v>
      </c>
      <c r="DC214" t="s">
        <v>1309</v>
      </c>
      <c r="DE214" t="s">
        <v>1358</v>
      </c>
      <c r="DF214" t="s">
        <v>1307</v>
      </c>
      <c r="DH214">
        <v>1800</v>
      </c>
      <c r="DI214">
        <v>250</v>
      </c>
      <c r="DJ214" t="s">
        <v>1358</v>
      </c>
      <c r="DL214">
        <v>2000</v>
      </c>
      <c r="DM214">
        <v>250</v>
      </c>
      <c r="DN214" t="s">
        <v>1320</v>
      </c>
      <c r="DO214" t="s">
        <v>1310</v>
      </c>
      <c r="DP214" t="s">
        <v>1309</v>
      </c>
      <c r="DQ214" t="s">
        <v>1309</v>
      </c>
      <c r="DR214" t="s">
        <v>1309</v>
      </c>
      <c r="DS214" t="s">
        <v>1309</v>
      </c>
      <c r="DT214" t="s">
        <v>1310</v>
      </c>
      <c r="DU214" t="s">
        <v>1309</v>
      </c>
      <c r="DV214" t="s">
        <v>1309</v>
      </c>
      <c r="DW214" t="s">
        <v>1309</v>
      </c>
      <c r="DY214" t="s">
        <v>1408</v>
      </c>
      <c r="DZ214">
        <v>500</v>
      </c>
      <c r="EA214" t="s">
        <v>1386</v>
      </c>
      <c r="EC214" t="s">
        <v>1387</v>
      </c>
      <c r="ED214">
        <v>800</v>
      </c>
      <c r="EE214" t="s">
        <v>1386</v>
      </c>
      <c r="EG214" t="s">
        <v>5356</v>
      </c>
      <c r="EI214" t="s">
        <v>1307</v>
      </c>
      <c r="ET214" t="s">
        <v>1544</v>
      </c>
      <c r="EV214" t="s">
        <v>1319</v>
      </c>
      <c r="EW214" t="s">
        <v>1361</v>
      </c>
      <c r="EX214" t="s">
        <v>1307</v>
      </c>
      <c r="FT214" t="s">
        <v>1307</v>
      </c>
      <c r="GI214" t="s">
        <v>1324</v>
      </c>
      <c r="GJ214" t="s">
        <v>1324</v>
      </c>
      <c r="GT214" t="s">
        <v>1325</v>
      </c>
      <c r="GU214" t="s">
        <v>1310</v>
      </c>
      <c r="GV214" t="s">
        <v>1309</v>
      </c>
      <c r="GW214" t="s">
        <v>1309</v>
      </c>
      <c r="GX214" t="s">
        <v>1309</v>
      </c>
      <c r="GY214" t="s">
        <v>1309</v>
      </c>
      <c r="GZ214" t="s">
        <v>1309</v>
      </c>
      <c r="HA214" t="s">
        <v>1309</v>
      </c>
      <c r="HB214" t="s">
        <v>1309</v>
      </c>
      <c r="HC214" t="s">
        <v>1309</v>
      </c>
      <c r="HD214" t="s">
        <v>1309</v>
      </c>
      <c r="HE214" t="s">
        <v>1309</v>
      </c>
      <c r="HF214" t="s">
        <v>1309</v>
      </c>
      <c r="HH214" t="s">
        <v>1390</v>
      </c>
      <c r="HI214" t="s">
        <v>1326</v>
      </c>
      <c r="HJ214" t="s">
        <v>1390</v>
      </c>
      <c r="HK214" t="s">
        <v>1327</v>
      </c>
      <c r="HL214" t="s">
        <v>1364</v>
      </c>
      <c r="HM214" t="s">
        <v>1390</v>
      </c>
      <c r="IA214" t="s">
        <v>1319</v>
      </c>
      <c r="IB214" t="s">
        <v>2345</v>
      </c>
      <c r="IC214" t="s">
        <v>1309</v>
      </c>
      <c r="ID214" t="s">
        <v>1310</v>
      </c>
      <c r="IE214" t="s">
        <v>1309</v>
      </c>
      <c r="IF214" t="s">
        <v>1310</v>
      </c>
      <c r="IG214" t="s">
        <v>1310</v>
      </c>
      <c r="IH214" t="s">
        <v>1309</v>
      </c>
      <c r="II214" t="s">
        <v>1309</v>
      </c>
      <c r="IJ214" t="s">
        <v>1309</v>
      </c>
      <c r="IK214" t="s">
        <v>1309</v>
      </c>
      <c r="IL214" t="s">
        <v>1309</v>
      </c>
      <c r="IM214" t="s">
        <v>1309</v>
      </c>
      <c r="IN214" t="s">
        <v>1309</v>
      </c>
      <c r="IO214" t="s">
        <v>1309</v>
      </c>
      <c r="IQ214" t="s">
        <v>1330</v>
      </c>
      <c r="IS214" t="s">
        <v>1316</v>
      </c>
      <c r="JF214" t="s">
        <v>1316</v>
      </c>
      <c r="JG214" t="s">
        <v>1580</v>
      </c>
      <c r="JH214" t="s">
        <v>1309</v>
      </c>
      <c r="JI214" t="s">
        <v>1309</v>
      </c>
      <c r="JJ214" t="s">
        <v>1310</v>
      </c>
      <c r="JK214" t="s">
        <v>1310</v>
      </c>
      <c r="JL214" t="s">
        <v>1309</v>
      </c>
      <c r="JM214" t="s">
        <v>1309</v>
      </c>
      <c r="JN214" t="s">
        <v>1309</v>
      </c>
      <c r="JO214" t="s">
        <v>1309</v>
      </c>
      <c r="JQ214" s="92" t="s">
        <v>1333</v>
      </c>
      <c r="JR214" s="92" t="s">
        <v>1334</v>
      </c>
      <c r="JS214" s="92">
        <v>52</v>
      </c>
      <c r="JT214" s="92" t="s">
        <v>1319</v>
      </c>
      <c r="JU214" s="92" t="s">
        <v>1396</v>
      </c>
      <c r="JV214" s="92" t="s">
        <v>1336</v>
      </c>
      <c r="JW214" s="92" t="s">
        <v>1296</v>
      </c>
      <c r="JX214" s="92" t="s">
        <v>71</v>
      </c>
      <c r="JY214" s="92" t="s">
        <v>5549</v>
      </c>
      <c r="JZ214" s="92" t="s">
        <v>1337</v>
      </c>
      <c r="KA214" s="92" t="s">
        <v>4844</v>
      </c>
      <c r="KB214" s="92" t="s">
        <v>1338</v>
      </c>
      <c r="KC214" s="92" t="s">
        <v>109</v>
      </c>
      <c r="KD214" s="92" t="s">
        <v>4844</v>
      </c>
      <c r="KE214" s="92" t="s">
        <v>1424</v>
      </c>
      <c r="KF214" s="92">
        <v>2050</v>
      </c>
      <c r="KG214" s="92" t="s">
        <v>4439</v>
      </c>
      <c r="KH214" s="92" t="s">
        <v>109</v>
      </c>
      <c r="KI214" s="92" t="s">
        <v>192</v>
      </c>
      <c r="KJ214" s="92" t="s">
        <v>109</v>
      </c>
      <c r="KK214" s="92" t="s">
        <v>192</v>
      </c>
      <c r="KL214" s="92" t="s">
        <v>1425</v>
      </c>
      <c r="KM214" s="92">
        <v>2250</v>
      </c>
      <c r="KN214" s="92" t="s">
        <v>4439</v>
      </c>
      <c r="KO214" s="92" t="s">
        <v>1425</v>
      </c>
      <c r="KP214" s="92" t="s">
        <v>1342</v>
      </c>
      <c r="KQ214" s="92" t="s">
        <v>109</v>
      </c>
      <c r="KR214" s="92">
        <v>24</v>
      </c>
      <c r="KS214" s="92" t="s">
        <v>1345</v>
      </c>
      <c r="KT214" s="92" t="s">
        <v>1402</v>
      </c>
      <c r="KU214" s="92">
        <v>36</v>
      </c>
      <c r="KV214" s="92" t="s">
        <v>1441</v>
      </c>
      <c r="KW214" s="92" t="s">
        <v>1402</v>
      </c>
      <c r="KX214" s="92" t="s">
        <v>1346</v>
      </c>
      <c r="KY214" s="92" t="s">
        <v>1347</v>
      </c>
      <c r="KZ214" s="92" t="s">
        <v>5795</v>
      </c>
      <c r="LA214" s="92" t="s">
        <v>109</v>
      </c>
      <c r="LB214" s="92" t="s">
        <v>109</v>
      </c>
      <c r="LC214" s="92" t="s">
        <v>4438</v>
      </c>
      <c r="LD214" s="92" t="s">
        <v>4439</v>
      </c>
      <c r="LE214" s="92" t="s">
        <v>192</v>
      </c>
      <c r="LF214" s="92" t="s">
        <v>192</v>
      </c>
    </row>
    <row r="215" spans="1:318" x14ac:dyDescent="0.25">
      <c r="A215" t="s">
        <v>2346</v>
      </c>
      <c r="B215" t="s">
        <v>2347</v>
      </c>
      <c r="C215" t="s">
        <v>1304</v>
      </c>
      <c r="D215" t="s">
        <v>1305</v>
      </c>
      <c r="E215" t="s">
        <v>1306</v>
      </c>
      <c r="G215" t="s">
        <v>1307</v>
      </c>
      <c r="H215">
        <v>1</v>
      </c>
      <c r="J215" t="s">
        <v>1430</v>
      </c>
      <c r="K215" t="s">
        <v>1309</v>
      </c>
      <c r="L215" t="s">
        <v>1309</v>
      </c>
      <c r="M215" t="s">
        <v>1310</v>
      </c>
      <c r="N215" t="s">
        <v>1309</v>
      </c>
      <c r="O215" t="s">
        <v>1309</v>
      </c>
      <c r="P215" t="s">
        <v>1309</v>
      </c>
      <c r="Q215" t="s">
        <v>1309</v>
      </c>
      <c r="R215" t="s">
        <v>1309</v>
      </c>
      <c r="T215">
        <v>1</v>
      </c>
      <c r="U215" t="s">
        <v>1311</v>
      </c>
      <c r="V215" t="s">
        <v>1312</v>
      </c>
      <c r="W215" t="s">
        <v>1312</v>
      </c>
      <c r="X215" t="s">
        <v>1312</v>
      </c>
      <c r="Y215" t="s">
        <v>1312</v>
      </c>
      <c r="Z215" t="s">
        <v>1312</v>
      </c>
      <c r="AC215">
        <v>1</v>
      </c>
      <c r="AD215">
        <v>3000</v>
      </c>
      <c r="AE215">
        <v>2000</v>
      </c>
      <c r="AF215" t="s">
        <v>1313</v>
      </c>
      <c r="AH215" t="s">
        <v>1536</v>
      </c>
      <c r="AJ215" t="s">
        <v>1353</v>
      </c>
      <c r="AL215" t="s">
        <v>1316</v>
      </c>
      <c r="BA215" t="s">
        <v>1316</v>
      </c>
      <c r="BS215" t="s">
        <v>1307</v>
      </c>
      <c r="CE215" t="s">
        <v>2348</v>
      </c>
      <c r="CF215" t="s">
        <v>1310</v>
      </c>
      <c r="CG215" t="s">
        <v>1309</v>
      </c>
      <c r="CH215" t="s">
        <v>1309</v>
      </c>
      <c r="CI215" t="s">
        <v>1310</v>
      </c>
      <c r="CJ215" t="s">
        <v>1310</v>
      </c>
      <c r="CK215" t="s">
        <v>1309</v>
      </c>
      <c r="CL215" t="s">
        <v>1310</v>
      </c>
      <c r="CM215" t="s">
        <v>1309</v>
      </c>
      <c r="CN215" t="s">
        <v>1310</v>
      </c>
      <c r="CO215" t="s">
        <v>1310</v>
      </c>
      <c r="CP215" t="s">
        <v>1309</v>
      </c>
      <c r="CQ215" t="s">
        <v>1309</v>
      </c>
      <c r="CR215" t="s">
        <v>1309</v>
      </c>
      <c r="CT215" t="s">
        <v>4435</v>
      </c>
      <c r="CV215" t="s">
        <v>1308</v>
      </c>
      <c r="CW215" t="s">
        <v>1310</v>
      </c>
      <c r="CX215" t="s">
        <v>1309</v>
      </c>
      <c r="CY215" t="s">
        <v>1309</v>
      </c>
      <c r="CZ215" t="s">
        <v>1309</v>
      </c>
      <c r="DA215" t="s">
        <v>1309</v>
      </c>
      <c r="DB215" t="s">
        <v>1309</v>
      </c>
      <c r="DC215" t="s">
        <v>1309</v>
      </c>
      <c r="DE215" t="s">
        <v>1358</v>
      </c>
      <c r="DF215" t="s">
        <v>1319</v>
      </c>
      <c r="DG215">
        <v>100</v>
      </c>
      <c r="DH215">
        <v>1000</v>
      </c>
      <c r="DI215">
        <v>150</v>
      </c>
      <c r="DJ215" t="s">
        <v>1358</v>
      </c>
      <c r="DK215">
        <v>150</v>
      </c>
      <c r="DL215">
        <v>1500</v>
      </c>
      <c r="DM215">
        <v>150</v>
      </c>
      <c r="DN215" t="s">
        <v>1320</v>
      </c>
      <c r="DO215" t="s">
        <v>1310</v>
      </c>
      <c r="DP215" t="s">
        <v>1309</v>
      </c>
      <c r="DQ215" t="s">
        <v>1309</v>
      </c>
      <c r="DR215" t="s">
        <v>1309</v>
      </c>
      <c r="DS215" t="s">
        <v>1309</v>
      </c>
      <c r="DT215" t="s">
        <v>1310</v>
      </c>
      <c r="DU215" t="s">
        <v>1309</v>
      </c>
      <c r="DV215" t="s">
        <v>1309</v>
      </c>
      <c r="DW215" t="s">
        <v>1309</v>
      </c>
      <c r="DY215" t="s">
        <v>1446</v>
      </c>
      <c r="DZ215">
        <v>400</v>
      </c>
      <c r="EA215" t="s">
        <v>1386</v>
      </c>
      <c r="EC215" t="s">
        <v>2119</v>
      </c>
      <c r="ED215">
        <v>800</v>
      </c>
      <c r="EE215" t="s">
        <v>1386</v>
      </c>
      <c r="EG215" t="s">
        <v>5356</v>
      </c>
      <c r="EI215" t="s">
        <v>1307</v>
      </c>
      <c r="ET215" t="s">
        <v>1434</v>
      </c>
      <c r="EV215" t="s">
        <v>1319</v>
      </c>
      <c r="EW215" t="s">
        <v>1361</v>
      </c>
      <c r="EX215" t="s">
        <v>1307</v>
      </c>
      <c r="EY215" t="s">
        <v>1307</v>
      </c>
      <c r="FT215" t="s">
        <v>1307</v>
      </c>
      <c r="GI215" t="s">
        <v>1324</v>
      </c>
      <c r="GJ215" t="s">
        <v>1324</v>
      </c>
      <c r="GT215" t="s">
        <v>1325</v>
      </c>
      <c r="GU215" t="s">
        <v>1310</v>
      </c>
      <c r="GV215" t="s">
        <v>1309</v>
      </c>
      <c r="GW215" t="s">
        <v>1309</v>
      </c>
      <c r="GX215" t="s">
        <v>1309</v>
      </c>
      <c r="GY215" t="s">
        <v>1309</v>
      </c>
      <c r="GZ215" t="s">
        <v>1309</v>
      </c>
      <c r="HA215" t="s">
        <v>1309</v>
      </c>
      <c r="HB215" t="s">
        <v>1309</v>
      </c>
      <c r="HC215" t="s">
        <v>1309</v>
      </c>
      <c r="HD215" t="s">
        <v>1309</v>
      </c>
      <c r="HE215" t="s">
        <v>1309</v>
      </c>
      <c r="HF215" t="s">
        <v>1309</v>
      </c>
      <c r="HH215" t="s">
        <v>1363</v>
      </c>
      <c r="HI215" t="s">
        <v>1363</v>
      </c>
      <c r="HJ215" t="s">
        <v>1363</v>
      </c>
      <c r="HK215" t="s">
        <v>1327</v>
      </c>
      <c r="HL215" t="s">
        <v>1328</v>
      </c>
      <c r="HM215" t="s">
        <v>1363</v>
      </c>
      <c r="HN215" t="s">
        <v>1626</v>
      </c>
      <c r="HO215" t="s">
        <v>1310</v>
      </c>
      <c r="HP215" t="s">
        <v>1309</v>
      </c>
      <c r="HQ215" t="s">
        <v>1309</v>
      </c>
      <c r="HR215" t="s">
        <v>1309</v>
      </c>
      <c r="HS215" t="s">
        <v>1309</v>
      </c>
      <c r="HT215" t="s">
        <v>1309</v>
      </c>
      <c r="HU215" t="s">
        <v>1309</v>
      </c>
      <c r="HV215" t="s">
        <v>1309</v>
      </c>
      <c r="HW215" t="s">
        <v>1309</v>
      </c>
      <c r="HX215" t="s">
        <v>1309</v>
      </c>
      <c r="HY215" t="s">
        <v>1309</v>
      </c>
      <c r="IA215" t="s">
        <v>1319</v>
      </c>
      <c r="IB215" t="s">
        <v>1870</v>
      </c>
      <c r="IC215" t="s">
        <v>1309</v>
      </c>
      <c r="ID215" t="s">
        <v>1309</v>
      </c>
      <c r="IE215" t="s">
        <v>1309</v>
      </c>
      <c r="IF215" t="s">
        <v>1310</v>
      </c>
      <c r="IG215" t="s">
        <v>1310</v>
      </c>
      <c r="IH215" t="s">
        <v>1309</v>
      </c>
      <c r="II215" t="s">
        <v>1309</v>
      </c>
      <c r="IJ215" t="s">
        <v>1309</v>
      </c>
      <c r="IK215" t="s">
        <v>1309</v>
      </c>
      <c r="IL215" t="s">
        <v>1309</v>
      </c>
      <c r="IM215" t="s">
        <v>1309</v>
      </c>
      <c r="IN215" t="s">
        <v>1309</v>
      </c>
      <c r="IO215" t="s">
        <v>1309</v>
      </c>
      <c r="IQ215" t="s">
        <v>1308</v>
      </c>
      <c r="IS215" t="s">
        <v>1354</v>
      </c>
      <c r="JF215" t="s">
        <v>1354</v>
      </c>
      <c r="JG215" t="s">
        <v>1523</v>
      </c>
      <c r="JH215" t="s">
        <v>1309</v>
      </c>
      <c r="JI215" t="s">
        <v>1309</v>
      </c>
      <c r="JJ215" t="s">
        <v>1309</v>
      </c>
      <c r="JK215" t="s">
        <v>1310</v>
      </c>
      <c r="JL215" t="s">
        <v>1309</v>
      </c>
      <c r="JM215" t="s">
        <v>1309</v>
      </c>
      <c r="JN215" t="s">
        <v>1309</v>
      </c>
      <c r="JO215" t="s">
        <v>1309</v>
      </c>
      <c r="JQ215" s="92" t="s">
        <v>1333</v>
      </c>
      <c r="JR215" s="92" t="s">
        <v>1334</v>
      </c>
      <c r="JS215" s="92">
        <v>64</v>
      </c>
      <c r="JT215" s="92" t="s">
        <v>1319</v>
      </c>
      <c r="JU215" s="92" t="s">
        <v>1335</v>
      </c>
      <c r="JV215" s="92" t="s">
        <v>1336</v>
      </c>
      <c r="JW215" s="92" t="s">
        <v>1296</v>
      </c>
      <c r="JX215" s="92" t="s">
        <v>71</v>
      </c>
      <c r="JY215" s="92" t="s">
        <v>5549</v>
      </c>
      <c r="JZ215" s="92" t="s">
        <v>1369</v>
      </c>
      <c r="KA215" s="92" t="s">
        <v>4844</v>
      </c>
      <c r="KB215" s="92" t="s">
        <v>1476</v>
      </c>
      <c r="KC215" s="92" t="s">
        <v>109</v>
      </c>
      <c r="KD215" s="92" t="s">
        <v>4844</v>
      </c>
      <c r="KE215" s="92" t="s">
        <v>5560</v>
      </c>
      <c r="KF215" s="92">
        <v>1250</v>
      </c>
      <c r="KG215" s="92" t="s">
        <v>4439</v>
      </c>
      <c r="KH215" s="92" t="s">
        <v>192</v>
      </c>
      <c r="KI215" s="92" t="s">
        <v>192</v>
      </c>
      <c r="KJ215" s="92" t="s">
        <v>192</v>
      </c>
      <c r="KK215" s="92" t="s">
        <v>192</v>
      </c>
      <c r="KL215" s="92" t="s">
        <v>1440</v>
      </c>
      <c r="KM215" s="92">
        <v>1800</v>
      </c>
      <c r="KN215" s="92" t="s">
        <v>1400</v>
      </c>
      <c r="KO215" s="92" t="s">
        <v>1440</v>
      </c>
      <c r="KP215" s="92" t="s">
        <v>1342</v>
      </c>
      <c r="KQ215" s="92" t="s">
        <v>192</v>
      </c>
      <c r="KR215" s="92">
        <v>32</v>
      </c>
      <c r="KS215" s="92" t="s">
        <v>1343</v>
      </c>
      <c r="KT215" s="92" t="s">
        <v>1402</v>
      </c>
      <c r="KU215" s="92">
        <v>44</v>
      </c>
      <c r="KV215" s="92" t="s">
        <v>1441</v>
      </c>
      <c r="KW215" s="92" t="s">
        <v>1402</v>
      </c>
      <c r="KX215" s="92" t="s">
        <v>1376</v>
      </c>
      <c r="KY215" s="92" t="s">
        <v>1987</v>
      </c>
      <c r="KZ215" s="92" t="s">
        <v>5795</v>
      </c>
      <c r="LA215" s="92" t="s">
        <v>109</v>
      </c>
      <c r="LB215" s="92" t="s">
        <v>109</v>
      </c>
      <c r="LC215" s="92" t="s">
        <v>4439</v>
      </c>
      <c r="LD215" s="92" t="s">
        <v>4439</v>
      </c>
      <c r="LE215" s="92" t="s">
        <v>192</v>
      </c>
      <c r="LF215" s="92" t="s">
        <v>192</v>
      </c>
    </row>
    <row r="216" spans="1:318" x14ac:dyDescent="0.25">
      <c r="A216" t="s">
        <v>2349</v>
      </c>
      <c r="B216" t="s">
        <v>2350</v>
      </c>
      <c r="C216" t="s">
        <v>1304</v>
      </c>
      <c r="D216" t="s">
        <v>1305</v>
      </c>
      <c r="E216" t="s">
        <v>1306</v>
      </c>
      <c r="G216" t="s">
        <v>1307</v>
      </c>
      <c r="H216">
        <v>2</v>
      </c>
      <c r="I216" t="s">
        <v>1307</v>
      </c>
      <c r="J216" t="s">
        <v>1430</v>
      </c>
      <c r="K216" t="s">
        <v>1309</v>
      </c>
      <c r="L216" t="s">
        <v>1309</v>
      </c>
      <c r="M216" t="s">
        <v>1310</v>
      </c>
      <c r="N216" t="s">
        <v>1309</v>
      </c>
      <c r="O216" t="s">
        <v>1309</v>
      </c>
      <c r="P216" t="s">
        <v>1309</v>
      </c>
      <c r="Q216" t="s">
        <v>1309</v>
      </c>
      <c r="R216" t="s">
        <v>1309</v>
      </c>
      <c r="T216">
        <v>2</v>
      </c>
      <c r="U216" t="s">
        <v>1311</v>
      </c>
      <c r="V216" t="s">
        <v>1312</v>
      </c>
      <c r="W216" t="s">
        <v>1486</v>
      </c>
      <c r="X216" t="s">
        <v>1311</v>
      </c>
      <c r="Y216" t="s">
        <v>1312</v>
      </c>
      <c r="Z216" t="s">
        <v>1312</v>
      </c>
      <c r="AC216">
        <v>2</v>
      </c>
      <c r="AD216">
        <v>6000</v>
      </c>
      <c r="AE216">
        <v>5000</v>
      </c>
      <c r="AF216" t="s">
        <v>1351</v>
      </c>
      <c r="AH216" t="s">
        <v>1314</v>
      </c>
      <c r="AJ216" t="s">
        <v>1353</v>
      </c>
      <c r="AL216" t="s">
        <v>1316</v>
      </c>
      <c r="BA216" t="s">
        <v>1354</v>
      </c>
      <c r="BS216" t="s">
        <v>1307</v>
      </c>
      <c r="CE216" t="s">
        <v>2351</v>
      </c>
      <c r="CF216" t="s">
        <v>1310</v>
      </c>
      <c r="CG216" t="s">
        <v>1309</v>
      </c>
      <c r="CH216" t="s">
        <v>1310</v>
      </c>
      <c r="CI216" t="s">
        <v>1309</v>
      </c>
      <c r="CJ216" t="s">
        <v>1309</v>
      </c>
      <c r="CK216" t="s">
        <v>1309</v>
      </c>
      <c r="CL216" t="s">
        <v>1309</v>
      </c>
      <c r="CM216" t="s">
        <v>1309</v>
      </c>
      <c r="CN216" t="s">
        <v>1309</v>
      </c>
      <c r="CO216" t="s">
        <v>1309</v>
      </c>
      <c r="CP216" t="s">
        <v>1309</v>
      </c>
      <c r="CQ216" t="s">
        <v>1309</v>
      </c>
      <c r="CR216" t="s">
        <v>1309</v>
      </c>
      <c r="CT216" t="s">
        <v>4436</v>
      </c>
      <c r="CV216" t="s">
        <v>1308</v>
      </c>
      <c r="CW216" t="s">
        <v>1310</v>
      </c>
      <c r="CX216" t="s">
        <v>1309</v>
      </c>
      <c r="CY216" t="s">
        <v>1309</v>
      </c>
      <c r="CZ216" t="s">
        <v>1309</v>
      </c>
      <c r="DA216" t="s">
        <v>1309</v>
      </c>
      <c r="DB216" t="s">
        <v>1309</v>
      </c>
      <c r="DC216" t="s">
        <v>1309</v>
      </c>
      <c r="DE216" t="s">
        <v>1358</v>
      </c>
      <c r="DF216" t="s">
        <v>1319</v>
      </c>
      <c r="DG216">
        <v>200</v>
      </c>
      <c r="DI216">
        <v>400</v>
      </c>
      <c r="DJ216" t="s">
        <v>1358</v>
      </c>
      <c r="DK216">
        <v>150</v>
      </c>
      <c r="DM216">
        <v>500</v>
      </c>
      <c r="DN216" t="s">
        <v>1320</v>
      </c>
      <c r="DO216" t="s">
        <v>1310</v>
      </c>
      <c r="DP216" t="s">
        <v>1309</v>
      </c>
      <c r="DQ216" t="s">
        <v>1309</v>
      </c>
      <c r="DR216" t="s">
        <v>1309</v>
      </c>
      <c r="DS216" t="s">
        <v>1309</v>
      </c>
      <c r="DT216" t="s">
        <v>1310</v>
      </c>
      <c r="DU216" t="s">
        <v>1309</v>
      </c>
      <c r="DV216" t="s">
        <v>1309</v>
      </c>
      <c r="DW216" t="s">
        <v>1309</v>
      </c>
      <c r="DY216" t="s">
        <v>1481</v>
      </c>
      <c r="DZ216">
        <v>800</v>
      </c>
      <c r="EA216" t="s">
        <v>1319</v>
      </c>
      <c r="EC216" t="s">
        <v>1457</v>
      </c>
      <c r="ED216">
        <v>800</v>
      </c>
      <c r="EE216" t="s">
        <v>1319</v>
      </c>
      <c r="EG216" t="s">
        <v>5356</v>
      </c>
      <c r="EI216" t="s">
        <v>1307</v>
      </c>
      <c r="ET216" t="s">
        <v>1307</v>
      </c>
      <c r="EV216" t="s">
        <v>1319</v>
      </c>
      <c r="EW216" t="s">
        <v>1409</v>
      </c>
      <c r="EX216" t="s">
        <v>1319</v>
      </c>
      <c r="EY216" t="s">
        <v>1307</v>
      </c>
      <c r="EZ216" t="s">
        <v>1319</v>
      </c>
      <c r="FA216" t="s">
        <v>2352</v>
      </c>
      <c r="FB216" t="s">
        <v>1309</v>
      </c>
      <c r="FC216" t="s">
        <v>1310</v>
      </c>
      <c r="FD216" t="s">
        <v>1309</v>
      </c>
      <c r="FE216" t="s">
        <v>1309</v>
      </c>
      <c r="FF216" t="s">
        <v>1310</v>
      </c>
      <c r="FG216" t="s">
        <v>1309</v>
      </c>
      <c r="FH216" t="s">
        <v>1310</v>
      </c>
      <c r="FI216" t="s">
        <v>1310</v>
      </c>
      <c r="FJ216" t="s">
        <v>1310</v>
      </c>
      <c r="FK216" t="s">
        <v>1309</v>
      </c>
      <c r="FL216" t="s">
        <v>1309</v>
      </c>
      <c r="FM216" t="s">
        <v>1309</v>
      </c>
      <c r="FN216" t="s">
        <v>1309</v>
      </c>
      <c r="FO216" t="s">
        <v>1309</v>
      </c>
      <c r="FP216" t="s">
        <v>1309</v>
      </c>
      <c r="FQ216" t="s">
        <v>1309</v>
      </c>
      <c r="FR216" t="s">
        <v>1309</v>
      </c>
      <c r="FT216" t="s">
        <v>1319</v>
      </c>
      <c r="FU216" t="s">
        <v>1435</v>
      </c>
      <c r="FV216" t="s">
        <v>1310</v>
      </c>
      <c r="FW216" t="s">
        <v>1309</v>
      </c>
      <c r="FX216" t="s">
        <v>1309</v>
      </c>
      <c r="FY216" t="s">
        <v>1309</v>
      </c>
      <c r="FZ216" t="s">
        <v>1309</v>
      </c>
      <c r="GA216" t="s">
        <v>1309</v>
      </c>
      <c r="GB216" t="s">
        <v>1309</v>
      </c>
      <c r="GC216" t="s">
        <v>1309</v>
      </c>
      <c r="GD216" t="s">
        <v>1309</v>
      </c>
      <c r="GE216" t="s">
        <v>1309</v>
      </c>
      <c r="GF216" t="s">
        <v>1309</v>
      </c>
      <c r="GG216" t="s">
        <v>1309</v>
      </c>
      <c r="GI216" t="s">
        <v>1324</v>
      </c>
      <c r="GJ216" t="s">
        <v>1324</v>
      </c>
      <c r="GT216" t="s">
        <v>1325</v>
      </c>
      <c r="GU216" t="s">
        <v>1310</v>
      </c>
      <c r="GV216" t="s">
        <v>1309</v>
      </c>
      <c r="GW216" t="s">
        <v>1309</v>
      </c>
      <c r="GX216" t="s">
        <v>1309</v>
      </c>
      <c r="GY216" t="s">
        <v>1309</v>
      </c>
      <c r="GZ216" t="s">
        <v>1309</v>
      </c>
      <c r="HA216" t="s">
        <v>1309</v>
      </c>
      <c r="HB216" t="s">
        <v>1309</v>
      </c>
      <c r="HC216" t="s">
        <v>1309</v>
      </c>
      <c r="HD216" t="s">
        <v>1309</v>
      </c>
      <c r="HE216" t="s">
        <v>1309</v>
      </c>
      <c r="HF216" t="s">
        <v>1309</v>
      </c>
      <c r="HH216" t="s">
        <v>1390</v>
      </c>
      <c r="HI216" t="s">
        <v>1327</v>
      </c>
      <c r="HJ216" t="s">
        <v>1390</v>
      </c>
      <c r="HK216" t="s">
        <v>1327</v>
      </c>
      <c r="HL216" t="s">
        <v>1328</v>
      </c>
      <c r="HM216" t="s">
        <v>1390</v>
      </c>
      <c r="HN216" t="s">
        <v>1435</v>
      </c>
      <c r="HO216" t="s">
        <v>1309</v>
      </c>
      <c r="HP216" t="s">
        <v>1310</v>
      </c>
      <c r="HQ216" t="s">
        <v>1309</v>
      </c>
      <c r="HR216" t="s">
        <v>1309</v>
      </c>
      <c r="HS216" t="s">
        <v>1309</v>
      </c>
      <c r="HT216" t="s">
        <v>1309</v>
      </c>
      <c r="HU216" t="s">
        <v>1309</v>
      </c>
      <c r="HV216" t="s">
        <v>1309</v>
      </c>
      <c r="HW216" t="s">
        <v>1309</v>
      </c>
      <c r="HX216" t="s">
        <v>1309</v>
      </c>
      <c r="HY216" t="s">
        <v>1309</v>
      </c>
      <c r="IA216" t="s">
        <v>1307</v>
      </c>
      <c r="IQ216" t="s">
        <v>1365</v>
      </c>
      <c r="IS216" t="s">
        <v>1316</v>
      </c>
      <c r="JF216" t="s">
        <v>1413</v>
      </c>
      <c r="JG216" t="s">
        <v>1332</v>
      </c>
      <c r="JH216" t="s">
        <v>1309</v>
      </c>
      <c r="JI216" t="s">
        <v>1309</v>
      </c>
      <c r="JJ216" t="s">
        <v>1309</v>
      </c>
      <c r="JK216" t="s">
        <v>1309</v>
      </c>
      <c r="JL216" t="s">
        <v>1310</v>
      </c>
      <c r="JM216" t="s">
        <v>1309</v>
      </c>
      <c r="JN216" t="s">
        <v>1309</v>
      </c>
      <c r="JO216" t="s">
        <v>1309</v>
      </c>
      <c r="JQ216" s="92" t="s">
        <v>1516</v>
      </c>
      <c r="JR216" s="92" t="s">
        <v>2353</v>
      </c>
      <c r="JS216" s="92">
        <v>67</v>
      </c>
      <c r="JT216" s="92" t="s">
        <v>1319</v>
      </c>
      <c r="JU216" s="92" t="s">
        <v>1335</v>
      </c>
      <c r="JV216" s="92" t="s">
        <v>1336</v>
      </c>
      <c r="JW216" s="92" t="s">
        <v>1296</v>
      </c>
      <c r="JX216" s="92" t="s">
        <v>70</v>
      </c>
      <c r="JY216" s="92" t="s">
        <v>5549</v>
      </c>
      <c r="JZ216" s="92" t="s">
        <v>1369</v>
      </c>
      <c r="KA216" s="92" t="s">
        <v>4845</v>
      </c>
      <c r="KB216" s="92" t="s">
        <v>1476</v>
      </c>
      <c r="KC216" s="92" t="s">
        <v>192</v>
      </c>
      <c r="KD216" s="92" t="s">
        <v>4847</v>
      </c>
      <c r="KE216" s="92" t="s">
        <v>1424</v>
      </c>
      <c r="KF216" s="92">
        <v>600</v>
      </c>
      <c r="KG216" s="92" t="s">
        <v>1372</v>
      </c>
      <c r="KH216" s="92" t="s">
        <v>192</v>
      </c>
      <c r="KI216" s="92" t="s">
        <v>109</v>
      </c>
      <c r="KJ216" s="92" t="s">
        <v>192</v>
      </c>
      <c r="KK216" s="92" t="s">
        <v>109</v>
      </c>
      <c r="KL216" s="92" t="s">
        <v>1374</v>
      </c>
      <c r="KM216" s="92">
        <v>650</v>
      </c>
      <c r="KN216" s="92" t="s">
        <v>4438</v>
      </c>
      <c r="KO216" s="92" t="s">
        <v>1374</v>
      </c>
      <c r="KP216" s="92" t="s">
        <v>1401</v>
      </c>
      <c r="KQ216" s="92" t="s">
        <v>192</v>
      </c>
      <c r="KR216" s="92"/>
      <c r="KS216" s="92" t="s">
        <v>1466</v>
      </c>
      <c r="KT216" s="92" t="s">
        <v>1344</v>
      </c>
      <c r="KU216" s="92"/>
      <c r="KV216" s="92" t="s">
        <v>1441</v>
      </c>
      <c r="KW216" s="92" t="s">
        <v>1344</v>
      </c>
      <c r="KX216" s="92" t="s">
        <v>1376</v>
      </c>
      <c r="KY216" s="92" t="s">
        <v>1377</v>
      </c>
      <c r="KZ216" s="92" t="s">
        <v>5795</v>
      </c>
      <c r="LA216" s="92" t="s">
        <v>109</v>
      </c>
      <c r="LB216" s="92" t="s">
        <v>109</v>
      </c>
      <c r="LC216" s="92" t="s">
        <v>4438</v>
      </c>
      <c r="LD216" s="92" t="s">
        <v>4438</v>
      </c>
      <c r="LE216" s="92" t="s">
        <v>109</v>
      </c>
      <c r="LF216" s="92" t="s">
        <v>109</v>
      </c>
    </row>
    <row r="217" spans="1:318" x14ac:dyDescent="0.25">
      <c r="A217" t="s">
        <v>2354</v>
      </c>
      <c r="B217" t="s">
        <v>2355</v>
      </c>
      <c r="C217" t="s">
        <v>1304</v>
      </c>
      <c r="D217" t="s">
        <v>1305</v>
      </c>
      <c r="E217" t="s">
        <v>1306</v>
      </c>
      <c r="G217" t="s">
        <v>1307</v>
      </c>
      <c r="H217">
        <v>3</v>
      </c>
      <c r="I217" t="s">
        <v>1307</v>
      </c>
      <c r="J217" t="s">
        <v>2356</v>
      </c>
      <c r="K217" t="s">
        <v>1309</v>
      </c>
      <c r="L217" t="s">
        <v>1309</v>
      </c>
      <c r="M217" t="s">
        <v>1310</v>
      </c>
      <c r="N217" t="s">
        <v>1310</v>
      </c>
      <c r="O217" t="s">
        <v>1310</v>
      </c>
      <c r="P217" t="s">
        <v>1309</v>
      </c>
      <c r="Q217" t="s">
        <v>1309</v>
      </c>
      <c r="R217" t="s">
        <v>1309</v>
      </c>
      <c r="T217">
        <v>2</v>
      </c>
      <c r="U217" t="s">
        <v>1486</v>
      </c>
      <c r="V217" t="s">
        <v>1486</v>
      </c>
      <c r="W217" t="s">
        <v>1455</v>
      </c>
      <c r="X217" t="s">
        <v>1311</v>
      </c>
      <c r="Y217" t="s">
        <v>1455</v>
      </c>
      <c r="Z217" t="s">
        <v>1312</v>
      </c>
      <c r="AA217">
        <v>1</v>
      </c>
      <c r="AB217">
        <v>1</v>
      </c>
      <c r="AC217">
        <v>3</v>
      </c>
      <c r="AD217">
        <v>9000</v>
      </c>
      <c r="AE217">
        <v>6000</v>
      </c>
      <c r="AF217" t="s">
        <v>1351</v>
      </c>
      <c r="AH217" t="s">
        <v>1314</v>
      </c>
      <c r="AJ217" t="s">
        <v>1315</v>
      </c>
      <c r="AL217" t="s">
        <v>1316</v>
      </c>
      <c r="BS217" t="s">
        <v>1307</v>
      </c>
      <c r="CE217" t="s">
        <v>1355</v>
      </c>
      <c r="CF217" t="s">
        <v>1309</v>
      </c>
      <c r="CG217" t="s">
        <v>1309</v>
      </c>
      <c r="CH217" t="s">
        <v>1309</v>
      </c>
      <c r="CI217" t="s">
        <v>1309</v>
      </c>
      <c r="CJ217" t="s">
        <v>1309</v>
      </c>
      <c r="CK217" t="s">
        <v>1309</v>
      </c>
      <c r="CL217" t="s">
        <v>1309</v>
      </c>
      <c r="CM217" t="s">
        <v>1309</v>
      </c>
      <c r="CN217" t="s">
        <v>1310</v>
      </c>
      <c r="CO217" t="s">
        <v>1309</v>
      </c>
      <c r="CP217" t="s">
        <v>1309</v>
      </c>
      <c r="CQ217" t="s">
        <v>1309</v>
      </c>
      <c r="CR217" t="s">
        <v>1309</v>
      </c>
      <c r="CT217" t="s">
        <v>4434</v>
      </c>
      <c r="CV217" t="s">
        <v>1356</v>
      </c>
      <c r="CW217" t="s">
        <v>1309</v>
      </c>
      <c r="CX217" t="s">
        <v>1309</v>
      </c>
      <c r="CY217" t="s">
        <v>1309</v>
      </c>
      <c r="CZ217" t="s">
        <v>1310</v>
      </c>
      <c r="DA217" t="s">
        <v>1309</v>
      </c>
      <c r="DB217" t="s">
        <v>1309</v>
      </c>
      <c r="DC217" t="s">
        <v>1309</v>
      </c>
      <c r="DE217" t="s">
        <v>1358</v>
      </c>
      <c r="DG217">
        <v>600</v>
      </c>
      <c r="DH217">
        <v>2000</v>
      </c>
      <c r="DI217">
        <v>600</v>
      </c>
      <c r="DJ217" t="s">
        <v>1358</v>
      </c>
      <c r="DK217">
        <v>300</v>
      </c>
      <c r="DL217">
        <v>1800</v>
      </c>
      <c r="DM217">
        <v>500</v>
      </c>
      <c r="DN217" t="s">
        <v>1320</v>
      </c>
      <c r="DO217" t="s">
        <v>1310</v>
      </c>
      <c r="DP217" t="s">
        <v>1309</v>
      </c>
      <c r="DQ217" t="s">
        <v>1309</v>
      </c>
      <c r="DR217" t="s">
        <v>1309</v>
      </c>
      <c r="DS217" t="s">
        <v>1309</v>
      </c>
      <c r="DT217" t="s">
        <v>1310</v>
      </c>
      <c r="DU217" t="s">
        <v>1309</v>
      </c>
      <c r="DV217" t="s">
        <v>1309</v>
      </c>
      <c r="DW217" t="s">
        <v>1309</v>
      </c>
      <c r="DY217" t="s">
        <v>1359</v>
      </c>
      <c r="DZ217">
        <v>300</v>
      </c>
      <c r="EA217" t="s">
        <v>1319</v>
      </c>
      <c r="EC217" t="s">
        <v>1457</v>
      </c>
      <c r="ED217">
        <v>900</v>
      </c>
      <c r="EE217" t="s">
        <v>1319</v>
      </c>
      <c r="EG217" t="s">
        <v>5357</v>
      </c>
      <c r="ET217" t="s">
        <v>1307</v>
      </c>
      <c r="EV217" t="s">
        <v>1319</v>
      </c>
      <c r="EW217" t="s">
        <v>1409</v>
      </c>
      <c r="EX217" t="s">
        <v>1319</v>
      </c>
      <c r="EY217" t="s">
        <v>1319</v>
      </c>
      <c r="EZ217" t="s">
        <v>1319</v>
      </c>
      <c r="FA217" t="s">
        <v>2357</v>
      </c>
      <c r="FB217" t="s">
        <v>1310</v>
      </c>
      <c r="FC217" t="s">
        <v>1309</v>
      </c>
      <c r="FD217" t="s">
        <v>1310</v>
      </c>
      <c r="FE217" t="s">
        <v>1309</v>
      </c>
      <c r="FF217" t="s">
        <v>1309</v>
      </c>
      <c r="FG217" t="s">
        <v>1310</v>
      </c>
      <c r="FH217" t="s">
        <v>1310</v>
      </c>
      <c r="FI217" t="s">
        <v>1309</v>
      </c>
      <c r="FJ217" t="s">
        <v>1309</v>
      </c>
      <c r="FK217" t="s">
        <v>1310</v>
      </c>
      <c r="FL217" t="s">
        <v>1309</v>
      </c>
      <c r="FM217" t="s">
        <v>1310</v>
      </c>
      <c r="FN217" t="s">
        <v>1309</v>
      </c>
      <c r="FO217" t="s">
        <v>1309</v>
      </c>
      <c r="FP217" t="s">
        <v>1309</v>
      </c>
      <c r="FQ217" t="s">
        <v>1309</v>
      </c>
      <c r="FR217" t="s">
        <v>1309</v>
      </c>
      <c r="FT217" t="s">
        <v>1319</v>
      </c>
      <c r="FU217" t="s">
        <v>1649</v>
      </c>
      <c r="FV217" t="s">
        <v>1310</v>
      </c>
      <c r="FW217" t="s">
        <v>1310</v>
      </c>
      <c r="FX217" t="s">
        <v>1309</v>
      </c>
      <c r="FY217" t="s">
        <v>1309</v>
      </c>
      <c r="FZ217" t="s">
        <v>1309</v>
      </c>
      <c r="GA217" t="s">
        <v>1309</v>
      </c>
      <c r="GB217" t="s">
        <v>1309</v>
      </c>
      <c r="GC217" t="s">
        <v>1309</v>
      </c>
      <c r="GD217" t="s">
        <v>1309</v>
      </c>
      <c r="GE217" t="s">
        <v>1309</v>
      </c>
      <c r="GF217" t="s">
        <v>1309</v>
      </c>
      <c r="GG217" t="s">
        <v>1309</v>
      </c>
      <c r="GI217" t="s">
        <v>1324</v>
      </c>
      <c r="GJ217" t="s">
        <v>1324</v>
      </c>
      <c r="GT217" t="s">
        <v>1325</v>
      </c>
      <c r="GU217" t="s">
        <v>1310</v>
      </c>
      <c r="GV217" t="s">
        <v>1309</v>
      </c>
      <c r="GW217" t="s">
        <v>1309</v>
      </c>
      <c r="GX217" t="s">
        <v>1309</v>
      </c>
      <c r="GY217" t="s">
        <v>1309</v>
      </c>
      <c r="GZ217" t="s">
        <v>1309</v>
      </c>
      <c r="HA217" t="s">
        <v>1309</v>
      </c>
      <c r="HB217" t="s">
        <v>1309</v>
      </c>
      <c r="HC217" t="s">
        <v>1309</v>
      </c>
      <c r="HD217" t="s">
        <v>1309</v>
      </c>
      <c r="HE217" t="s">
        <v>1309</v>
      </c>
      <c r="HF217" t="s">
        <v>1309</v>
      </c>
      <c r="HH217" t="s">
        <v>1326</v>
      </c>
      <c r="HI217" t="s">
        <v>1327</v>
      </c>
      <c r="HJ217" t="s">
        <v>1326</v>
      </c>
      <c r="HK217" t="s">
        <v>1327</v>
      </c>
      <c r="HL217" t="s">
        <v>1437</v>
      </c>
      <c r="HM217" t="s">
        <v>1326</v>
      </c>
      <c r="HN217" t="s">
        <v>1555</v>
      </c>
      <c r="HO217" t="s">
        <v>1310</v>
      </c>
      <c r="HP217" t="s">
        <v>1310</v>
      </c>
      <c r="HQ217" t="s">
        <v>1309</v>
      </c>
      <c r="HR217" t="s">
        <v>1309</v>
      </c>
      <c r="HS217" t="s">
        <v>1309</v>
      </c>
      <c r="HT217" t="s">
        <v>1310</v>
      </c>
      <c r="HU217" t="s">
        <v>1309</v>
      </c>
      <c r="HV217" t="s">
        <v>1309</v>
      </c>
      <c r="HW217" t="s">
        <v>1309</v>
      </c>
      <c r="HX217" t="s">
        <v>1309</v>
      </c>
      <c r="HY217" t="s">
        <v>1309</v>
      </c>
      <c r="IA217" t="s">
        <v>1307</v>
      </c>
      <c r="IQ217" t="s">
        <v>1365</v>
      </c>
      <c r="IS217" t="s">
        <v>1331</v>
      </c>
      <c r="JF217" t="s">
        <v>1413</v>
      </c>
      <c r="JG217" t="s">
        <v>1976</v>
      </c>
      <c r="JH217" t="s">
        <v>1310</v>
      </c>
      <c r="JI217" t="s">
        <v>1309</v>
      </c>
      <c r="JJ217" t="s">
        <v>1309</v>
      </c>
      <c r="JK217" t="s">
        <v>1309</v>
      </c>
      <c r="JL217" t="s">
        <v>1310</v>
      </c>
      <c r="JM217" t="s">
        <v>1309</v>
      </c>
      <c r="JN217" t="s">
        <v>1309</v>
      </c>
      <c r="JO217" t="s">
        <v>1309</v>
      </c>
      <c r="JQ217" s="92" t="s">
        <v>1516</v>
      </c>
      <c r="JR217" s="92" t="s">
        <v>2353</v>
      </c>
      <c r="JS217" s="92">
        <v>41</v>
      </c>
      <c r="JT217" s="92" t="s">
        <v>1319</v>
      </c>
      <c r="JU217" s="92" t="s">
        <v>1335</v>
      </c>
      <c r="JV217" s="92" t="s">
        <v>1336</v>
      </c>
      <c r="JW217" s="92" t="s">
        <v>1296</v>
      </c>
      <c r="JX217" s="92" t="s">
        <v>70</v>
      </c>
      <c r="JY217" s="92" t="s">
        <v>5549</v>
      </c>
      <c r="JZ217" s="92" t="s">
        <v>1337</v>
      </c>
      <c r="KA217" s="92" t="s">
        <v>4845</v>
      </c>
      <c r="KB217" s="92" t="s">
        <v>1439</v>
      </c>
      <c r="KC217" s="92" t="s">
        <v>192</v>
      </c>
      <c r="KD217" s="92" t="s">
        <v>4848</v>
      </c>
      <c r="KE217" s="92" t="s">
        <v>1424</v>
      </c>
      <c r="KF217" s="92">
        <v>3200</v>
      </c>
      <c r="KG217" s="92" t="s">
        <v>4439</v>
      </c>
      <c r="KH217" s="92" t="s">
        <v>192</v>
      </c>
      <c r="KI217" s="92" t="s">
        <v>192</v>
      </c>
      <c r="KJ217" s="92" t="s">
        <v>192</v>
      </c>
      <c r="KK217" s="92" t="s">
        <v>192</v>
      </c>
      <c r="KL217" s="92" t="s">
        <v>1341</v>
      </c>
      <c r="KM217" s="92">
        <v>2600</v>
      </c>
      <c r="KN217" s="92" t="s">
        <v>4439</v>
      </c>
      <c r="KO217" s="92" t="s">
        <v>1425</v>
      </c>
      <c r="KP217" s="92" t="s">
        <v>1375</v>
      </c>
      <c r="KQ217" s="92" t="s">
        <v>192</v>
      </c>
      <c r="KR217" s="92">
        <v>9</v>
      </c>
      <c r="KS217" s="92" t="s">
        <v>1343</v>
      </c>
      <c r="KT217" s="92" t="s">
        <v>1344</v>
      </c>
      <c r="KU217" s="92">
        <v>35</v>
      </c>
      <c r="KV217" s="92" t="s">
        <v>1461</v>
      </c>
      <c r="KW217" s="92" t="s">
        <v>1344</v>
      </c>
      <c r="KX217" s="92" t="s">
        <v>1376</v>
      </c>
      <c r="KY217" s="92" t="s">
        <v>1377</v>
      </c>
      <c r="KZ217" s="92" t="s">
        <v>5795</v>
      </c>
      <c r="LA217" s="92" t="s">
        <v>192</v>
      </c>
      <c r="LB217" s="92" t="s">
        <v>192</v>
      </c>
      <c r="LC217" s="92" t="s">
        <v>4439</v>
      </c>
      <c r="LD217" s="92" t="s">
        <v>4439</v>
      </c>
      <c r="LE217" s="92" t="s">
        <v>192</v>
      </c>
      <c r="LF217" s="92" t="s">
        <v>109</v>
      </c>
    </row>
    <row r="218" spans="1:318" x14ac:dyDescent="0.25">
      <c r="A218" t="s">
        <v>2358</v>
      </c>
      <c r="B218" t="s">
        <v>2359</v>
      </c>
      <c r="C218" t="s">
        <v>1304</v>
      </c>
      <c r="D218" t="s">
        <v>1429</v>
      </c>
      <c r="E218" t="s">
        <v>1306</v>
      </c>
      <c r="G218" t="s">
        <v>1307</v>
      </c>
      <c r="H218">
        <v>2</v>
      </c>
      <c r="I218" t="s">
        <v>1307</v>
      </c>
      <c r="J218" t="s">
        <v>1308</v>
      </c>
      <c r="K218" t="s">
        <v>1309</v>
      </c>
      <c r="L218" t="s">
        <v>1309</v>
      </c>
      <c r="M218" t="s">
        <v>1309</v>
      </c>
      <c r="N218" t="s">
        <v>1309</v>
      </c>
      <c r="O218" t="s">
        <v>1309</v>
      </c>
      <c r="P218" t="s">
        <v>1309</v>
      </c>
      <c r="Q218" t="s">
        <v>1310</v>
      </c>
      <c r="R218" t="s">
        <v>1309</v>
      </c>
      <c r="U218" t="s">
        <v>1312</v>
      </c>
      <c r="V218" t="s">
        <v>1312</v>
      </c>
      <c r="W218" t="s">
        <v>1311</v>
      </c>
      <c r="X218" t="s">
        <v>1312</v>
      </c>
      <c r="Y218" t="s">
        <v>1312</v>
      </c>
      <c r="Z218" t="s">
        <v>1312</v>
      </c>
      <c r="AC218">
        <v>1</v>
      </c>
      <c r="AD218">
        <v>3000</v>
      </c>
      <c r="AE218">
        <v>2500</v>
      </c>
      <c r="AF218" t="s">
        <v>1351</v>
      </c>
      <c r="AH218" t="s">
        <v>1314</v>
      </c>
      <c r="AJ218" t="s">
        <v>1353</v>
      </c>
      <c r="AL218" t="s">
        <v>1316</v>
      </c>
      <c r="BA218" t="s">
        <v>1354</v>
      </c>
      <c r="BS218" t="s">
        <v>1307</v>
      </c>
      <c r="CE218" t="s">
        <v>2360</v>
      </c>
      <c r="CF218" t="s">
        <v>1309</v>
      </c>
      <c r="CG218" t="s">
        <v>1309</v>
      </c>
      <c r="CH218" t="s">
        <v>1310</v>
      </c>
      <c r="CI218" t="s">
        <v>1309</v>
      </c>
      <c r="CJ218" t="s">
        <v>1309</v>
      </c>
      <c r="CK218" t="s">
        <v>1309</v>
      </c>
      <c r="CL218" t="s">
        <v>1309</v>
      </c>
      <c r="CM218" t="s">
        <v>1309</v>
      </c>
      <c r="CN218" t="s">
        <v>1310</v>
      </c>
      <c r="CO218" t="s">
        <v>1309</v>
      </c>
      <c r="CP218" t="s">
        <v>1309</v>
      </c>
      <c r="CQ218" t="s">
        <v>1309</v>
      </c>
      <c r="CR218" t="s">
        <v>1309</v>
      </c>
      <c r="CT218" t="s">
        <v>4436</v>
      </c>
      <c r="CV218" t="s">
        <v>1308</v>
      </c>
      <c r="CW218" t="s">
        <v>1310</v>
      </c>
      <c r="CX218" t="s">
        <v>1309</v>
      </c>
      <c r="CY218" t="s">
        <v>1309</v>
      </c>
      <c r="CZ218" t="s">
        <v>1309</v>
      </c>
      <c r="DA218" t="s">
        <v>1309</v>
      </c>
      <c r="DB218" t="s">
        <v>1309</v>
      </c>
      <c r="DC218" t="s">
        <v>1309</v>
      </c>
      <c r="DE218" t="s">
        <v>1358</v>
      </c>
      <c r="DF218" t="s">
        <v>1307</v>
      </c>
      <c r="DI218">
        <v>300</v>
      </c>
      <c r="DJ218" t="s">
        <v>1358</v>
      </c>
      <c r="DL218">
        <v>1000</v>
      </c>
      <c r="DM218">
        <v>350</v>
      </c>
      <c r="DN218" t="s">
        <v>1320</v>
      </c>
      <c r="DO218" t="s">
        <v>1310</v>
      </c>
      <c r="DP218" t="s">
        <v>1309</v>
      </c>
      <c r="DQ218" t="s">
        <v>1309</v>
      </c>
      <c r="DR218" t="s">
        <v>1309</v>
      </c>
      <c r="DS218" t="s">
        <v>1309</v>
      </c>
      <c r="DT218" t="s">
        <v>1310</v>
      </c>
      <c r="DU218" t="s">
        <v>1309</v>
      </c>
      <c r="DV218" t="s">
        <v>1309</v>
      </c>
      <c r="DW218" t="s">
        <v>1309</v>
      </c>
      <c r="DY218" t="s">
        <v>1481</v>
      </c>
      <c r="DZ218">
        <v>300</v>
      </c>
      <c r="EA218" t="s">
        <v>1319</v>
      </c>
      <c r="EC218" t="s">
        <v>1474</v>
      </c>
      <c r="ED218">
        <v>500</v>
      </c>
      <c r="EE218" t="s">
        <v>1319</v>
      </c>
      <c r="EG218" t="s">
        <v>5356</v>
      </c>
      <c r="EI218" t="s">
        <v>1307</v>
      </c>
      <c r="ET218" t="s">
        <v>1307</v>
      </c>
      <c r="EV218" t="s">
        <v>1319</v>
      </c>
      <c r="EW218" t="s">
        <v>1409</v>
      </c>
      <c r="EX218" t="s">
        <v>1319</v>
      </c>
      <c r="EZ218" t="s">
        <v>1307</v>
      </c>
      <c r="FA218" t="s">
        <v>2361</v>
      </c>
      <c r="FB218" t="s">
        <v>1309</v>
      </c>
      <c r="FC218" t="s">
        <v>1309</v>
      </c>
      <c r="FD218" t="s">
        <v>1309</v>
      </c>
      <c r="FE218" t="s">
        <v>1309</v>
      </c>
      <c r="FF218" t="s">
        <v>1309</v>
      </c>
      <c r="FG218" t="s">
        <v>1310</v>
      </c>
      <c r="FH218" t="s">
        <v>1310</v>
      </c>
      <c r="FI218" t="s">
        <v>1310</v>
      </c>
      <c r="FJ218" t="s">
        <v>1309</v>
      </c>
      <c r="FK218" t="s">
        <v>1309</v>
      </c>
      <c r="FL218" t="s">
        <v>1309</v>
      </c>
      <c r="FM218" t="s">
        <v>1309</v>
      </c>
      <c r="FN218" t="s">
        <v>1309</v>
      </c>
      <c r="FO218" t="s">
        <v>1309</v>
      </c>
      <c r="FP218" t="s">
        <v>1309</v>
      </c>
      <c r="FQ218" t="s">
        <v>1309</v>
      </c>
      <c r="FR218" t="s">
        <v>1309</v>
      </c>
      <c r="FT218" t="s">
        <v>1319</v>
      </c>
      <c r="FU218" t="s">
        <v>1435</v>
      </c>
      <c r="FV218" t="s">
        <v>1310</v>
      </c>
      <c r="FW218" t="s">
        <v>1309</v>
      </c>
      <c r="FX218" t="s">
        <v>1309</v>
      </c>
      <c r="FY218" t="s">
        <v>1309</v>
      </c>
      <c r="FZ218" t="s">
        <v>1309</v>
      </c>
      <c r="GA218" t="s">
        <v>1309</v>
      </c>
      <c r="GB218" t="s">
        <v>1309</v>
      </c>
      <c r="GC218" t="s">
        <v>1309</v>
      </c>
      <c r="GD218" t="s">
        <v>1309</v>
      </c>
      <c r="GE218" t="s">
        <v>1309</v>
      </c>
      <c r="GF218" t="s">
        <v>1309</v>
      </c>
      <c r="GG218" t="s">
        <v>1309</v>
      </c>
      <c r="GI218" t="s">
        <v>1324</v>
      </c>
      <c r="GJ218" t="s">
        <v>1324</v>
      </c>
      <c r="GT218" t="s">
        <v>1325</v>
      </c>
      <c r="GU218" t="s">
        <v>1310</v>
      </c>
      <c r="GV218" t="s">
        <v>1309</v>
      </c>
      <c r="GW218" t="s">
        <v>1309</v>
      </c>
      <c r="GX218" t="s">
        <v>1309</v>
      </c>
      <c r="GY218" t="s">
        <v>1309</v>
      </c>
      <c r="GZ218" t="s">
        <v>1309</v>
      </c>
      <c r="HA218" t="s">
        <v>1309</v>
      </c>
      <c r="HB218" t="s">
        <v>1309</v>
      </c>
      <c r="HC218" t="s">
        <v>1309</v>
      </c>
      <c r="HD218" t="s">
        <v>1309</v>
      </c>
      <c r="HE218" t="s">
        <v>1309</v>
      </c>
      <c r="HF218" t="s">
        <v>1309</v>
      </c>
      <c r="HH218" t="s">
        <v>1326</v>
      </c>
      <c r="HI218" t="s">
        <v>1327</v>
      </c>
      <c r="HJ218" t="s">
        <v>1326</v>
      </c>
      <c r="HK218" t="s">
        <v>1327</v>
      </c>
      <c r="HL218" t="s">
        <v>1437</v>
      </c>
      <c r="HM218" t="s">
        <v>1326</v>
      </c>
      <c r="HN218" t="s">
        <v>1555</v>
      </c>
      <c r="HO218" t="s">
        <v>1310</v>
      </c>
      <c r="HP218" t="s">
        <v>1310</v>
      </c>
      <c r="HQ218" t="s">
        <v>1309</v>
      </c>
      <c r="HR218" t="s">
        <v>1309</v>
      </c>
      <c r="HS218" t="s">
        <v>1309</v>
      </c>
      <c r="HT218" t="s">
        <v>1310</v>
      </c>
      <c r="HU218" t="s">
        <v>1309</v>
      </c>
      <c r="HV218" t="s">
        <v>1309</v>
      </c>
      <c r="HW218" t="s">
        <v>1309</v>
      </c>
      <c r="HX218" t="s">
        <v>1309</v>
      </c>
      <c r="HY218" t="s">
        <v>1309</v>
      </c>
      <c r="IA218" t="s">
        <v>1307</v>
      </c>
      <c r="IQ218" t="s">
        <v>1365</v>
      </c>
      <c r="IS218" t="s">
        <v>1331</v>
      </c>
      <c r="JF218" t="s">
        <v>1413</v>
      </c>
      <c r="JG218" t="s">
        <v>1332</v>
      </c>
      <c r="JH218" t="s">
        <v>1309</v>
      </c>
      <c r="JI218" t="s">
        <v>1309</v>
      </c>
      <c r="JJ218" t="s">
        <v>1309</v>
      </c>
      <c r="JK218" t="s">
        <v>1309</v>
      </c>
      <c r="JL218" t="s">
        <v>1310</v>
      </c>
      <c r="JM218" t="s">
        <v>1309</v>
      </c>
      <c r="JN218" t="s">
        <v>1309</v>
      </c>
      <c r="JO218" t="s">
        <v>1309</v>
      </c>
      <c r="JQ218" s="92" t="s">
        <v>1516</v>
      </c>
      <c r="JR218" s="92" t="s">
        <v>2353</v>
      </c>
      <c r="JS218" s="92">
        <v>51</v>
      </c>
      <c r="JT218" s="92" t="s">
        <v>1319</v>
      </c>
      <c r="JU218" s="92" t="s">
        <v>1335</v>
      </c>
      <c r="JV218" s="92" t="s">
        <v>1336</v>
      </c>
      <c r="JW218" s="92" t="s">
        <v>1296</v>
      </c>
      <c r="JX218" s="92" t="s">
        <v>70</v>
      </c>
      <c r="JY218" s="92" t="s">
        <v>5549</v>
      </c>
      <c r="JZ218" s="92" t="s">
        <v>1337</v>
      </c>
      <c r="KA218" s="92" t="s">
        <v>4845</v>
      </c>
      <c r="KB218" s="92" t="s">
        <v>1338</v>
      </c>
      <c r="KC218" s="92" t="s">
        <v>109</v>
      </c>
      <c r="KD218" s="92" t="s">
        <v>4844</v>
      </c>
      <c r="KE218" s="92" t="s">
        <v>5560</v>
      </c>
      <c r="KF218" s="92">
        <v>300</v>
      </c>
      <c r="KG218" s="92" t="s">
        <v>1372</v>
      </c>
      <c r="KH218" s="92" t="s">
        <v>109</v>
      </c>
      <c r="KI218" s="92" t="s">
        <v>109</v>
      </c>
      <c r="KJ218" s="92" t="s">
        <v>109</v>
      </c>
      <c r="KK218" s="92" t="s">
        <v>192</v>
      </c>
      <c r="KL218" s="92" t="s">
        <v>1373</v>
      </c>
      <c r="KM218" s="92">
        <v>1350</v>
      </c>
      <c r="KN218" s="92" t="s">
        <v>4439</v>
      </c>
      <c r="KO218" s="92" t="s">
        <v>1440</v>
      </c>
      <c r="KP218" s="92" t="s">
        <v>1401</v>
      </c>
      <c r="KQ218" s="92" t="s">
        <v>109</v>
      </c>
      <c r="KR218" s="92"/>
      <c r="KS218" s="92" t="s">
        <v>1343</v>
      </c>
      <c r="KT218" s="92" t="s">
        <v>1344</v>
      </c>
      <c r="KU218" s="92"/>
      <c r="KV218" s="92" t="s">
        <v>1345</v>
      </c>
      <c r="KW218" s="92" t="s">
        <v>1344</v>
      </c>
      <c r="KX218" s="92" t="s">
        <v>1376</v>
      </c>
      <c r="KY218" s="92" t="s">
        <v>1377</v>
      </c>
      <c r="KZ218" s="92" t="s">
        <v>5795</v>
      </c>
      <c r="LA218" s="92" t="s">
        <v>109</v>
      </c>
      <c r="LB218" s="92" t="s">
        <v>109</v>
      </c>
      <c r="LC218" s="92" t="s">
        <v>4438</v>
      </c>
      <c r="LD218" s="92" t="s">
        <v>4439</v>
      </c>
      <c r="LE218" s="92" t="s">
        <v>109</v>
      </c>
      <c r="LF218" s="92" t="s">
        <v>192</v>
      </c>
    </row>
    <row r="219" spans="1:318" x14ac:dyDescent="0.25">
      <c r="A219" t="s">
        <v>2362</v>
      </c>
      <c r="B219" t="s">
        <v>2363</v>
      </c>
      <c r="C219" t="s">
        <v>1304</v>
      </c>
      <c r="D219" t="s">
        <v>1305</v>
      </c>
      <c r="E219" t="s">
        <v>1306</v>
      </c>
      <c r="G219" t="s">
        <v>1307</v>
      </c>
      <c r="H219">
        <v>2</v>
      </c>
      <c r="I219" t="s">
        <v>1307</v>
      </c>
      <c r="J219" t="s">
        <v>1891</v>
      </c>
      <c r="K219" t="s">
        <v>1309</v>
      </c>
      <c r="L219" t="s">
        <v>1309</v>
      </c>
      <c r="M219" t="s">
        <v>1310</v>
      </c>
      <c r="N219" t="s">
        <v>1309</v>
      </c>
      <c r="O219" t="s">
        <v>1310</v>
      </c>
      <c r="P219" t="s">
        <v>1309</v>
      </c>
      <c r="Q219" t="s">
        <v>1309</v>
      </c>
      <c r="R219" t="s">
        <v>1309</v>
      </c>
      <c r="T219">
        <v>2</v>
      </c>
      <c r="U219" t="s">
        <v>1311</v>
      </c>
      <c r="V219" t="s">
        <v>1312</v>
      </c>
      <c r="W219" t="s">
        <v>1311</v>
      </c>
      <c r="X219" t="s">
        <v>1312</v>
      </c>
      <c r="Y219" t="s">
        <v>1311</v>
      </c>
      <c r="Z219" t="s">
        <v>1312</v>
      </c>
      <c r="AC219">
        <v>2</v>
      </c>
      <c r="AD219">
        <v>6000</v>
      </c>
      <c r="AE219">
        <v>4000</v>
      </c>
      <c r="AF219" t="s">
        <v>1313</v>
      </c>
      <c r="AH219" t="s">
        <v>1314</v>
      </c>
      <c r="AJ219" t="s">
        <v>1353</v>
      </c>
      <c r="AL219" t="s">
        <v>1316</v>
      </c>
      <c r="BA219" t="s">
        <v>1316</v>
      </c>
      <c r="BS219" t="s">
        <v>1307</v>
      </c>
      <c r="CE219" t="s">
        <v>1355</v>
      </c>
      <c r="CF219" t="s">
        <v>1309</v>
      </c>
      <c r="CG219" t="s">
        <v>1309</v>
      </c>
      <c r="CH219" t="s">
        <v>1309</v>
      </c>
      <c r="CI219" t="s">
        <v>1309</v>
      </c>
      <c r="CJ219" t="s">
        <v>1309</v>
      </c>
      <c r="CK219" t="s">
        <v>1309</v>
      </c>
      <c r="CL219" t="s">
        <v>1309</v>
      </c>
      <c r="CM219" t="s">
        <v>1309</v>
      </c>
      <c r="CN219" t="s">
        <v>1310</v>
      </c>
      <c r="CO219" t="s">
        <v>1309</v>
      </c>
      <c r="CP219" t="s">
        <v>1309</v>
      </c>
      <c r="CQ219" t="s">
        <v>1309</v>
      </c>
      <c r="CR219" t="s">
        <v>1309</v>
      </c>
      <c r="CT219" t="s">
        <v>4434</v>
      </c>
      <c r="CV219" t="s">
        <v>1308</v>
      </c>
      <c r="CW219" t="s">
        <v>1310</v>
      </c>
      <c r="CX219" t="s">
        <v>1309</v>
      </c>
      <c r="CY219" t="s">
        <v>1309</v>
      </c>
      <c r="CZ219" t="s">
        <v>1309</v>
      </c>
      <c r="DA219" t="s">
        <v>1309</v>
      </c>
      <c r="DB219" t="s">
        <v>1309</v>
      </c>
      <c r="DC219" t="s">
        <v>1309</v>
      </c>
      <c r="DE219" t="s">
        <v>1358</v>
      </c>
      <c r="DG219">
        <v>800</v>
      </c>
      <c r="DI219">
        <v>250</v>
      </c>
      <c r="DJ219" t="s">
        <v>1358</v>
      </c>
      <c r="DK219">
        <v>1500</v>
      </c>
      <c r="DM219">
        <v>350</v>
      </c>
      <c r="DN219" t="s">
        <v>1489</v>
      </c>
      <c r="DO219" t="s">
        <v>1310</v>
      </c>
      <c r="DP219" t="s">
        <v>1310</v>
      </c>
      <c r="DQ219" t="s">
        <v>1309</v>
      </c>
      <c r="DR219" t="s">
        <v>1309</v>
      </c>
      <c r="DS219" t="s">
        <v>1309</v>
      </c>
      <c r="DT219" t="s">
        <v>1310</v>
      </c>
      <c r="DU219" t="s">
        <v>1309</v>
      </c>
      <c r="DV219" t="s">
        <v>1309</v>
      </c>
      <c r="DW219" t="s">
        <v>1309</v>
      </c>
      <c r="DY219" t="s">
        <v>1456</v>
      </c>
      <c r="DZ219">
        <v>400</v>
      </c>
      <c r="EA219" t="s">
        <v>1319</v>
      </c>
      <c r="EC219" t="s">
        <v>1457</v>
      </c>
      <c r="ED219">
        <v>800</v>
      </c>
      <c r="EE219" t="s">
        <v>1319</v>
      </c>
      <c r="EG219" t="s">
        <v>5356</v>
      </c>
      <c r="EI219" t="s">
        <v>1307</v>
      </c>
      <c r="ET219" t="s">
        <v>1307</v>
      </c>
      <c r="EV219" t="s">
        <v>1319</v>
      </c>
      <c r="EW219" t="s">
        <v>1361</v>
      </c>
      <c r="EX219" t="s">
        <v>1319</v>
      </c>
      <c r="EY219" t="s">
        <v>1319</v>
      </c>
      <c r="FA219" t="s">
        <v>2364</v>
      </c>
      <c r="FB219" t="s">
        <v>1310</v>
      </c>
      <c r="FC219" t="s">
        <v>1309</v>
      </c>
      <c r="FD219" t="s">
        <v>1310</v>
      </c>
      <c r="FE219" t="s">
        <v>1310</v>
      </c>
      <c r="FF219" t="s">
        <v>1309</v>
      </c>
      <c r="FG219" t="s">
        <v>1309</v>
      </c>
      <c r="FH219" t="s">
        <v>1309</v>
      </c>
      <c r="FI219" t="s">
        <v>1310</v>
      </c>
      <c r="FJ219" t="s">
        <v>1309</v>
      </c>
      <c r="FK219" t="s">
        <v>1309</v>
      </c>
      <c r="FL219" t="s">
        <v>1309</v>
      </c>
      <c r="FM219" t="s">
        <v>1309</v>
      </c>
      <c r="FN219" t="s">
        <v>1310</v>
      </c>
      <c r="FO219" t="s">
        <v>1309</v>
      </c>
      <c r="FP219" t="s">
        <v>1309</v>
      </c>
      <c r="FQ219" t="s">
        <v>1309</v>
      </c>
      <c r="FR219" t="s">
        <v>1309</v>
      </c>
      <c r="FT219" t="s">
        <v>1319</v>
      </c>
      <c r="FU219" t="s">
        <v>1649</v>
      </c>
      <c r="FV219" t="s">
        <v>1310</v>
      </c>
      <c r="FW219" t="s">
        <v>1310</v>
      </c>
      <c r="FX219" t="s">
        <v>1309</v>
      </c>
      <c r="FY219" t="s">
        <v>1309</v>
      </c>
      <c r="FZ219" t="s">
        <v>1309</v>
      </c>
      <c r="GA219" t="s">
        <v>1309</v>
      </c>
      <c r="GB219" t="s">
        <v>1309</v>
      </c>
      <c r="GC219" t="s">
        <v>1309</v>
      </c>
      <c r="GD219" t="s">
        <v>1309</v>
      </c>
      <c r="GE219" t="s">
        <v>1309</v>
      </c>
      <c r="GF219" t="s">
        <v>1309</v>
      </c>
      <c r="GG219" t="s">
        <v>1309</v>
      </c>
      <c r="GI219" t="s">
        <v>1324</v>
      </c>
      <c r="GJ219" t="s">
        <v>1324</v>
      </c>
      <c r="GT219" t="s">
        <v>1325</v>
      </c>
      <c r="GU219" t="s">
        <v>1310</v>
      </c>
      <c r="GV219" t="s">
        <v>1309</v>
      </c>
      <c r="GW219" t="s">
        <v>1309</v>
      </c>
      <c r="GX219" t="s">
        <v>1309</v>
      </c>
      <c r="GY219" t="s">
        <v>1309</v>
      </c>
      <c r="GZ219" t="s">
        <v>1309</v>
      </c>
      <c r="HA219" t="s">
        <v>1309</v>
      </c>
      <c r="HB219" t="s">
        <v>1309</v>
      </c>
      <c r="HC219" t="s">
        <v>1309</v>
      </c>
      <c r="HD219" t="s">
        <v>1309</v>
      </c>
      <c r="HE219" t="s">
        <v>1309</v>
      </c>
      <c r="HF219" t="s">
        <v>1309</v>
      </c>
      <c r="HH219" t="s">
        <v>1390</v>
      </c>
      <c r="HI219" t="s">
        <v>1390</v>
      </c>
      <c r="HJ219" t="s">
        <v>1390</v>
      </c>
      <c r="HK219" t="s">
        <v>1390</v>
      </c>
      <c r="HL219" t="s">
        <v>1328</v>
      </c>
      <c r="HM219" t="s">
        <v>1390</v>
      </c>
      <c r="HN219" t="s">
        <v>1626</v>
      </c>
      <c r="HO219" t="s">
        <v>1310</v>
      </c>
      <c r="HP219" t="s">
        <v>1309</v>
      </c>
      <c r="HQ219" t="s">
        <v>1309</v>
      </c>
      <c r="HR219" t="s">
        <v>1309</v>
      </c>
      <c r="HS219" t="s">
        <v>1309</v>
      </c>
      <c r="HT219" t="s">
        <v>1309</v>
      </c>
      <c r="HU219" t="s">
        <v>1309</v>
      </c>
      <c r="HV219" t="s">
        <v>1309</v>
      </c>
      <c r="HW219" t="s">
        <v>1309</v>
      </c>
      <c r="HX219" t="s">
        <v>1309</v>
      </c>
      <c r="HY219" t="s">
        <v>1309</v>
      </c>
      <c r="IA219" t="s">
        <v>1414</v>
      </c>
      <c r="IQ219" t="s">
        <v>1330</v>
      </c>
      <c r="IS219" t="s">
        <v>1316</v>
      </c>
      <c r="JF219" t="s">
        <v>1316</v>
      </c>
      <c r="JG219" t="s">
        <v>1414</v>
      </c>
      <c r="JH219" t="s">
        <v>1309</v>
      </c>
      <c r="JI219" t="s">
        <v>1309</v>
      </c>
      <c r="JJ219" t="s">
        <v>1309</v>
      </c>
      <c r="JK219" t="s">
        <v>1309</v>
      </c>
      <c r="JL219" t="s">
        <v>1309</v>
      </c>
      <c r="JM219" t="s">
        <v>1309</v>
      </c>
      <c r="JN219" t="s">
        <v>1310</v>
      </c>
      <c r="JO219" t="s">
        <v>1309</v>
      </c>
      <c r="JQ219" s="92" t="s">
        <v>1333</v>
      </c>
      <c r="JR219" s="92" t="s">
        <v>1334</v>
      </c>
      <c r="JS219" s="92">
        <v>71</v>
      </c>
      <c r="JT219" s="92" t="s">
        <v>1319</v>
      </c>
      <c r="JU219" s="92" t="s">
        <v>1335</v>
      </c>
      <c r="JV219" s="92" t="s">
        <v>1336</v>
      </c>
      <c r="JW219" s="92" t="s">
        <v>1296</v>
      </c>
      <c r="JX219" s="92" t="s">
        <v>71</v>
      </c>
      <c r="JY219" s="92" t="s">
        <v>5549</v>
      </c>
      <c r="JZ219" s="92" t="s">
        <v>1369</v>
      </c>
      <c r="KA219" s="92" t="s">
        <v>4845</v>
      </c>
      <c r="KB219" s="92" t="s">
        <v>1476</v>
      </c>
      <c r="KC219" s="92" t="s">
        <v>109</v>
      </c>
      <c r="KD219" s="92" t="s">
        <v>4847</v>
      </c>
      <c r="KE219" s="92" t="s">
        <v>1424</v>
      </c>
      <c r="KF219" s="92">
        <v>1050</v>
      </c>
      <c r="KG219" s="92" t="s">
        <v>4438</v>
      </c>
      <c r="KH219" s="92" t="s">
        <v>192</v>
      </c>
      <c r="KI219" s="92" t="s">
        <v>109</v>
      </c>
      <c r="KJ219" s="92" t="s">
        <v>192</v>
      </c>
      <c r="KK219" s="92" t="s">
        <v>109</v>
      </c>
      <c r="KL219" s="92" t="s">
        <v>1440</v>
      </c>
      <c r="KM219" s="92">
        <v>1850</v>
      </c>
      <c r="KN219" s="92" t="s">
        <v>4439</v>
      </c>
      <c r="KO219" s="92" t="s">
        <v>1440</v>
      </c>
      <c r="KP219" s="92" t="s">
        <v>1460</v>
      </c>
      <c r="KQ219" s="92" t="s">
        <v>192</v>
      </c>
      <c r="KR219" s="92">
        <v>38</v>
      </c>
      <c r="KS219" s="92" t="s">
        <v>1343</v>
      </c>
      <c r="KT219" s="92" t="s">
        <v>1344</v>
      </c>
      <c r="KU219" s="92">
        <v>43</v>
      </c>
      <c r="KV219" s="92" t="s">
        <v>1441</v>
      </c>
      <c r="KW219" s="92" t="s">
        <v>1344</v>
      </c>
      <c r="KX219" s="92" t="s">
        <v>1376</v>
      </c>
      <c r="KY219" s="92" t="s">
        <v>1377</v>
      </c>
      <c r="KZ219" s="92" t="s">
        <v>5795</v>
      </c>
      <c r="LA219" s="92" t="s">
        <v>109</v>
      </c>
      <c r="LB219" s="92" t="s">
        <v>109</v>
      </c>
      <c r="LC219" s="92" t="s">
        <v>4438</v>
      </c>
      <c r="LD219" s="92" t="s">
        <v>4439</v>
      </c>
      <c r="LE219" s="92" t="s">
        <v>109</v>
      </c>
      <c r="LF219" s="92" t="s">
        <v>109</v>
      </c>
    </row>
    <row r="220" spans="1:318" x14ac:dyDescent="0.25">
      <c r="A220" t="s">
        <v>2365</v>
      </c>
      <c r="B220" t="s">
        <v>2366</v>
      </c>
      <c r="C220" t="s">
        <v>1304</v>
      </c>
      <c r="D220" t="s">
        <v>1429</v>
      </c>
      <c r="E220" t="s">
        <v>1306</v>
      </c>
      <c r="G220" t="s">
        <v>1307</v>
      </c>
      <c r="H220">
        <v>3</v>
      </c>
      <c r="I220" t="s">
        <v>1307</v>
      </c>
      <c r="J220" t="s">
        <v>1308</v>
      </c>
      <c r="K220" t="s">
        <v>1309</v>
      </c>
      <c r="L220" t="s">
        <v>1309</v>
      </c>
      <c r="M220" t="s">
        <v>1309</v>
      </c>
      <c r="N220" t="s">
        <v>1309</v>
      </c>
      <c r="O220" t="s">
        <v>1309</v>
      </c>
      <c r="P220" t="s">
        <v>1309</v>
      </c>
      <c r="Q220" t="s">
        <v>1310</v>
      </c>
      <c r="R220" t="s">
        <v>1309</v>
      </c>
      <c r="U220" t="s">
        <v>1312</v>
      </c>
      <c r="V220" t="s">
        <v>1312</v>
      </c>
      <c r="W220" t="s">
        <v>1312</v>
      </c>
      <c r="X220" t="s">
        <v>1312</v>
      </c>
      <c r="Y220" t="s">
        <v>1312</v>
      </c>
      <c r="Z220" t="s">
        <v>1312</v>
      </c>
      <c r="AC220">
        <v>2</v>
      </c>
      <c r="AD220">
        <v>9000</v>
      </c>
      <c r="AE220">
        <v>9000</v>
      </c>
      <c r="AF220" t="s">
        <v>1313</v>
      </c>
      <c r="AH220" t="s">
        <v>1314</v>
      </c>
      <c r="AJ220" t="s">
        <v>1315</v>
      </c>
      <c r="AL220" t="s">
        <v>1354</v>
      </c>
      <c r="BS220" t="s">
        <v>1307</v>
      </c>
      <c r="CE220" t="s">
        <v>1355</v>
      </c>
      <c r="CF220" t="s">
        <v>1309</v>
      </c>
      <c r="CG220" t="s">
        <v>1309</v>
      </c>
      <c r="CH220" t="s">
        <v>1309</v>
      </c>
      <c r="CI220" t="s">
        <v>1309</v>
      </c>
      <c r="CJ220" t="s">
        <v>1309</v>
      </c>
      <c r="CK220" t="s">
        <v>1309</v>
      </c>
      <c r="CL220" t="s">
        <v>1309</v>
      </c>
      <c r="CM220" t="s">
        <v>1309</v>
      </c>
      <c r="CN220" t="s">
        <v>1310</v>
      </c>
      <c r="CO220" t="s">
        <v>1309</v>
      </c>
      <c r="CP220" t="s">
        <v>1309</v>
      </c>
      <c r="CQ220" t="s">
        <v>1309</v>
      </c>
      <c r="CR220" t="s">
        <v>1309</v>
      </c>
      <c r="CT220" t="s">
        <v>4434</v>
      </c>
      <c r="CV220" t="s">
        <v>1308</v>
      </c>
      <c r="CW220" t="s">
        <v>1310</v>
      </c>
      <c r="CX220" t="s">
        <v>1309</v>
      </c>
      <c r="CY220" t="s">
        <v>1309</v>
      </c>
      <c r="CZ220" t="s">
        <v>1309</v>
      </c>
      <c r="DA220" t="s">
        <v>1309</v>
      </c>
      <c r="DB220" t="s">
        <v>1309</v>
      </c>
      <c r="DC220" t="s">
        <v>1309</v>
      </c>
      <c r="DE220" t="s">
        <v>1358</v>
      </c>
      <c r="DG220">
        <v>1350</v>
      </c>
      <c r="DI220">
        <v>600</v>
      </c>
      <c r="DJ220" t="s">
        <v>1358</v>
      </c>
      <c r="DK220">
        <v>2300</v>
      </c>
      <c r="DM220">
        <v>850</v>
      </c>
      <c r="DN220" t="s">
        <v>1320</v>
      </c>
      <c r="DO220" t="s">
        <v>1310</v>
      </c>
      <c r="DP220" t="s">
        <v>1309</v>
      </c>
      <c r="DQ220" t="s">
        <v>1309</v>
      </c>
      <c r="DR220" t="s">
        <v>1309</v>
      </c>
      <c r="DS220" t="s">
        <v>1309</v>
      </c>
      <c r="DT220" t="s">
        <v>1310</v>
      </c>
      <c r="DU220" t="s">
        <v>1309</v>
      </c>
      <c r="DV220" t="s">
        <v>1309</v>
      </c>
      <c r="DW220" t="s">
        <v>1309</v>
      </c>
      <c r="DY220" t="s">
        <v>1456</v>
      </c>
      <c r="DZ220">
        <v>300</v>
      </c>
      <c r="EA220" t="s">
        <v>1319</v>
      </c>
      <c r="EC220" t="s">
        <v>1457</v>
      </c>
      <c r="ED220">
        <v>900</v>
      </c>
      <c r="EE220" t="s">
        <v>1319</v>
      </c>
      <c r="EG220" t="s">
        <v>5356</v>
      </c>
      <c r="EI220" t="s">
        <v>1307</v>
      </c>
      <c r="ET220" t="s">
        <v>1544</v>
      </c>
      <c r="EV220" t="s">
        <v>1319</v>
      </c>
      <c r="EW220" t="s">
        <v>1421</v>
      </c>
      <c r="EX220" t="s">
        <v>1319</v>
      </c>
      <c r="EY220" t="s">
        <v>1307</v>
      </c>
      <c r="FA220" t="s">
        <v>2136</v>
      </c>
      <c r="FB220" t="s">
        <v>1309</v>
      </c>
      <c r="FC220" t="s">
        <v>1309</v>
      </c>
      <c r="FD220" t="s">
        <v>1309</v>
      </c>
      <c r="FE220" t="s">
        <v>1309</v>
      </c>
      <c r="FF220" t="s">
        <v>1309</v>
      </c>
      <c r="FG220" t="s">
        <v>1309</v>
      </c>
      <c r="FH220" t="s">
        <v>1310</v>
      </c>
      <c r="FI220" t="s">
        <v>1310</v>
      </c>
      <c r="FJ220" t="s">
        <v>1309</v>
      </c>
      <c r="FK220" t="s">
        <v>1309</v>
      </c>
      <c r="FL220" t="s">
        <v>1309</v>
      </c>
      <c r="FM220" t="s">
        <v>1309</v>
      </c>
      <c r="FN220" t="s">
        <v>1310</v>
      </c>
      <c r="FO220" t="s">
        <v>1309</v>
      </c>
      <c r="FP220" t="s">
        <v>1309</v>
      </c>
      <c r="FQ220" t="s">
        <v>1309</v>
      </c>
      <c r="FR220" t="s">
        <v>1309</v>
      </c>
      <c r="FT220" t="s">
        <v>1319</v>
      </c>
      <c r="FU220" t="s">
        <v>2367</v>
      </c>
      <c r="FV220" t="s">
        <v>1309</v>
      </c>
      <c r="FW220" t="s">
        <v>1309</v>
      </c>
      <c r="FX220" t="s">
        <v>1310</v>
      </c>
      <c r="FY220" t="s">
        <v>1309</v>
      </c>
      <c r="FZ220" t="s">
        <v>1309</v>
      </c>
      <c r="GA220" t="s">
        <v>1309</v>
      </c>
      <c r="GB220" t="s">
        <v>1309</v>
      </c>
      <c r="GC220" t="s">
        <v>1310</v>
      </c>
      <c r="GD220" t="s">
        <v>1309</v>
      </c>
      <c r="GE220" t="s">
        <v>1309</v>
      </c>
      <c r="GF220" t="s">
        <v>1309</v>
      </c>
      <c r="GG220" t="s">
        <v>1309</v>
      </c>
      <c r="GI220" t="s">
        <v>1324</v>
      </c>
      <c r="GJ220" t="s">
        <v>1324</v>
      </c>
      <c r="GT220" t="s">
        <v>1325</v>
      </c>
      <c r="GU220" t="s">
        <v>1310</v>
      </c>
      <c r="GV220" t="s">
        <v>1309</v>
      </c>
      <c r="GW220" t="s">
        <v>1309</v>
      </c>
      <c r="GX220" t="s">
        <v>1309</v>
      </c>
      <c r="GY220" t="s">
        <v>1309</v>
      </c>
      <c r="GZ220" t="s">
        <v>1309</v>
      </c>
      <c r="HA220" t="s">
        <v>1309</v>
      </c>
      <c r="HB220" t="s">
        <v>1309</v>
      </c>
      <c r="HC220" t="s">
        <v>1309</v>
      </c>
      <c r="HD220" t="s">
        <v>1309</v>
      </c>
      <c r="HE220" t="s">
        <v>1309</v>
      </c>
      <c r="HF220" t="s">
        <v>1309</v>
      </c>
      <c r="HH220" t="s">
        <v>1390</v>
      </c>
      <c r="HI220" t="s">
        <v>1390</v>
      </c>
      <c r="HJ220" t="s">
        <v>1390</v>
      </c>
      <c r="HK220" t="s">
        <v>1390</v>
      </c>
      <c r="HL220" t="s">
        <v>1328</v>
      </c>
      <c r="HM220" t="s">
        <v>1390</v>
      </c>
      <c r="HN220" t="s">
        <v>2368</v>
      </c>
      <c r="HO220" t="s">
        <v>1309</v>
      </c>
      <c r="HP220" t="s">
        <v>1309</v>
      </c>
      <c r="HQ220" t="s">
        <v>1310</v>
      </c>
      <c r="HR220" t="s">
        <v>1309</v>
      </c>
      <c r="HS220" t="s">
        <v>1310</v>
      </c>
      <c r="HT220" t="s">
        <v>1309</v>
      </c>
      <c r="HU220" t="s">
        <v>1309</v>
      </c>
      <c r="HV220" t="s">
        <v>1309</v>
      </c>
      <c r="HW220" t="s">
        <v>1309</v>
      </c>
      <c r="HX220" t="s">
        <v>1309</v>
      </c>
      <c r="HY220" t="s">
        <v>1309</v>
      </c>
      <c r="IA220" t="s">
        <v>1319</v>
      </c>
      <c r="IB220" t="s">
        <v>1870</v>
      </c>
      <c r="IC220" t="s">
        <v>1309</v>
      </c>
      <c r="ID220" t="s">
        <v>1309</v>
      </c>
      <c r="IE220" t="s">
        <v>1309</v>
      </c>
      <c r="IF220" t="s">
        <v>1310</v>
      </c>
      <c r="IG220" t="s">
        <v>1310</v>
      </c>
      <c r="IH220" t="s">
        <v>1309</v>
      </c>
      <c r="II220" t="s">
        <v>1309</v>
      </c>
      <c r="IJ220" t="s">
        <v>1309</v>
      </c>
      <c r="IK220" t="s">
        <v>1309</v>
      </c>
      <c r="IL220" t="s">
        <v>1309</v>
      </c>
      <c r="IM220" t="s">
        <v>1309</v>
      </c>
      <c r="IN220" t="s">
        <v>1309</v>
      </c>
      <c r="IO220" t="s">
        <v>1309</v>
      </c>
      <c r="IQ220" t="s">
        <v>1330</v>
      </c>
      <c r="IS220" t="s">
        <v>1316</v>
      </c>
      <c r="JF220" t="s">
        <v>1316</v>
      </c>
      <c r="JG220" t="s">
        <v>1393</v>
      </c>
      <c r="JH220" t="s">
        <v>1310</v>
      </c>
      <c r="JI220" t="s">
        <v>1309</v>
      </c>
      <c r="JJ220" t="s">
        <v>1309</v>
      </c>
      <c r="JK220" t="s">
        <v>1309</v>
      </c>
      <c r="JL220" t="s">
        <v>1309</v>
      </c>
      <c r="JM220" t="s">
        <v>1309</v>
      </c>
      <c r="JN220" t="s">
        <v>1309</v>
      </c>
      <c r="JO220" t="s">
        <v>1309</v>
      </c>
      <c r="JQ220" s="92" t="s">
        <v>1333</v>
      </c>
      <c r="JR220" s="92" t="s">
        <v>1334</v>
      </c>
      <c r="JS220" s="92">
        <v>53</v>
      </c>
      <c r="JT220" s="92" t="s">
        <v>1319</v>
      </c>
      <c r="JU220" s="92" t="s">
        <v>1335</v>
      </c>
      <c r="JV220" s="92" t="s">
        <v>1336</v>
      </c>
      <c r="JW220" s="92" t="s">
        <v>1296</v>
      </c>
      <c r="JX220" s="92" t="s">
        <v>71</v>
      </c>
      <c r="JY220" s="92" t="s">
        <v>5549</v>
      </c>
      <c r="JZ220" s="92" t="s">
        <v>1337</v>
      </c>
      <c r="KA220" s="92" t="s">
        <v>4845</v>
      </c>
      <c r="KB220" s="92" t="s">
        <v>1338</v>
      </c>
      <c r="KC220" s="92" t="s">
        <v>109</v>
      </c>
      <c r="KD220" s="92" t="s">
        <v>4847</v>
      </c>
      <c r="KE220" s="92" t="s">
        <v>1424</v>
      </c>
      <c r="KF220" s="92">
        <v>1950</v>
      </c>
      <c r="KG220" s="92" t="s">
        <v>4438</v>
      </c>
      <c r="KH220" s="92" t="s">
        <v>192</v>
      </c>
      <c r="KI220" s="92" t="s">
        <v>109</v>
      </c>
      <c r="KJ220" s="92" t="s">
        <v>192</v>
      </c>
      <c r="KK220" s="92" t="s">
        <v>109</v>
      </c>
      <c r="KL220" s="92" t="s">
        <v>1440</v>
      </c>
      <c r="KM220" s="92">
        <v>3150</v>
      </c>
      <c r="KN220" s="92" t="s">
        <v>4439</v>
      </c>
      <c r="KO220" s="92" t="s">
        <v>1341</v>
      </c>
      <c r="KP220" s="92" t="s">
        <v>1460</v>
      </c>
      <c r="KQ220" s="92" t="s">
        <v>192</v>
      </c>
      <c r="KR220" s="92">
        <v>15</v>
      </c>
      <c r="KS220" s="92" t="s">
        <v>1343</v>
      </c>
      <c r="KT220" s="92" t="s">
        <v>1344</v>
      </c>
      <c r="KU220" s="92">
        <v>29</v>
      </c>
      <c r="KV220" s="92" t="s">
        <v>1461</v>
      </c>
      <c r="KW220" s="92" t="s">
        <v>1344</v>
      </c>
      <c r="KX220" s="92" t="s">
        <v>1376</v>
      </c>
      <c r="KY220" s="92" t="s">
        <v>1377</v>
      </c>
      <c r="KZ220" s="92" t="s">
        <v>5795</v>
      </c>
      <c r="LA220" s="92" t="s">
        <v>109</v>
      </c>
      <c r="LB220" s="92" t="s">
        <v>109</v>
      </c>
      <c r="LC220" s="92" t="s">
        <v>4438</v>
      </c>
      <c r="LD220" s="92" t="s">
        <v>4439</v>
      </c>
      <c r="LE220" s="92" t="s">
        <v>192</v>
      </c>
      <c r="LF220" s="92" t="s">
        <v>192</v>
      </c>
    </row>
    <row r="221" spans="1:318" x14ac:dyDescent="0.25">
      <c r="A221" t="s">
        <v>2369</v>
      </c>
      <c r="B221" t="s">
        <v>2370</v>
      </c>
      <c r="C221" t="s">
        <v>1304</v>
      </c>
      <c r="D221" t="s">
        <v>1429</v>
      </c>
      <c r="E221" t="s">
        <v>1306</v>
      </c>
      <c r="G221" t="s">
        <v>1307</v>
      </c>
      <c r="H221">
        <v>2</v>
      </c>
      <c r="I221" t="s">
        <v>1307</v>
      </c>
      <c r="J221" t="s">
        <v>1308</v>
      </c>
      <c r="K221" t="s">
        <v>1309</v>
      </c>
      <c r="L221" t="s">
        <v>1309</v>
      </c>
      <c r="M221" t="s">
        <v>1309</v>
      </c>
      <c r="N221" t="s">
        <v>1309</v>
      </c>
      <c r="O221" t="s">
        <v>1309</v>
      </c>
      <c r="P221" t="s">
        <v>1309</v>
      </c>
      <c r="Q221" t="s">
        <v>1310</v>
      </c>
      <c r="R221" t="s">
        <v>1309</v>
      </c>
      <c r="U221" t="s">
        <v>1311</v>
      </c>
      <c r="V221" t="s">
        <v>1312</v>
      </c>
      <c r="W221" t="s">
        <v>1311</v>
      </c>
      <c r="X221" t="s">
        <v>1312</v>
      </c>
      <c r="Y221" t="s">
        <v>1312</v>
      </c>
      <c r="Z221" t="s">
        <v>1312</v>
      </c>
      <c r="AC221">
        <v>2</v>
      </c>
      <c r="AD221">
        <v>7500</v>
      </c>
      <c r="AE221">
        <v>9000</v>
      </c>
      <c r="AF221" t="s">
        <v>1313</v>
      </c>
      <c r="AH221" t="s">
        <v>1352</v>
      </c>
      <c r="AJ221" t="s">
        <v>1315</v>
      </c>
      <c r="AL221" t="s">
        <v>1316</v>
      </c>
      <c r="BS221" t="s">
        <v>1307</v>
      </c>
      <c r="CE221" t="s">
        <v>1605</v>
      </c>
      <c r="CF221" t="s">
        <v>1310</v>
      </c>
      <c r="CG221" t="s">
        <v>1309</v>
      </c>
      <c r="CH221" t="s">
        <v>1309</v>
      </c>
      <c r="CI221" t="s">
        <v>1309</v>
      </c>
      <c r="CJ221" t="s">
        <v>1309</v>
      </c>
      <c r="CK221" t="s">
        <v>1309</v>
      </c>
      <c r="CL221" t="s">
        <v>1309</v>
      </c>
      <c r="CM221" t="s">
        <v>1309</v>
      </c>
      <c r="CN221" t="s">
        <v>1310</v>
      </c>
      <c r="CO221" t="s">
        <v>1310</v>
      </c>
      <c r="CP221" t="s">
        <v>1309</v>
      </c>
      <c r="CQ221" t="s">
        <v>1309</v>
      </c>
      <c r="CR221" t="s">
        <v>1309</v>
      </c>
      <c r="CT221" t="s">
        <v>4435</v>
      </c>
      <c r="CV221" t="s">
        <v>1308</v>
      </c>
      <c r="CW221" t="s">
        <v>1310</v>
      </c>
      <c r="CX221" t="s">
        <v>1309</v>
      </c>
      <c r="CY221" t="s">
        <v>1309</v>
      </c>
      <c r="CZ221" t="s">
        <v>1309</v>
      </c>
      <c r="DA221" t="s">
        <v>1309</v>
      </c>
      <c r="DB221" t="s">
        <v>1309</v>
      </c>
      <c r="DC221" t="s">
        <v>1309</v>
      </c>
      <c r="DE221" t="s">
        <v>1318</v>
      </c>
      <c r="DF221" t="s">
        <v>1307</v>
      </c>
      <c r="DH221">
        <v>1800</v>
      </c>
      <c r="DI221">
        <v>500</v>
      </c>
      <c r="DJ221" t="s">
        <v>1318</v>
      </c>
      <c r="DL221">
        <v>2500</v>
      </c>
      <c r="DM221">
        <v>950</v>
      </c>
      <c r="DN221" t="s">
        <v>1432</v>
      </c>
      <c r="DO221" t="s">
        <v>1310</v>
      </c>
      <c r="DP221" t="s">
        <v>1309</v>
      </c>
      <c r="DQ221" t="s">
        <v>1309</v>
      </c>
      <c r="DR221" t="s">
        <v>1310</v>
      </c>
      <c r="DS221" t="s">
        <v>1309</v>
      </c>
      <c r="DT221" t="s">
        <v>1310</v>
      </c>
      <c r="DU221" t="s">
        <v>1309</v>
      </c>
      <c r="DV221" t="s">
        <v>1309</v>
      </c>
      <c r="DW221" t="s">
        <v>1309</v>
      </c>
      <c r="DY221" t="s">
        <v>1696</v>
      </c>
      <c r="DZ221">
        <v>500</v>
      </c>
      <c r="EA221" t="s">
        <v>1319</v>
      </c>
      <c r="EC221" t="s">
        <v>1658</v>
      </c>
      <c r="ED221">
        <v>800</v>
      </c>
      <c r="EE221" t="s">
        <v>1319</v>
      </c>
      <c r="EG221" t="s">
        <v>5356</v>
      </c>
      <c r="EI221" t="s">
        <v>1307</v>
      </c>
      <c r="ET221" t="s">
        <v>1319</v>
      </c>
      <c r="EU221" t="s">
        <v>2036</v>
      </c>
      <c r="EV221" t="s">
        <v>1319</v>
      </c>
      <c r="EW221" t="s">
        <v>1409</v>
      </c>
      <c r="EX221" t="s">
        <v>1319</v>
      </c>
      <c r="FA221" t="s">
        <v>1697</v>
      </c>
      <c r="FB221" t="s">
        <v>1309</v>
      </c>
      <c r="FC221" t="s">
        <v>1309</v>
      </c>
      <c r="FD221" t="s">
        <v>1309</v>
      </c>
      <c r="FE221" t="s">
        <v>1309</v>
      </c>
      <c r="FF221" t="s">
        <v>1309</v>
      </c>
      <c r="FG221" t="s">
        <v>1309</v>
      </c>
      <c r="FH221" t="s">
        <v>1309</v>
      </c>
      <c r="FI221" t="s">
        <v>1310</v>
      </c>
      <c r="FJ221" t="s">
        <v>1309</v>
      </c>
      <c r="FK221" t="s">
        <v>1309</v>
      </c>
      <c r="FL221" t="s">
        <v>1309</v>
      </c>
      <c r="FM221" t="s">
        <v>1309</v>
      </c>
      <c r="FN221" t="s">
        <v>1309</v>
      </c>
      <c r="FO221" t="s">
        <v>1309</v>
      </c>
      <c r="FP221" t="s">
        <v>1309</v>
      </c>
      <c r="FQ221" t="s">
        <v>1309</v>
      </c>
      <c r="FR221" t="s">
        <v>1309</v>
      </c>
      <c r="FT221" t="s">
        <v>1319</v>
      </c>
      <c r="FU221" t="s">
        <v>1626</v>
      </c>
      <c r="FV221" t="s">
        <v>1309</v>
      </c>
      <c r="FW221" t="s">
        <v>1310</v>
      </c>
      <c r="FX221" t="s">
        <v>1309</v>
      </c>
      <c r="FY221" t="s">
        <v>1309</v>
      </c>
      <c r="FZ221" t="s">
        <v>1309</v>
      </c>
      <c r="GA221" t="s">
        <v>1309</v>
      </c>
      <c r="GB221" t="s">
        <v>1309</v>
      </c>
      <c r="GC221" t="s">
        <v>1309</v>
      </c>
      <c r="GD221" t="s">
        <v>1309</v>
      </c>
      <c r="GE221" t="s">
        <v>1309</v>
      </c>
      <c r="GF221" t="s">
        <v>1309</v>
      </c>
      <c r="GG221" t="s">
        <v>1309</v>
      </c>
      <c r="GI221" t="s">
        <v>1436</v>
      </c>
      <c r="GJ221" t="s">
        <v>1436</v>
      </c>
      <c r="GK221" t="s">
        <v>1307</v>
      </c>
      <c r="GT221" t="s">
        <v>1325</v>
      </c>
      <c r="GU221" t="s">
        <v>1310</v>
      </c>
      <c r="GV221" t="s">
        <v>1309</v>
      </c>
      <c r="GW221" t="s">
        <v>1309</v>
      </c>
      <c r="GX221" t="s">
        <v>1309</v>
      </c>
      <c r="GY221" t="s">
        <v>1309</v>
      </c>
      <c r="GZ221" t="s">
        <v>1309</v>
      </c>
      <c r="HA221" t="s">
        <v>1309</v>
      </c>
      <c r="HB221" t="s">
        <v>1309</v>
      </c>
      <c r="HC221" t="s">
        <v>1309</v>
      </c>
      <c r="HD221" t="s">
        <v>1309</v>
      </c>
      <c r="HE221" t="s">
        <v>1309</v>
      </c>
      <c r="HF221" t="s">
        <v>1309</v>
      </c>
      <c r="HH221" t="s">
        <v>1390</v>
      </c>
      <c r="HI221" t="s">
        <v>1326</v>
      </c>
      <c r="HJ221" t="s">
        <v>1326</v>
      </c>
      <c r="HK221" t="s">
        <v>1327</v>
      </c>
      <c r="HL221" t="s">
        <v>1437</v>
      </c>
      <c r="HM221" t="s">
        <v>1326</v>
      </c>
      <c r="HN221" t="s">
        <v>1550</v>
      </c>
      <c r="HO221" t="s">
        <v>1310</v>
      </c>
      <c r="HP221" t="s">
        <v>1309</v>
      </c>
      <c r="HQ221" t="s">
        <v>1309</v>
      </c>
      <c r="HR221" t="s">
        <v>1310</v>
      </c>
      <c r="HS221" t="s">
        <v>1309</v>
      </c>
      <c r="HT221" t="s">
        <v>1309</v>
      </c>
      <c r="HU221" t="s">
        <v>1309</v>
      </c>
      <c r="HV221" t="s">
        <v>1309</v>
      </c>
      <c r="HW221" t="s">
        <v>1309</v>
      </c>
      <c r="HX221" t="s">
        <v>1309</v>
      </c>
      <c r="HY221" t="s">
        <v>1309</v>
      </c>
      <c r="IA221" t="s">
        <v>1307</v>
      </c>
      <c r="IQ221" t="s">
        <v>1365</v>
      </c>
      <c r="IS221" t="s">
        <v>1316</v>
      </c>
      <c r="JF221" t="s">
        <v>1331</v>
      </c>
      <c r="JG221" t="s">
        <v>1393</v>
      </c>
      <c r="JH221" t="s">
        <v>1310</v>
      </c>
      <c r="JI221" t="s">
        <v>1309</v>
      </c>
      <c r="JJ221" t="s">
        <v>1309</v>
      </c>
      <c r="JK221" t="s">
        <v>1309</v>
      </c>
      <c r="JL221" t="s">
        <v>1309</v>
      </c>
      <c r="JM221" t="s">
        <v>1309</v>
      </c>
      <c r="JN221" t="s">
        <v>1309</v>
      </c>
      <c r="JO221" t="s">
        <v>1309</v>
      </c>
      <c r="JQ221" s="92" t="s">
        <v>1333</v>
      </c>
      <c r="JR221" s="92" t="s">
        <v>1334</v>
      </c>
      <c r="JS221" s="92">
        <v>52</v>
      </c>
      <c r="JT221" s="92" t="s">
        <v>1319</v>
      </c>
      <c r="JU221" s="92" t="s">
        <v>1335</v>
      </c>
      <c r="JV221" s="92" t="s">
        <v>1336</v>
      </c>
      <c r="JW221" s="92" t="s">
        <v>1296</v>
      </c>
      <c r="JX221" s="92" t="s">
        <v>71</v>
      </c>
      <c r="JY221" s="92" t="s">
        <v>5549</v>
      </c>
      <c r="JZ221" s="92" t="s">
        <v>1337</v>
      </c>
      <c r="KA221" s="92" t="s">
        <v>4845</v>
      </c>
      <c r="KB221" s="92" t="s">
        <v>1338</v>
      </c>
      <c r="KC221" s="92" t="s">
        <v>109</v>
      </c>
      <c r="KD221" s="92" t="s">
        <v>4847</v>
      </c>
      <c r="KE221" s="92" t="s">
        <v>1424</v>
      </c>
      <c r="KF221" s="92">
        <v>2300</v>
      </c>
      <c r="KG221" s="92" t="s">
        <v>4439</v>
      </c>
      <c r="KH221" s="92" t="s">
        <v>109</v>
      </c>
      <c r="KI221" s="92" t="s">
        <v>192</v>
      </c>
      <c r="KJ221" s="92" t="s">
        <v>109</v>
      </c>
      <c r="KK221" s="92" t="s">
        <v>192</v>
      </c>
      <c r="KL221" s="92" t="s">
        <v>1425</v>
      </c>
      <c r="KM221" s="92">
        <v>3450</v>
      </c>
      <c r="KN221" s="92" t="s">
        <v>4439</v>
      </c>
      <c r="KO221" s="92" t="s">
        <v>1341</v>
      </c>
      <c r="KP221" s="92" t="s">
        <v>1342</v>
      </c>
      <c r="KQ221" s="92" t="s">
        <v>109</v>
      </c>
      <c r="KR221" s="92">
        <v>22</v>
      </c>
      <c r="KS221" s="92" t="s">
        <v>1345</v>
      </c>
      <c r="KT221" s="92" t="s">
        <v>1344</v>
      </c>
      <c r="KU221" s="92">
        <v>23</v>
      </c>
      <c r="KV221" s="92" t="s">
        <v>1441</v>
      </c>
      <c r="KW221" s="92" t="s">
        <v>1344</v>
      </c>
      <c r="KX221" s="92" t="s">
        <v>1346</v>
      </c>
      <c r="KY221" s="92" t="s">
        <v>1347</v>
      </c>
      <c r="KZ221" s="92" t="s">
        <v>5795</v>
      </c>
      <c r="LA221" s="92" t="s">
        <v>109</v>
      </c>
      <c r="LB221" s="92" t="s">
        <v>109</v>
      </c>
      <c r="LC221" s="92" t="s">
        <v>4438</v>
      </c>
      <c r="LD221" s="92" t="s">
        <v>4439</v>
      </c>
      <c r="LE221" s="92" t="s">
        <v>192</v>
      </c>
      <c r="LF221" s="92" t="s">
        <v>192</v>
      </c>
    </row>
    <row r="222" spans="1:318" x14ac:dyDescent="0.25">
      <c r="A222" t="s">
        <v>2371</v>
      </c>
      <c r="B222" t="s">
        <v>2372</v>
      </c>
      <c r="C222" t="s">
        <v>1304</v>
      </c>
      <c r="D222" t="s">
        <v>1305</v>
      </c>
      <c r="E222" t="s">
        <v>1306</v>
      </c>
      <c r="G222" t="s">
        <v>1307</v>
      </c>
      <c r="H222">
        <v>4</v>
      </c>
      <c r="I222" t="s">
        <v>1307</v>
      </c>
      <c r="J222" t="s">
        <v>1571</v>
      </c>
      <c r="K222" t="s">
        <v>1310</v>
      </c>
      <c r="L222" t="s">
        <v>1309</v>
      </c>
      <c r="M222" t="s">
        <v>1309</v>
      </c>
      <c r="N222" t="s">
        <v>1309</v>
      </c>
      <c r="O222" t="s">
        <v>1309</v>
      </c>
      <c r="P222" t="s">
        <v>1309</v>
      </c>
      <c r="Q222" t="s">
        <v>1309</v>
      </c>
      <c r="R222" t="s">
        <v>1309</v>
      </c>
      <c r="U222" t="s">
        <v>1312</v>
      </c>
      <c r="V222" t="s">
        <v>1312</v>
      </c>
      <c r="W222" t="s">
        <v>1312</v>
      </c>
      <c r="X222" t="s">
        <v>1312</v>
      </c>
      <c r="Y222" t="s">
        <v>1312</v>
      </c>
      <c r="Z222" t="s">
        <v>1312</v>
      </c>
      <c r="AC222">
        <v>2</v>
      </c>
      <c r="AD222">
        <v>30000</v>
      </c>
      <c r="AE222">
        <v>24000</v>
      </c>
      <c r="AF222" t="s">
        <v>1313</v>
      </c>
      <c r="AH222" t="s">
        <v>1383</v>
      </c>
      <c r="AJ222" t="s">
        <v>1315</v>
      </c>
      <c r="AL222" t="s">
        <v>1316</v>
      </c>
      <c r="BS222" t="s">
        <v>1307</v>
      </c>
      <c r="CE222" t="s">
        <v>1414</v>
      </c>
      <c r="CF222" t="s">
        <v>1309</v>
      </c>
      <c r="CG222" t="s">
        <v>1309</v>
      </c>
      <c r="CH222" t="s">
        <v>1309</v>
      </c>
      <c r="CI222" t="s">
        <v>1309</v>
      </c>
      <c r="CJ222" t="s">
        <v>1309</v>
      </c>
      <c r="CK222" t="s">
        <v>1309</v>
      </c>
      <c r="CL222" t="s">
        <v>1309</v>
      </c>
      <c r="CM222" t="s">
        <v>1309</v>
      </c>
      <c r="CN222" t="s">
        <v>1309</v>
      </c>
      <c r="CO222" t="s">
        <v>1309</v>
      </c>
      <c r="CP222" t="s">
        <v>1309</v>
      </c>
      <c r="CQ222" t="s">
        <v>1310</v>
      </c>
      <c r="CR222" t="s">
        <v>1309</v>
      </c>
      <c r="CT222" t="s">
        <v>4435</v>
      </c>
      <c r="CV222" t="s">
        <v>1357</v>
      </c>
      <c r="CW222" t="s">
        <v>1309</v>
      </c>
      <c r="CX222" t="s">
        <v>1309</v>
      </c>
      <c r="CY222" t="s">
        <v>1309</v>
      </c>
      <c r="CZ222" t="s">
        <v>1309</v>
      </c>
      <c r="DA222" t="s">
        <v>1310</v>
      </c>
      <c r="DB222" t="s">
        <v>1309</v>
      </c>
      <c r="DC222" t="s">
        <v>1309</v>
      </c>
      <c r="DE222" t="s">
        <v>1358</v>
      </c>
      <c r="DF222" t="s">
        <v>1307</v>
      </c>
      <c r="DH222">
        <v>2600</v>
      </c>
      <c r="DI222">
        <v>900</v>
      </c>
      <c r="DJ222" t="s">
        <v>1358</v>
      </c>
      <c r="DL222">
        <v>3000</v>
      </c>
      <c r="DM222">
        <v>900</v>
      </c>
      <c r="DN222" t="s">
        <v>1320</v>
      </c>
      <c r="DO222" t="s">
        <v>1310</v>
      </c>
      <c r="DP222" t="s">
        <v>1309</v>
      </c>
      <c r="DQ222" t="s">
        <v>1309</v>
      </c>
      <c r="DR222" t="s">
        <v>1309</v>
      </c>
      <c r="DS222" t="s">
        <v>1309</v>
      </c>
      <c r="DT222" t="s">
        <v>1310</v>
      </c>
      <c r="DU222" t="s">
        <v>1309</v>
      </c>
      <c r="DV222" t="s">
        <v>1309</v>
      </c>
      <c r="DW222" t="s">
        <v>1309</v>
      </c>
      <c r="DY222" t="s">
        <v>1490</v>
      </c>
      <c r="DZ222">
        <v>300</v>
      </c>
      <c r="EA222" t="s">
        <v>1319</v>
      </c>
      <c r="EC222" t="s">
        <v>1624</v>
      </c>
      <c r="ED222">
        <v>600</v>
      </c>
      <c r="EE222" t="s">
        <v>1319</v>
      </c>
      <c r="EG222" t="s">
        <v>5357</v>
      </c>
      <c r="ET222" t="s">
        <v>1307</v>
      </c>
      <c r="EV222" t="s">
        <v>1319</v>
      </c>
      <c r="EW222" t="s">
        <v>1361</v>
      </c>
      <c r="EX222" t="s">
        <v>1319</v>
      </c>
      <c r="FA222" t="s">
        <v>2373</v>
      </c>
      <c r="FB222" t="s">
        <v>1309</v>
      </c>
      <c r="FC222" t="s">
        <v>1309</v>
      </c>
      <c r="FD222" t="s">
        <v>1309</v>
      </c>
      <c r="FE222" t="s">
        <v>1309</v>
      </c>
      <c r="FF222" t="s">
        <v>1309</v>
      </c>
      <c r="FG222" t="s">
        <v>1310</v>
      </c>
      <c r="FH222" t="s">
        <v>1309</v>
      </c>
      <c r="FI222" t="s">
        <v>1309</v>
      </c>
      <c r="FJ222" t="s">
        <v>1309</v>
      </c>
      <c r="FK222" t="s">
        <v>1309</v>
      </c>
      <c r="FL222" t="s">
        <v>1309</v>
      </c>
      <c r="FM222" t="s">
        <v>1310</v>
      </c>
      <c r="FN222" t="s">
        <v>1309</v>
      </c>
      <c r="FO222" t="s">
        <v>1309</v>
      </c>
      <c r="FP222" t="s">
        <v>1309</v>
      </c>
      <c r="FQ222" t="s">
        <v>1309</v>
      </c>
      <c r="FR222" t="s">
        <v>1309</v>
      </c>
      <c r="FT222" t="s">
        <v>1307</v>
      </c>
      <c r="GI222" t="s">
        <v>1324</v>
      </c>
      <c r="GJ222" t="s">
        <v>1324</v>
      </c>
      <c r="GT222" t="s">
        <v>1325</v>
      </c>
      <c r="GU222" t="s">
        <v>1310</v>
      </c>
      <c r="GV222" t="s">
        <v>1309</v>
      </c>
      <c r="GW222" t="s">
        <v>1309</v>
      </c>
      <c r="GX222" t="s">
        <v>1309</v>
      </c>
      <c r="GY222" t="s">
        <v>1309</v>
      </c>
      <c r="GZ222" t="s">
        <v>1309</v>
      </c>
      <c r="HA222" t="s">
        <v>1309</v>
      </c>
      <c r="HB222" t="s">
        <v>1309</v>
      </c>
      <c r="HC222" t="s">
        <v>1309</v>
      </c>
      <c r="HD222" t="s">
        <v>1309</v>
      </c>
      <c r="HE222" t="s">
        <v>1309</v>
      </c>
      <c r="HF222" t="s">
        <v>1309</v>
      </c>
      <c r="HH222" t="s">
        <v>1326</v>
      </c>
      <c r="HI222" t="s">
        <v>1327</v>
      </c>
      <c r="HJ222" t="s">
        <v>1326</v>
      </c>
      <c r="HK222" t="s">
        <v>1327</v>
      </c>
      <c r="HL222" t="s">
        <v>1364</v>
      </c>
      <c r="HM222" t="s">
        <v>1326</v>
      </c>
      <c r="IA222" t="s">
        <v>1319</v>
      </c>
      <c r="IB222" t="s">
        <v>1784</v>
      </c>
      <c r="IC222" t="s">
        <v>1309</v>
      </c>
      <c r="ID222" t="s">
        <v>1310</v>
      </c>
      <c r="IE222" t="s">
        <v>1309</v>
      </c>
      <c r="IF222" t="s">
        <v>1309</v>
      </c>
      <c r="IG222" t="s">
        <v>1309</v>
      </c>
      <c r="IH222" t="s">
        <v>1309</v>
      </c>
      <c r="II222" t="s">
        <v>1309</v>
      </c>
      <c r="IJ222" t="s">
        <v>1309</v>
      </c>
      <c r="IK222" t="s">
        <v>1309</v>
      </c>
      <c r="IL222" t="s">
        <v>1309</v>
      </c>
      <c r="IM222" t="s">
        <v>1309</v>
      </c>
      <c r="IN222" t="s">
        <v>1309</v>
      </c>
      <c r="IO222" t="s">
        <v>1309</v>
      </c>
      <c r="IQ222" t="s">
        <v>1308</v>
      </c>
      <c r="IS222" t="s">
        <v>1316</v>
      </c>
      <c r="JF222" t="s">
        <v>1331</v>
      </c>
      <c r="JG222" t="s">
        <v>1414</v>
      </c>
      <c r="JH222" t="s">
        <v>1309</v>
      </c>
      <c r="JI222" t="s">
        <v>1309</v>
      </c>
      <c r="JJ222" t="s">
        <v>1309</v>
      </c>
      <c r="JK222" t="s">
        <v>1309</v>
      </c>
      <c r="JL222" t="s">
        <v>1309</v>
      </c>
      <c r="JM222" t="s">
        <v>1309</v>
      </c>
      <c r="JN222" t="s">
        <v>1310</v>
      </c>
      <c r="JO222" t="s">
        <v>1309</v>
      </c>
      <c r="JQ222" s="92" t="s">
        <v>1333</v>
      </c>
      <c r="JR222" s="92" t="s">
        <v>1334</v>
      </c>
      <c r="JS222" s="92">
        <v>49</v>
      </c>
      <c r="JT222" s="92" t="s">
        <v>1319</v>
      </c>
      <c r="JU222" s="92" t="s">
        <v>1335</v>
      </c>
      <c r="JV222" s="92" t="s">
        <v>1336</v>
      </c>
      <c r="JW222" s="92" t="s">
        <v>1296</v>
      </c>
      <c r="JX222" s="92" t="s">
        <v>71</v>
      </c>
      <c r="JY222" s="92" t="s">
        <v>5549</v>
      </c>
      <c r="JZ222" s="92" t="s">
        <v>1337</v>
      </c>
      <c r="KA222" s="92" t="s">
        <v>4845</v>
      </c>
      <c r="KB222" s="92" t="s">
        <v>1338</v>
      </c>
      <c r="KC222" s="92" t="s">
        <v>109</v>
      </c>
      <c r="KD222" s="92" t="s">
        <v>4847</v>
      </c>
      <c r="KE222" s="92" t="s">
        <v>1416</v>
      </c>
      <c r="KF222" s="92">
        <v>3500</v>
      </c>
      <c r="KG222" s="92" t="s">
        <v>4438</v>
      </c>
      <c r="KH222" s="92" t="s">
        <v>109</v>
      </c>
      <c r="KI222" s="92" t="s">
        <v>192</v>
      </c>
      <c r="KJ222" s="92" t="s">
        <v>109</v>
      </c>
      <c r="KK222" s="92" t="s">
        <v>192</v>
      </c>
      <c r="KL222" s="92" t="s">
        <v>1341</v>
      </c>
      <c r="KM222" s="92">
        <v>3900</v>
      </c>
      <c r="KN222" s="92" t="s">
        <v>4438</v>
      </c>
      <c r="KO222" s="92" t="s">
        <v>1341</v>
      </c>
      <c r="KP222" s="92" t="s">
        <v>1375</v>
      </c>
      <c r="KQ222" s="92" t="s">
        <v>109</v>
      </c>
      <c r="KR222" s="92">
        <v>9</v>
      </c>
      <c r="KS222" s="92" t="s">
        <v>1343</v>
      </c>
      <c r="KT222" s="92" t="s">
        <v>1344</v>
      </c>
      <c r="KU222" s="92">
        <v>15</v>
      </c>
      <c r="KV222" s="92" t="s">
        <v>1345</v>
      </c>
      <c r="KW222" s="92" t="s">
        <v>1344</v>
      </c>
      <c r="KX222" s="92" t="s">
        <v>1346</v>
      </c>
      <c r="KY222" s="92" t="s">
        <v>1377</v>
      </c>
      <c r="KZ222" s="92" t="s">
        <v>5795</v>
      </c>
      <c r="LA222" s="92" t="s">
        <v>109</v>
      </c>
      <c r="LB222" s="92" t="s">
        <v>109</v>
      </c>
      <c r="LC222" s="92" t="s">
        <v>4438</v>
      </c>
      <c r="LD222" s="92" t="s">
        <v>4438</v>
      </c>
      <c r="LE222" s="92" t="s">
        <v>109</v>
      </c>
      <c r="LF222" s="92" t="s">
        <v>109</v>
      </c>
    </row>
    <row r="223" spans="1:318" x14ac:dyDescent="0.25">
      <c r="A223" t="s">
        <v>2374</v>
      </c>
      <c r="B223" t="s">
        <v>2375</v>
      </c>
      <c r="C223" t="s">
        <v>1304</v>
      </c>
      <c r="D223" t="s">
        <v>1305</v>
      </c>
      <c r="E223" t="s">
        <v>1306</v>
      </c>
      <c r="G223" t="s">
        <v>1307</v>
      </c>
      <c r="H223">
        <v>3</v>
      </c>
      <c r="I223" t="s">
        <v>1307</v>
      </c>
      <c r="J223" t="s">
        <v>1406</v>
      </c>
      <c r="K223" t="s">
        <v>1309</v>
      </c>
      <c r="L223" t="s">
        <v>1310</v>
      </c>
      <c r="M223" t="s">
        <v>1309</v>
      </c>
      <c r="N223" t="s">
        <v>1309</v>
      </c>
      <c r="O223" t="s">
        <v>1309</v>
      </c>
      <c r="P223" t="s">
        <v>1309</v>
      </c>
      <c r="Q223" t="s">
        <v>1309</v>
      </c>
      <c r="R223" t="s">
        <v>1309</v>
      </c>
      <c r="S223">
        <v>1</v>
      </c>
      <c r="U223" t="s">
        <v>1312</v>
      </c>
      <c r="V223" t="s">
        <v>1312</v>
      </c>
      <c r="W223" t="s">
        <v>1312</v>
      </c>
      <c r="X223" t="s">
        <v>1312</v>
      </c>
      <c r="Y223" t="s">
        <v>1312</v>
      </c>
      <c r="Z223" t="s">
        <v>1312</v>
      </c>
      <c r="AC223">
        <v>2</v>
      </c>
      <c r="AE223">
        <v>15000</v>
      </c>
      <c r="AF223" t="s">
        <v>1351</v>
      </c>
      <c r="AH223" t="s">
        <v>1383</v>
      </c>
      <c r="AJ223" t="s">
        <v>1315</v>
      </c>
      <c r="AL223" t="s">
        <v>1316</v>
      </c>
      <c r="BS223" t="s">
        <v>1307</v>
      </c>
      <c r="CE223" t="s">
        <v>2376</v>
      </c>
      <c r="CF223" t="s">
        <v>1309</v>
      </c>
      <c r="CG223" t="s">
        <v>1309</v>
      </c>
      <c r="CH223" t="s">
        <v>1309</v>
      </c>
      <c r="CI223" t="s">
        <v>1309</v>
      </c>
      <c r="CJ223" t="s">
        <v>1309</v>
      </c>
      <c r="CK223" t="s">
        <v>1309</v>
      </c>
      <c r="CL223" t="s">
        <v>1309</v>
      </c>
      <c r="CM223" t="s">
        <v>1309</v>
      </c>
      <c r="CN223" t="s">
        <v>1309</v>
      </c>
      <c r="CO223" t="s">
        <v>1310</v>
      </c>
      <c r="CP223" t="s">
        <v>1309</v>
      </c>
      <c r="CQ223" t="s">
        <v>1309</v>
      </c>
      <c r="CR223" t="s">
        <v>1309</v>
      </c>
      <c r="CT223" t="s">
        <v>4436</v>
      </c>
      <c r="CV223" t="s">
        <v>1308</v>
      </c>
      <c r="CW223" t="s">
        <v>1310</v>
      </c>
      <c r="CX223" t="s">
        <v>1309</v>
      </c>
      <c r="CY223" t="s">
        <v>1309</v>
      </c>
      <c r="CZ223" t="s">
        <v>1309</v>
      </c>
      <c r="DA223" t="s">
        <v>1309</v>
      </c>
      <c r="DB223" t="s">
        <v>1309</v>
      </c>
      <c r="DC223" t="s">
        <v>1309</v>
      </c>
      <c r="DE223" t="s">
        <v>1358</v>
      </c>
      <c r="DF223" t="s">
        <v>1319</v>
      </c>
      <c r="DG223">
        <v>500</v>
      </c>
      <c r="DI223">
        <v>800</v>
      </c>
      <c r="DJ223" t="s">
        <v>1358</v>
      </c>
      <c r="DK223">
        <v>950</v>
      </c>
      <c r="DM223">
        <v>700</v>
      </c>
      <c r="DN223" t="s">
        <v>1320</v>
      </c>
      <c r="DO223" t="s">
        <v>1310</v>
      </c>
      <c r="DP223" t="s">
        <v>1309</v>
      </c>
      <c r="DQ223" t="s">
        <v>1309</v>
      </c>
      <c r="DR223" t="s">
        <v>1309</v>
      </c>
      <c r="DS223" t="s">
        <v>1309</v>
      </c>
      <c r="DT223" t="s">
        <v>1310</v>
      </c>
      <c r="DU223" t="s">
        <v>1309</v>
      </c>
      <c r="DV223" t="s">
        <v>1309</v>
      </c>
      <c r="DW223" t="s">
        <v>1309</v>
      </c>
      <c r="DY223" t="s">
        <v>1481</v>
      </c>
      <c r="DZ223">
        <v>300</v>
      </c>
      <c r="EA223" t="s">
        <v>1319</v>
      </c>
      <c r="EC223" t="s">
        <v>1658</v>
      </c>
      <c r="ED223">
        <v>800</v>
      </c>
      <c r="EE223" t="s">
        <v>1319</v>
      </c>
      <c r="EG223" t="s">
        <v>5357</v>
      </c>
      <c r="ET223" t="s">
        <v>1434</v>
      </c>
      <c r="EV223" t="s">
        <v>1319</v>
      </c>
      <c r="EW223" t="s">
        <v>1409</v>
      </c>
      <c r="EX223" t="s">
        <v>1307</v>
      </c>
      <c r="EY223" t="s">
        <v>1307</v>
      </c>
      <c r="EZ223" t="s">
        <v>1307</v>
      </c>
      <c r="FT223" t="s">
        <v>1307</v>
      </c>
      <c r="GI223" t="s">
        <v>1324</v>
      </c>
      <c r="GJ223" t="s">
        <v>1324</v>
      </c>
      <c r="GT223" t="s">
        <v>1325</v>
      </c>
      <c r="GU223" t="s">
        <v>1310</v>
      </c>
      <c r="GV223" t="s">
        <v>1309</v>
      </c>
      <c r="GW223" t="s">
        <v>1309</v>
      </c>
      <c r="GX223" t="s">
        <v>1309</v>
      </c>
      <c r="GY223" t="s">
        <v>1309</v>
      </c>
      <c r="GZ223" t="s">
        <v>1309</v>
      </c>
      <c r="HA223" t="s">
        <v>1309</v>
      </c>
      <c r="HB223" t="s">
        <v>1309</v>
      </c>
      <c r="HC223" t="s">
        <v>1309</v>
      </c>
      <c r="HD223" t="s">
        <v>1309</v>
      </c>
      <c r="HE223" t="s">
        <v>1309</v>
      </c>
      <c r="HF223" t="s">
        <v>1309</v>
      </c>
      <c r="HH223" t="s">
        <v>1390</v>
      </c>
      <c r="HI223" t="s">
        <v>1326</v>
      </c>
      <c r="HJ223" t="s">
        <v>1326</v>
      </c>
      <c r="HK223" t="s">
        <v>1327</v>
      </c>
      <c r="HL223" t="s">
        <v>1328</v>
      </c>
      <c r="HM223" t="s">
        <v>1390</v>
      </c>
      <c r="HN223" t="s">
        <v>1329</v>
      </c>
      <c r="HO223" t="s">
        <v>1309</v>
      </c>
      <c r="HP223" t="s">
        <v>1309</v>
      </c>
      <c r="HQ223" t="s">
        <v>1309</v>
      </c>
      <c r="HR223" t="s">
        <v>1310</v>
      </c>
      <c r="HS223" t="s">
        <v>1309</v>
      </c>
      <c r="HT223" t="s">
        <v>1309</v>
      </c>
      <c r="HU223" t="s">
        <v>1309</v>
      </c>
      <c r="HV223" t="s">
        <v>1309</v>
      </c>
      <c r="HW223" t="s">
        <v>1309</v>
      </c>
      <c r="HX223" t="s">
        <v>1309</v>
      </c>
      <c r="HY223" t="s">
        <v>1309</v>
      </c>
      <c r="IA223" t="s">
        <v>1307</v>
      </c>
      <c r="IQ223" t="s">
        <v>1330</v>
      </c>
      <c r="IS223" t="s">
        <v>1316</v>
      </c>
      <c r="JF223" t="s">
        <v>1331</v>
      </c>
      <c r="JG223" t="s">
        <v>1414</v>
      </c>
      <c r="JH223" t="s">
        <v>1309</v>
      </c>
      <c r="JI223" t="s">
        <v>1309</v>
      </c>
      <c r="JJ223" t="s">
        <v>1309</v>
      </c>
      <c r="JK223" t="s">
        <v>1309</v>
      </c>
      <c r="JL223" t="s">
        <v>1309</v>
      </c>
      <c r="JM223" t="s">
        <v>1309</v>
      </c>
      <c r="JN223" t="s">
        <v>1310</v>
      </c>
      <c r="JO223" t="s">
        <v>1309</v>
      </c>
      <c r="JQ223" s="92" t="s">
        <v>1333</v>
      </c>
      <c r="JR223" s="92" t="s">
        <v>2377</v>
      </c>
      <c r="JS223" s="92">
        <v>28</v>
      </c>
      <c r="JT223" s="92" t="s">
        <v>1319</v>
      </c>
      <c r="JU223" s="92" t="s">
        <v>1335</v>
      </c>
      <c r="JV223" s="92" t="s">
        <v>1336</v>
      </c>
      <c r="JW223" s="92" t="s">
        <v>1296</v>
      </c>
      <c r="JX223" s="92" t="s">
        <v>70</v>
      </c>
      <c r="JY223" s="92" t="s">
        <v>5549</v>
      </c>
      <c r="JZ223" s="92" t="s">
        <v>1398</v>
      </c>
      <c r="KA223" s="92" t="s">
        <v>4845</v>
      </c>
      <c r="KB223" s="92" t="s">
        <v>1415</v>
      </c>
      <c r="KC223" s="92" t="s">
        <v>109</v>
      </c>
      <c r="KD223" s="92" t="s">
        <v>4847</v>
      </c>
      <c r="KE223" s="92" t="s">
        <v>1340</v>
      </c>
      <c r="KF223" s="92">
        <v>1300</v>
      </c>
      <c r="KG223" s="92" t="s">
        <v>1340</v>
      </c>
      <c r="KH223" s="92" t="s">
        <v>192</v>
      </c>
      <c r="KI223" s="92" t="s">
        <v>109</v>
      </c>
      <c r="KJ223" s="92" t="s">
        <v>192</v>
      </c>
      <c r="KK223" s="92" t="s">
        <v>109</v>
      </c>
      <c r="KL223" s="92" t="s">
        <v>1440</v>
      </c>
      <c r="KM223" s="92">
        <v>1650</v>
      </c>
      <c r="KN223" s="92" t="s">
        <v>1340</v>
      </c>
      <c r="KO223" s="92" t="s">
        <v>1440</v>
      </c>
      <c r="KP223" s="92" t="s">
        <v>1401</v>
      </c>
      <c r="KQ223" s="92" t="s">
        <v>192</v>
      </c>
      <c r="KR223" s="92"/>
      <c r="KS223" s="92" t="s">
        <v>1343</v>
      </c>
      <c r="KT223" s="92" t="s">
        <v>1344</v>
      </c>
      <c r="KU223" s="92"/>
      <c r="KV223" s="92" t="s">
        <v>1441</v>
      </c>
      <c r="KW223" s="92" t="s">
        <v>1344</v>
      </c>
      <c r="KX223" s="92" t="s">
        <v>1376</v>
      </c>
      <c r="KY223" s="92" t="s">
        <v>1347</v>
      </c>
      <c r="KZ223" s="92" t="s">
        <v>5795</v>
      </c>
      <c r="LA223" s="92" t="s">
        <v>109</v>
      </c>
      <c r="LB223" s="92" t="s">
        <v>109</v>
      </c>
      <c r="LC223" s="92" t="s">
        <v>5566</v>
      </c>
      <c r="LD223" s="92" t="s">
        <v>5566</v>
      </c>
      <c r="LE223" s="92"/>
      <c r="LF223" s="92"/>
    </row>
    <row r="224" spans="1:318" x14ac:dyDescent="0.25">
      <c r="A224" t="s">
        <v>2378</v>
      </c>
      <c r="B224" t="s">
        <v>2379</v>
      </c>
      <c r="C224" t="s">
        <v>1304</v>
      </c>
      <c r="D224" t="s">
        <v>1305</v>
      </c>
      <c r="E224" t="s">
        <v>1306</v>
      </c>
      <c r="G224" t="s">
        <v>1307</v>
      </c>
      <c r="H224">
        <v>2</v>
      </c>
      <c r="I224" t="s">
        <v>1307</v>
      </c>
      <c r="J224" t="s">
        <v>1308</v>
      </c>
      <c r="K224" t="s">
        <v>1309</v>
      </c>
      <c r="L224" t="s">
        <v>1309</v>
      </c>
      <c r="M224" t="s">
        <v>1309</v>
      </c>
      <c r="N224" t="s">
        <v>1309</v>
      </c>
      <c r="O224" t="s">
        <v>1309</v>
      </c>
      <c r="P224" t="s">
        <v>1309</v>
      </c>
      <c r="Q224" t="s">
        <v>1310</v>
      </c>
      <c r="R224" t="s">
        <v>1309</v>
      </c>
      <c r="U224" t="s">
        <v>1312</v>
      </c>
      <c r="V224" t="s">
        <v>1312</v>
      </c>
      <c r="W224" t="s">
        <v>1312</v>
      </c>
      <c r="X224" t="s">
        <v>1312</v>
      </c>
      <c r="Y224" t="s">
        <v>1312</v>
      </c>
      <c r="Z224" t="s">
        <v>1312</v>
      </c>
      <c r="AC224">
        <v>2</v>
      </c>
      <c r="AD224">
        <v>25000</v>
      </c>
      <c r="AE224">
        <v>20000</v>
      </c>
      <c r="AF224" t="s">
        <v>1313</v>
      </c>
      <c r="AH224" t="s">
        <v>1383</v>
      </c>
      <c r="AJ224" t="s">
        <v>1315</v>
      </c>
      <c r="AL224" t="s">
        <v>1316</v>
      </c>
      <c r="BS224" t="s">
        <v>1307</v>
      </c>
      <c r="CE224" t="s">
        <v>2380</v>
      </c>
      <c r="CF224" t="s">
        <v>1310</v>
      </c>
      <c r="CG224" t="s">
        <v>1309</v>
      </c>
      <c r="CH224" t="s">
        <v>1309</v>
      </c>
      <c r="CI224" t="s">
        <v>1309</v>
      </c>
      <c r="CJ224" t="s">
        <v>1310</v>
      </c>
      <c r="CK224" t="s">
        <v>1310</v>
      </c>
      <c r="CL224" t="s">
        <v>1309</v>
      </c>
      <c r="CM224" t="s">
        <v>1310</v>
      </c>
      <c r="CN224" t="s">
        <v>1310</v>
      </c>
      <c r="CO224" t="s">
        <v>1310</v>
      </c>
      <c r="CP224" t="s">
        <v>1309</v>
      </c>
      <c r="CQ224" t="s">
        <v>1309</v>
      </c>
      <c r="CR224" t="s">
        <v>1309</v>
      </c>
      <c r="CT224" t="s">
        <v>4435</v>
      </c>
      <c r="CV224" t="s">
        <v>1308</v>
      </c>
      <c r="CW224" t="s">
        <v>1310</v>
      </c>
      <c r="CX224" t="s">
        <v>1309</v>
      </c>
      <c r="CY224" t="s">
        <v>1309</v>
      </c>
      <c r="CZ224" t="s">
        <v>1309</v>
      </c>
      <c r="DA224" t="s">
        <v>1309</v>
      </c>
      <c r="DB224" t="s">
        <v>1309</v>
      </c>
      <c r="DC224" t="s">
        <v>1309</v>
      </c>
      <c r="DE224" t="s">
        <v>1358</v>
      </c>
      <c r="DF224" t="s">
        <v>1319</v>
      </c>
      <c r="DG224">
        <v>500</v>
      </c>
      <c r="DH224">
        <v>1800</v>
      </c>
      <c r="DI224">
        <v>700</v>
      </c>
      <c r="DJ224" t="s">
        <v>1358</v>
      </c>
      <c r="DK224">
        <v>500</v>
      </c>
      <c r="DL224">
        <v>3000</v>
      </c>
      <c r="DM224">
        <v>650</v>
      </c>
      <c r="DN224" t="s">
        <v>1320</v>
      </c>
      <c r="DO224" t="s">
        <v>1310</v>
      </c>
      <c r="DP224" t="s">
        <v>1309</v>
      </c>
      <c r="DQ224" t="s">
        <v>1309</v>
      </c>
      <c r="DR224" t="s">
        <v>1309</v>
      </c>
      <c r="DS224" t="s">
        <v>1309</v>
      </c>
      <c r="DT224" t="s">
        <v>1310</v>
      </c>
      <c r="DU224" t="s">
        <v>1309</v>
      </c>
      <c r="DV224" t="s">
        <v>1309</v>
      </c>
      <c r="DW224" t="s">
        <v>1309</v>
      </c>
      <c r="DY224" t="s">
        <v>1456</v>
      </c>
      <c r="DZ224">
        <v>300</v>
      </c>
      <c r="EA224" t="s">
        <v>1319</v>
      </c>
      <c r="EC224" t="s">
        <v>1457</v>
      </c>
      <c r="ED224">
        <v>800</v>
      </c>
      <c r="EE224" t="s">
        <v>1319</v>
      </c>
      <c r="EG224" t="s">
        <v>5357</v>
      </c>
      <c r="ET224" t="s">
        <v>1307</v>
      </c>
      <c r="EV224" t="s">
        <v>1319</v>
      </c>
      <c r="EW224" t="s">
        <v>1409</v>
      </c>
      <c r="EX224" t="s">
        <v>1319</v>
      </c>
      <c r="EY224" t="s">
        <v>1307</v>
      </c>
      <c r="FA224" t="s">
        <v>2381</v>
      </c>
      <c r="FB224" t="s">
        <v>1309</v>
      </c>
      <c r="FC224" t="s">
        <v>1309</v>
      </c>
      <c r="FD224" t="s">
        <v>1309</v>
      </c>
      <c r="FE224" t="s">
        <v>1309</v>
      </c>
      <c r="FF224" t="s">
        <v>1309</v>
      </c>
      <c r="FG224" t="s">
        <v>1309</v>
      </c>
      <c r="FH224" t="s">
        <v>1310</v>
      </c>
      <c r="FI224" t="s">
        <v>1310</v>
      </c>
      <c r="FJ224" t="s">
        <v>1309</v>
      </c>
      <c r="FK224" t="s">
        <v>1309</v>
      </c>
      <c r="FL224" t="s">
        <v>1310</v>
      </c>
      <c r="FM224" t="s">
        <v>1310</v>
      </c>
      <c r="FN224" t="s">
        <v>1309</v>
      </c>
      <c r="FO224" t="s">
        <v>1309</v>
      </c>
      <c r="FP224" t="s">
        <v>1309</v>
      </c>
      <c r="FQ224" t="s">
        <v>1309</v>
      </c>
      <c r="FR224" t="s">
        <v>1309</v>
      </c>
      <c r="FT224" t="s">
        <v>1307</v>
      </c>
      <c r="GI224" t="s">
        <v>1324</v>
      </c>
      <c r="GJ224" t="s">
        <v>1324</v>
      </c>
      <c r="GT224" t="s">
        <v>1325</v>
      </c>
      <c r="GU224" t="s">
        <v>1310</v>
      </c>
      <c r="GV224" t="s">
        <v>1309</v>
      </c>
      <c r="GW224" t="s">
        <v>1309</v>
      </c>
      <c r="GX224" t="s">
        <v>1309</v>
      </c>
      <c r="GY224" t="s">
        <v>1309</v>
      </c>
      <c r="GZ224" t="s">
        <v>1309</v>
      </c>
      <c r="HA224" t="s">
        <v>1309</v>
      </c>
      <c r="HB224" t="s">
        <v>1309</v>
      </c>
      <c r="HC224" t="s">
        <v>1309</v>
      </c>
      <c r="HD224" t="s">
        <v>1309</v>
      </c>
      <c r="HE224" t="s">
        <v>1309</v>
      </c>
      <c r="HF224" t="s">
        <v>1309</v>
      </c>
      <c r="HH224" t="s">
        <v>1326</v>
      </c>
      <c r="HI224" t="s">
        <v>1326</v>
      </c>
      <c r="HJ224" t="s">
        <v>1326</v>
      </c>
      <c r="HK224" t="s">
        <v>1327</v>
      </c>
      <c r="HL224" t="s">
        <v>1364</v>
      </c>
      <c r="HM224" t="s">
        <v>1326</v>
      </c>
      <c r="IA224" t="s">
        <v>1319</v>
      </c>
      <c r="IB224" t="s">
        <v>1870</v>
      </c>
      <c r="IC224" t="s">
        <v>1309</v>
      </c>
      <c r="ID224" t="s">
        <v>1309</v>
      </c>
      <c r="IE224" t="s">
        <v>1309</v>
      </c>
      <c r="IF224" t="s">
        <v>1310</v>
      </c>
      <c r="IG224" t="s">
        <v>1310</v>
      </c>
      <c r="IH224" t="s">
        <v>1309</v>
      </c>
      <c r="II224" t="s">
        <v>1309</v>
      </c>
      <c r="IJ224" t="s">
        <v>1309</v>
      </c>
      <c r="IK224" t="s">
        <v>1309</v>
      </c>
      <c r="IL224" t="s">
        <v>1309</v>
      </c>
      <c r="IM224" t="s">
        <v>1309</v>
      </c>
      <c r="IN224" t="s">
        <v>1309</v>
      </c>
      <c r="IO224" t="s">
        <v>1309</v>
      </c>
      <c r="IQ224" t="s">
        <v>1308</v>
      </c>
      <c r="IS224" t="s">
        <v>1316</v>
      </c>
      <c r="JF224" t="s">
        <v>1331</v>
      </c>
      <c r="JG224" t="s">
        <v>1523</v>
      </c>
      <c r="JH224" t="s">
        <v>1309</v>
      </c>
      <c r="JI224" t="s">
        <v>1309</v>
      </c>
      <c r="JJ224" t="s">
        <v>1309</v>
      </c>
      <c r="JK224" t="s">
        <v>1310</v>
      </c>
      <c r="JL224" t="s">
        <v>1309</v>
      </c>
      <c r="JM224" t="s">
        <v>1309</v>
      </c>
      <c r="JN224" t="s">
        <v>1309</v>
      </c>
      <c r="JO224" t="s">
        <v>1309</v>
      </c>
      <c r="JQ224" s="92" t="s">
        <v>1333</v>
      </c>
      <c r="JR224" s="92" t="s">
        <v>1334</v>
      </c>
      <c r="JS224" s="92">
        <v>31</v>
      </c>
      <c r="JT224" s="92" t="s">
        <v>1319</v>
      </c>
      <c r="JU224" s="92" t="s">
        <v>1396</v>
      </c>
      <c r="JV224" s="92" t="s">
        <v>1336</v>
      </c>
      <c r="JW224" s="92" t="s">
        <v>1296</v>
      </c>
      <c r="JX224" s="92" t="s">
        <v>71</v>
      </c>
      <c r="JY224" s="92" t="s">
        <v>5549</v>
      </c>
      <c r="JZ224" s="92" t="s">
        <v>1398</v>
      </c>
      <c r="KA224" s="92" t="s">
        <v>4845</v>
      </c>
      <c r="KB224" s="92" t="s">
        <v>1338</v>
      </c>
      <c r="KC224" s="92" t="s">
        <v>109</v>
      </c>
      <c r="KD224" s="92" t="s">
        <v>4847</v>
      </c>
      <c r="KE224" s="92" t="s">
        <v>1416</v>
      </c>
      <c r="KF224" s="92">
        <v>3000</v>
      </c>
      <c r="KG224" s="92" t="s">
        <v>4438</v>
      </c>
      <c r="KH224" s="92" t="s">
        <v>192</v>
      </c>
      <c r="KI224" s="92" t="s">
        <v>192</v>
      </c>
      <c r="KJ224" s="92" t="s">
        <v>192</v>
      </c>
      <c r="KK224" s="92" t="s">
        <v>192</v>
      </c>
      <c r="KL224" s="92" t="s">
        <v>1425</v>
      </c>
      <c r="KM224" s="92">
        <v>4150</v>
      </c>
      <c r="KN224" s="92" t="s">
        <v>4438</v>
      </c>
      <c r="KO224" s="92" t="s">
        <v>1341</v>
      </c>
      <c r="KP224" s="92" t="s">
        <v>1342</v>
      </c>
      <c r="KQ224" s="92" t="s">
        <v>192</v>
      </c>
      <c r="KR224" s="92">
        <v>10</v>
      </c>
      <c r="KS224" s="92" t="s">
        <v>1343</v>
      </c>
      <c r="KT224" s="92" t="s">
        <v>1344</v>
      </c>
      <c r="KU224" s="92">
        <v>19</v>
      </c>
      <c r="KV224" s="92" t="s">
        <v>1441</v>
      </c>
      <c r="KW224" s="92" t="s">
        <v>1344</v>
      </c>
      <c r="KX224" s="92" t="s">
        <v>1376</v>
      </c>
      <c r="KY224" s="92" t="s">
        <v>1377</v>
      </c>
      <c r="KZ224" s="92" t="s">
        <v>5795</v>
      </c>
      <c r="LA224" s="92" t="s">
        <v>109</v>
      </c>
      <c r="LB224" s="92" t="s">
        <v>109</v>
      </c>
      <c r="LC224" s="92" t="s">
        <v>4438</v>
      </c>
      <c r="LD224" s="92" t="s">
        <v>4438</v>
      </c>
      <c r="LE224" s="92" t="s">
        <v>109</v>
      </c>
      <c r="LF224" s="92" t="s">
        <v>109</v>
      </c>
    </row>
    <row r="225" spans="1:318" x14ac:dyDescent="0.25">
      <c r="A225" t="s">
        <v>2382</v>
      </c>
      <c r="B225" t="s">
        <v>2383</v>
      </c>
      <c r="C225" t="s">
        <v>1304</v>
      </c>
      <c r="D225" t="s">
        <v>1305</v>
      </c>
      <c r="E225" t="s">
        <v>1306</v>
      </c>
      <c r="G225" t="s">
        <v>1307</v>
      </c>
      <c r="H225">
        <v>3</v>
      </c>
      <c r="I225" t="s">
        <v>1307</v>
      </c>
      <c r="J225" t="s">
        <v>1406</v>
      </c>
      <c r="K225" t="s">
        <v>1309</v>
      </c>
      <c r="L225" t="s">
        <v>1310</v>
      </c>
      <c r="M225" t="s">
        <v>1309</v>
      </c>
      <c r="N225" t="s">
        <v>1309</v>
      </c>
      <c r="O225" t="s">
        <v>1309</v>
      </c>
      <c r="P225" t="s">
        <v>1309</v>
      </c>
      <c r="Q225" t="s">
        <v>1309</v>
      </c>
      <c r="R225" t="s">
        <v>1309</v>
      </c>
      <c r="S225">
        <v>1</v>
      </c>
      <c r="U225" t="s">
        <v>1311</v>
      </c>
      <c r="V225" t="s">
        <v>1312</v>
      </c>
      <c r="W225" t="s">
        <v>1312</v>
      </c>
      <c r="X225" t="s">
        <v>1312</v>
      </c>
      <c r="Y225" t="s">
        <v>1312</v>
      </c>
      <c r="Z225" t="s">
        <v>1312</v>
      </c>
      <c r="AC225">
        <v>1</v>
      </c>
      <c r="AD225">
        <v>18000</v>
      </c>
      <c r="AF225" t="s">
        <v>1313</v>
      </c>
      <c r="AH225" t="s">
        <v>1383</v>
      </c>
      <c r="AJ225" t="s">
        <v>1315</v>
      </c>
      <c r="AL225" t="s">
        <v>1331</v>
      </c>
      <c r="BS225" t="s">
        <v>1307</v>
      </c>
      <c r="CE225" t="s">
        <v>2384</v>
      </c>
      <c r="CF225" t="s">
        <v>1309</v>
      </c>
      <c r="CG225" t="s">
        <v>1309</v>
      </c>
      <c r="CH225" t="s">
        <v>1309</v>
      </c>
      <c r="CI225" t="s">
        <v>1309</v>
      </c>
      <c r="CJ225" t="s">
        <v>1309</v>
      </c>
      <c r="CK225" t="s">
        <v>1309</v>
      </c>
      <c r="CL225" t="s">
        <v>1309</v>
      </c>
      <c r="CM225" t="s">
        <v>1309</v>
      </c>
      <c r="CN225" t="s">
        <v>1310</v>
      </c>
      <c r="CO225" t="s">
        <v>1310</v>
      </c>
      <c r="CP225" t="s">
        <v>1309</v>
      </c>
      <c r="CQ225" t="s">
        <v>1309</v>
      </c>
      <c r="CR225" t="s">
        <v>1309</v>
      </c>
      <c r="CT225" t="s">
        <v>4434</v>
      </c>
      <c r="CV225" t="s">
        <v>1357</v>
      </c>
      <c r="CW225" t="s">
        <v>1309</v>
      </c>
      <c r="CX225" t="s">
        <v>1309</v>
      </c>
      <c r="CY225" t="s">
        <v>1309</v>
      </c>
      <c r="CZ225" t="s">
        <v>1309</v>
      </c>
      <c r="DA225" t="s">
        <v>1310</v>
      </c>
      <c r="DB225" t="s">
        <v>1309</v>
      </c>
      <c r="DC225" t="s">
        <v>1309</v>
      </c>
      <c r="DE225" t="s">
        <v>1358</v>
      </c>
      <c r="DG225">
        <v>2900</v>
      </c>
      <c r="DI225">
        <v>800</v>
      </c>
      <c r="DJ225" t="s">
        <v>1358</v>
      </c>
      <c r="DK225">
        <v>3700</v>
      </c>
      <c r="DM225">
        <v>900</v>
      </c>
      <c r="DN225" t="s">
        <v>1320</v>
      </c>
      <c r="DO225" t="s">
        <v>1310</v>
      </c>
      <c r="DP225" t="s">
        <v>1309</v>
      </c>
      <c r="DQ225" t="s">
        <v>1309</v>
      </c>
      <c r="DR225" t="s">
        <v>1309</v>
      </c>
      <c r="DS225" t="s">
        <v>1309</v>
      </c>
      <c r="DT225" t="s">
        <v>1310</v>
      </c>
      <c r="DU225" t="s">
        <v>1309</v>
      </c>
      <c r="DV225" t="s">
        <v>1309</v>
      </c>
      <c r="DW225" t="s">
        <v>1309</v>
      </c>
      <c r="DY225" t="s">
        <v>1696</v>
      </c>
      <c r="DZ225">
        <v>370</v>
      </c>
      <c r="EA225" t="s">
        <v>1319</v>
      </c>
      <c r="EC225" t="s">
        <v>1474</v>
      </c>
      <c r="ED225">
        <v>1000</v>
      </c>
      <c r="EE225" t="s">
        <v>1319</v>
      </c>
      <c r="EG225" t="s">
        <v>5357</v>
      </c>
      <c r="ET225" t="s">
        <v>1307</v>
      </c>
      <c r="EV225" t="s">
        <v>1319</v>
      </c>
      <c r="EW225" t="s">
        <v>1421</v>
      </c>
      <c r="EX225" t="s">
        <v>1319</v>
      </c>
      <c r="EY225" t="s">
        <v>1319</v>
      </c>
      <c r="FA225" t="s">
        <v>2385</v>
      </c>
      <c r="FB225" t="s">
        <v>1310</v>
      </c>
      <c r="FC225" t="s">
        <v>1309</v>
      </c>
      <c r="FD225" t="s">
        <v>1309</v>
      </c>
      <c r="FE225" t="s">
        <v>1309</v>
      </c>
      <c r="FF225" t="s">
        <v>1309</v>
      </c>
      <c r="FG225" t="s">
        <v>1310</v>
      </c>
      <c r="FH225" t="s">
        <v>1309</v>
      </c>
      <c r="FI225" t="s">
        <v>1309</v>
      </c>
      <c r="FJ225" t="s">
        <v>1309</v>
      </c>
      <c r="FK225" t="s">
        <v>1309</v>
      </c>
      <c r="FL225" t="s">
        <v>1309</v>
      </c>
      <c r="FM225" t="s">
        <v>1310</v>
      </c>
      <c r="FN225" t="s">
        <v>1309</v>
      </c>
      <c r="FO225" t="s">
        <v>1309</v>
      </c>
      <c r="FP225" t="s">
        <v>1309</v>
      </c>
      <c r="FQ225" t="s">
        <v>1309</v>
      </c>
      <c r="FR225" t="s">
        <v>1309</v>
      </c>
      <c r="FT225" t="s">
        <v>1307</v>
      </c>
      <c r="GI225" t="s">
        <v>1324</v>
      </c>
      <c r="GJ225" t="s">
        <v>1324</v>
      </c>
      <c r="GT225" t="s">
        <v>1325</v>
      </c>
      <c r="GU225" t="s">
        <v>1310</v>
      </c>
      <c r="GV225" t="s">
        <v>1309</v>
      </c>
      <c r="GW225" t="s">
        <v>1309</v>
      </c>
      <c r="GX225" t="s">
        <v>1309</v>
      </c>
      <c r="GY225" t="s">
        <v>1309</v>
      </c>
      <c r="GZ225" t="s">
        <v>1309</v>
      </c>
      <c r="HA225" t="s">
        <v>1309</v>
      </c>
      <c r="HB225" t="s">
        <v>1309</v>
      </c>
      <c r="HC225" t="s">
        <v>1309</v>
      </c>
      <c r="HD225" t="s">
        <v>1309</v>
      </c>
      <c r="HE225" t="s">
        <v>1309</v>
      </c>
      <c r="HF225" t="s">
        <v>1309</v>
      </c>
      <c r="HH225" t="s">
        <v>1326</v>
      </c>
      <c r="HI225" t="s">
        <v>1326</v>
      </c>
      <c r="HJ225" t="s">
        <v>1326</v>
      </c>
      <c r="HK225" t="s">
        <v>1327</v>
      </c>
      <c r="HL225" t="s">
        <v>1364</v>
      </c>
      <c r="HM225" t="s">
        <v>1326</v>
      </c>
      <c r="IA225" t="s">
        <v>1319</v>
      </c>
      <c r="IB225" t="s">
        <v>2386</v>
      </c>
      <c r="IC225" t="s">
        <v>1309</v>
      </c>
      <c r="ID225" t="s">
        <v>1310</v>
      </c>
      <c r="IE225" t="s">
        <v>1309</v>
      </c>
      <c r="IF225" t="s">
        <v>1310</v>
      </c>
      <c r="IG225" t="s">
        <v>1310</v>
      </c>
      <c r="IH225" t="s">
        <v>1309</v>
      </c>
      <c r="II225" t="s">
        <v>1309</v>
      </c>
      <c r="IJ225" t="s">
        <v>1309</v>
      </c>
      <c r="IK225" t="s">
        <v>1310</v>
      </c>
      <c r="IL225" t="s">
        <v>1309</v>
      </c>
      <c r="IM225" t="s">
        <v>1309</v>
      </c>
      <c r="IN225" t="s">
        <v>1309</v>
      </c>
      <c r="IO225" t="s">
        <v>1309</v>
      </c>
      <c r="IQ225" t="s">
        <v>1365</v>
      </c>
      <c r="IS225" t="s">
        <v>1316</v>
      </c>
      <c r="JF225" t="s">
        <v>1413</v>
      </c>
      <c r="JG225" t="s">
        <v>1414</v>
      </c>
      <c r="JH225" t="s">
        <v>1309</v>
      </c>
      <c r="JI225" t="s">
        <v>1309</v>
      </c>
      <c r="JJ225" t="s">
        <v>1309</v>
      </c>
      <c r="JK225" t="s">
        <v>1309</v>
      </c>
      <c r="JL225" t="s">
        <v>1309</v>
      </c>
      <c r="JM225" t="s">
        <v>1309</v>
      </c>
      <c r="JN225" t="s">
        <v>1310</v>
      </c>
      <c r="JO225" t="s">
        <v>1309</v>
      </c>
      <c r="JQ225" s="92" t="s">
        <v>1333</v>
      </c>
      <c r="JR225" s="92" t="s">
        <v>1334</v>
      </c>
      <c r="JS225" s="92">
        <v>40</v>
      </c>
      <c r="JT225" s="92" t="s">
        <v>1319</v>
      </c>
      <c r="JU225" s="92" t="s">
        <v>1335</v>
      </c>
      <c r="JV225" s="92" t="s">
        <v>1336</v>
      </c>
      <c r="JW225" s="92" t="s">
        <v>1296</v>
      </c>
      <c r="JX225" s="92" t="s">
        <v>71</v>
      </c>
      <c r="JY225" s="92" t="s">
        <v>5549</v>
      </c>
      <c r="JZ225" s="92" t="s">
        <v>1337</v>
      </c>
      <c r="KA225" s="92" t="s">
        <v>4845</v>
      </c>
      <c r="KB225" s="92" t="s">
        <v>1415</v>
      </c>
      <c r="KC225" s="92" t="s">
        <v>109</v>
      </c>
      <c r="KD225" s="92" t="s">
        <v>4844</v>
      </c>
      <c r="KE225" s="92" t="s">
        <v>1452</v>
      </c>
      <c r="KF225" s="92">
        <v>3700</v>
      </c>
      <c r="KG225" s="92" t="s">
        <v>4438</v>
      </c>
      <c r="KH225" s="92" t="s">
        <v>192</v>
      </c>
      <c r="KI225" s="92" t="s">
        <v>109</v>
      </c>
      <c r="KJ225" s="92" t="s">
        <v>192</v>
      </c>
      <c r="KK225" s="92" t="s">
        <v>109</v>
      </c>
      <c r="KL225" s="92" t="s">
        <v>1341</v>
      </c>
      <c r="KM225" s="92">
        <v>4600</v>
      </c>
      <c r="KN225" s="92" t="s">
        <v>4439</v>
      </c>
      <c r="KO225" s="92" t="s">
        <v>1341</v>
      </c>
      <c r="KP225" s="92" t="s">
        <v>1375</v>
      </c>
      <c r="KQ225" s="92" t="s">
        <v>192</v>
      </c>
      <c r="KR225" s="92">
        <v>10</v>
      </c>
      <c r="KS225" s="92" t="s">
        <v>1343</v>
      </c>
      <c r="KT225" s="92" t="s">
        <v>1344</v>
      </c>
      <c r="KU225" s="92">
        <v>22</v>
      </c>
      <c r="KV225" s="92" t="s">
        <v>1461</v>
      </c>
      <c r="KW225" s="92" t="s">
        <v>1344</v>
      </c>
      <c r="KX225" s="92" t="s">
        <v>1346</v>
      </c>
      <c r="KY225" s="92" t="s">
        <v>1377</v>
      </c>
      <c r="KZ225" s="92" t="s">
        <v>5795</v>
      </c>
      <c r="LA225" s="92" t="s">
        <v>109</v>
      </c>
      <c r="LB225" s="92" t="s">
        <v>109</v>
      </c>
      <c r="LC225" s="92" t="s">
        <v>5566</v>
      </c>
      <c r="LD225" s="92" t="s">
        <v>5566</v>
      </c>
      <c r="LE225" s="92"/>
      <c r="LF225" s="92"/>
    </row>
    <row r="226" spans="1:318" x14ac:dyDescent="0.25">
      <c r="A226" t="s">
        <v>2387</v>
      </c>
      <c r="B226" t="s">
        <v>2388</v>
      </c>
      <c r="C226" t="s">
        <v>1304</v>
      </c>
      <c r="D226" t="s">
        <v>1305</v>
      </c>
      <c r="E226" t="s">
        <v>1381</v>
      </c>
      <c r="G226" t="s">
        <v>1319</v>
      </c>
      <c r="H226">
        <v>3</v>
      </c>
      <c r="I226" t="s">
        <v>1358</v>
      </c>
      <c r="J226" t="s">
        <v>1382</v>
      </c>
      <c r="K226" t="s">
        <v>1309</v>
      </c>
      <c r="L226" t="s">
        <v>1310</v>
      </c>
      <c r="M226" t="s">
        <v>1309</v>
      </c>
      <c r="N226" t="s">
        <v>1309</v>
      </c>
      <c r="O226" t="s">
        <v>1309</v>
      </c>
      <c r="P226" t="s">
        <v>1310</v>
      </c>
      <c r="Q226" t="s">
        <v>1309</v>
      </c>
      <c r="R226" t="s">
        <v>1309</v>
      </c>
      <c r="S226">
        <v>2</v>
      </c>
      <c r="U226" t="s">
        <v>1312</v>
      </c>
      <c r="V226" t="s">
        <v>1312</v>
      </c>
      <c r="W226" t="s">
        <v>1312</v>
      </c>
      <c r="X226" t="s">
        <v>1312</v>
      </c>
      <c r="Y226" t="s">
        <v>1312</v>
      </c>
      <c r="Z226" t="s">
        <v>1312</v>
      </c>
      <c r="AC226">
        <v>1</v>
      </c>
      <c r="AD226">
        <v>10000</v>
      </c>
      <c r="AE226">
        <v>15000</v>
      </c>
      <c r="AF226" t="s">
        <v>1313</v>
      </c>
      <c r="AH226" t="s">
        <v>1536</v>
      </c>
      <c r="AJ226" t="s">
        <v>1315</v>
      </c>
      <c r="AL226" t="s">
        <v>1316</v>
      </c>
      <c r="BS226" t="s">
        <v>1307</v>
      </c>
      <c r="CE226" t="s">
        <v>1767</v>
      </c>
      <c r="CF226" t="s">
        <v>1309</v>
      </c>
      <c r="CG226" t="s">
        <v>1309</v>
      </c>
      <c r="CH226" t="s">
        <v>1309</v>
      </c>
      <c r="CI226" t="s">
        <v>1309</v>
      </c>
      <c r="CJ226" t="s">
        <v>1310</v>
      </c>
      <c r="CK226" t="s">
        <v>1309</v>
      </c>
      <c r="CL226" t="s">
        <v>1309</v>
      </c>
      <c r="CM226" t="s">
        <v>1309</v>
      </c>
      <c r="CN226" t="s">
        <v>1309</v>
      </c>
      <c r="CO226" t="s">
        <v>1309</v>
      </c>
      <c r="CP226" t="s">
        <v>1309</v>
      </c>
      <c r="CQ226" t="s">
        <v>1309</v>
      </c>
      <c r="CR226" t="s">
        <v>1309</v>
      </c>
      <c r="CT226" t="s">
        <v>4434</v>
      </c>
      <c r="CV226" t="s">
        <v>1308</v>
      </c>
      <c r="CW226" t="s">
        <v>1310</v>
      </c>
      <c r="CX226" t="s">
        <v>1309</v>
      </c>
      <c r="CY226" t="s">
        <v>1309</v>
      </c>
      <c r="CZ226" t="s">
        <v>1309</v>
      </c>
      <c r="DA226" t="s">
        <v>1309</v>
      </c>
      <c r="DB226" t="s">
        <v>1309</v>
      </c>
      <c r="DC226" t="s">
        <v>1309</v>
      </c>
      <c r="DE226" t="s">
        <v>1358</v>
      </c>
      <c r="DG226">
        <v>1450</v>
      </c>
      <c r="DI226">
        <v>600</v>
      </c>
      <c r="DJ226" t="s">
        <v>1358</v>
      </c>
      <c r="DK226">
        <v>2500</v>
      </c>
      <c r="DM226">
        <v>600</v>
      </c>
      <c r="DN226" t="s">
        <v>1445</v>
      </c>
      <c r="DO226" t="s">
        <v>1310</v>
      </c>
      <c r="DP226" t="s">
        <v>1310</v>
      </c>
      <c r="DQ226" t="s">
        <v>1309</v>
      </c>
      <c r="DR226" t="s">
        <v>1309</v>
      </c>
      <c r="DS226" t="s">
        <v>1309</v>
      </c>
      <c r="DT226" t="s">
        <v>1310</v>
      </c>
      <c r="DU226" t="s">
        <v>1309</v>
      </c>
      <c r="DV226" t="s">
        <v>1309</v>
      </c>
      <c r="DW226" t="s">
        <v>1309</v>
      </c>
      <c r="DY226" t="s">
        <v>1490</v>
      </c>
      <c r="DZ226">
        <v>300</v>
      </c>
      <c r="EA226" t="s">
        <v>1319</v>
      </c>
      <c r="EC226" t="s">
        <v>1322</v>
      </c>
      <c r="ED226">
        <v>800</v>
      </c>
      <c r="EE226" t="s">
        <v>1319</v>
      </c>
      <c r="EG226" t="s">
        <v>5356</v>
      </c>
      <c r="EI226" t="s">
        <v>1307</v>
      </c>
      <c r="ET226" t="s">
        <v>1307</v>
      </c>
      <c r="EV226" t="s">
        <v>1307</v>
      </c>
      <c r="EX226" t="s">
        <v>1307</v>
      </c>
      <c r="EY226" t="s">
        <v>1307</v>
      </c>
      <c r="FT226" t="s">
        <v>1319</v>
      </c>
      <c r="FU226" t="s">
        <v>1635</v>
      </c>
      <c r="FV226" t="s">
        <v>1310</v>
      </c>
      <c r="FW226" t="s">
        <v>1309</v>
      </c>
      <c r="FX226" t="s">
        <v>1309</v>
      </c>
      <c r="FY226" t="s">
        <v>1309</v>
      </c>
      <c r="FZ226" t="s">
        <v>1309</v>
      </c>
      <c r="GA226" t="s">
        <v>1310</v>
      </c>
      <c r="GB226" t="s">
        <v>1309</v>
      </c>
      <c r="GC226" t="s">
        <v>1309</v>
      </c>
      <c r="GD226" t="s">
        <v>1309</v>
      </c>
      <c r="GE226" t="s">
        <v>1309</v>
      </c>
      <c r="GF226" t="s">
        <v>1309</v>
      </c>
      <c r="GG226" t="s">
        <v>1309</v>
      </c>
      <c r="GI226" t="s">
        <v>1324</v>
      </c>
      <c r="GJ226" t="s">
        <v>1324</v>
      </c>
      <c r="GT226" t="s">
        <v>1325</v>
      </c>
      <c r="GU226" t="s">
        <v>1310</v>
      </c>
      <c r="GV226" t="s">
        <v>1309</v>
      </c>
      <c r="GW226" t="s">
        <v>1309</v>
      </c>
      <c r="GX226" t="s">
        <v>1309</v>
      </c>
      <c r="GY226" t="s">
        <v>1309</v>
      </c>
      <c r="GZ226" t="s">
        <v>1309</v>
      </c>
      <c r="HA226" t="s">
        <v>1309</v>
      </c>
      <c r="HB226" t="s">
        <v>1309</v>
      </c>
      <c r="HC226" t="s">
        <v>1309</v>
      </c>
      <c r="HD226" t="s">
        <v>1309</v>
      </c>
      <c r="HE226" t="s">
        <v>1309</v>
      </c>
      <c r="HF226" t="s">
        <v>1309</v>
      </c>
      <c r="HH226" t="s">
        <v>1390</v>
      </c>
      <c r="HI226" t="s">
        <v>1390</v>
      </c>
      <c r="HJ226" t="s">
        <v>1390</v>
      </c>
      <c r="HK226" t="s">
        <v>1327</v>
      </c>
      <c r="HL226" t="s">
        <v>1364</v>
      </c>
      <c r="HM226" t="s">
        <v>1390</v>
      </c>
      <c r="IA226" t="s">
        <v>1414</v>
      </c>
      <c r="IQ226" t="s">
        <v>1308</v>
      </c>
      <c r="IS226" t="s">
        <v>1316</v>
      </c>
      <c r="JF226" t="s">
        <v>1316</v>
      </c>
      <c r="JG226" t="s">
        <v>1414</v>
      </c>
      <c r="JH226" t="s">
        <v>1309</v>
      </c>
      <c r="JI226" t="s">
        <v>1309</v>
      </c>
      <c r="JJ226" t="s">
        <v>1309</v>
      </c>
      <c r="JK226" t="s">
        <v>1309</v>
      </c>
      <c r="JL226" t="s">
        <v>1309</v>
      </c>
      <c r="JM226" t="s">
        <v>1309</v>
      </c>
      <c r="JN226" t="s">
        <v>1310</v>
      </c>
      <c r="JO226" t="s">
        <v>1309</v>
      </c>
      <c r="JQ226" s="92" t="s">
        <v>1333</v>
      </c>
      <c r="JR226" s="92" t="s">
        <v>1334</v>
      </c>
      <c r="JS226" s="92">
        <v>42</v>
      </c>
      <c r="JT226" s="92" t="s">
        <v>1319</v>
      </c>
      <c r="JU226" s="92" t="s">
        <v>1396</v>
      </c>
      <c r="JV226" s="92" t="s">
        <v>1336</v>
      </c>
      <c r="JW226" s="92" t="s">
        <v>1296</v>
      </c>
      <c r="JX226" s="92" t="s">
        <v>71</v>
      </c>
      <c r="JY226" s="92" t="s">
        <v>1397</v>
      </c>
      <c r="JZ226" s="92" t="s">
        <v>1337</v>
      </c>
      <c r="KA226" s="92" t="s">
        <v>4845</v>
      </c>
      <c r="KB226" s="92" t="s">
        <v>1399</v>
      </c>
      <c r="KC226" s="92" t="s">
        <v>109</v>
      </c>
      <c r="KD226" s="92" t="s">
        <v>4844</v>
      </c>
      <c r="KE226" s="92" t="s">
        <v>1424</v>
      </c>
      <c r="KF226" s="92">
        <v>2050</v>
      </c>
      <c r="KG226" s="92" t="s">
        <v>4438</v>
      </c>
      <c r="KH226" s="92" t="s">
        <v>192</v>
      </c>
      <c r="KI226" s="92" t="s">
        <v>109</v>
      </c>
      <c r="KJ226" s="92" t="s">
        <v>192</v>
      </c>
      <c r="KK226" s="92" t="s">
        <v>109</v>
      </c>
      <c r="KL226" s="92" t="s">
        <v>1425</v>
      </c>
      <c r="KM226" s="92">
        <v>3100</v>
      </c>
      <c r="KN226" s="92" t="s">
        <v>4439</v>
      </c>
      <c r="KO226" s="92" t="s">
        <v>1341</v>
      </c>
      <c r="KP226" s="92" t="s">
        <v>1460</v>
      </c>
      <c r="KQ226" s="92" t="s">
        <v>192</v>
      </c>
      <c r="KR226" s="92">
        <v>15</v>
      </c>
      <c r="KS226" s="92" t="s">
        <v>1343</v>
      </c>
      <c r="KT226" s="92" t="s">
        <v>1344</v>
      </c>
      <c r="KU226" s="92">
        <v>26</v>
      </c>
      <c r="KV226" s="92" t="s">
        <v>1441</v>
      </c>
      <c r="KW226" s="92" t="s">
        <v>1344</v>
      </c>
      <c r="KX226" s="92" t="s">
        <v>1346</v>
      </c>
      <c r="KY226" s="92" t="s">
        <v>1347</v>
      </c>
      <c r="KZ226" s="92" t="s">
        <v>1403</v>
      </c>
      <c r="LA226" s="92" t="s">
        <v>109</v>
      </c>
      <c r="LB226" s="92" t="s">
        <v>109</v>
      </c>
      <c r="LC226" s="92" t="s">
        <v>4438</v>
      </c>
      <c r="LD226" s="92" t="s">
        <v>4438</v>
      </c>
      <c r="LE226" s="92" t="s">
        <v>192</v>
      </c>
      <c r="LF226" s="92" t="s">
        <v>192</v>
      </c>
    </row>
    <row r="227" spans="1:318" x14ac:dyDescent="0.25">
      <c r="A227" t="s">
        <v>2389</v>
      </c>
      <c r="B227" t="s">
        <v>2390</v>
      </c>
      <c r="C227" t="s">
        <v>1304</v>
      </c>
      <c r="D227" t="s">
        <v>1305</v>
      </c>
      <c r="E227" t="s">
        <v>1306</v>
      </c>
      <c r="G227" t="s">
        <v>1307</v>
      </c>
      <c r="H227">
        <v>4</v>
      </c>
      <c r="I227" t="s">
        <v>1307</v>
      </c>
      <c r="J227" t="s">
        <v>1663</v>
      </c>
      <c r="K227" t="s">
        <v>1309</v>
      </c>
      <c r="L227" t="s">
        <v>1310</v>
      </c>
      <c r="M227" t="s">
        <v>1310</v>
      </c>
      <c r="N227" t="s">
        <v>1309</v>
      </c>
      <c r="O227" t="s">
        <v>1309</v>
      </c>
      <c r="P227" t="s">
        <v>1309</v>
      </c>
      <c r="Q227" t="s">
        <v>1309</v>
      </c>
      <c r="R227" t="s">
        <v>1309</v>
      </c>
      <c r="S227">
        <v>1</v>
      </c>
      <c r="T227">
        <v>1</v>
      </c>
      <c r="U227" t="s">
        <v>1311</v>
      </c>
      <c r="V227" t="s">
        <v>1312</v>
      </c>
      <c r="W227" t="s">
        <v>1311</v>
      </c>
      <c r="X227" t="s">
        <v>1312</v>
      </c>
      <c r="Y227" t="s">
        <v>1312</v>
      </c>
      <c r="Z227" t="s">
        <v>1312</v>
      </c>
      <c r="AC227">
        <v>3</v>
      </c>
      <c r="AF227" t="s">
        <v>1313</v>
      </c>
      <c r="AH227" t="s">
        <v>1383</v>
      </c>
      <c r="AJ227" t="s">
        <v>1315</v>
      </c>
      <c r="AL227" t="s">
        <v>1316</v>
      </c>
      <c r="BS227" t="s">
        <v>1307</v>
      </c>
      <c r="CE227" t="s">
        <v>2391</v>
      </c>
      <c r="CF227" t="s">
        <v>1310</v>
      </c>
      <c r="CG227" t="s">
        <v>1309</v>
      </c>
      <c r="CH227" t="s">
        <v>1309</v>
      </c>
      <c r="CI227" t="s">
        <v>1309</v>
      </c>
      <c r="CJ227" t="s">
        <v>1310</v>
      </c>
      <c r="CK227" t="s">
        <v>1310</v>
      </c>
      <c r="CL227" t="s">
        <v>1309</v>
      </c>
      <c r="CM227" t="s">
        <v>1309</v>
      </c>
      <c r="CN227" t="s">
        <v>1310</v>
      </c>
      <c r="CO227" t="s">
        <v>1310</v>
      </c>
      <c r="CP227" t="s">
        <v>1309</v>
      </c>
      <c r="CQ227" t="s">
        <v>1309</v>
      </c>
      <c r="CR227" t="s">
        <v>1309</v>
      </c>
      <c r="CT227" t="s">
        <v>4435</v>
      </c>
      <c r="CV227" t="s">
        <v>1357</v>
      </c>
      <c r="CW227" t="s">
        <v>1309</v>
      </c>
      <c r="CX227" t="s">
        <v>1309</v>
      </c>
      <c r="CY227" t="s">
        <v>1309</v>
      </c>
      <c r="CZ227" t="s">
        <v>1309</v>
      </c>
      <c r="DA227" t="s">
        <v>1310</v>
      </c>
      <c r="DB227" t="s">
        <v>1309</v>
      </c>
      <c r="DC227" t="s">
        <v>1309</v>
      </c>
      <c r="DE227" t="s">
        <v>1358</v>
      </c>
      <c r="DF227" t="s">
        <v>1319</v>
      </c>
      <c r="DG227">
        <v>750</v>
      </c>
      <c r="DH227">
        <v>2400</v>
      </c>
      <c r="DI227">
        <v>900</v>
      </c>
      <c r="DJ227" t="s">
        <v>1358</v>
      </c>
      <c r="DK227">
        <v>900</v>
      </c>
      <c r="DL227">
        <v>3700</v>
      </c>
      <c r="DM227">
        <v>800</v>
      </c>
      <c r="DN227" t="s">
        <v>1320</v>
      </c>
      <c r="DO227" t="s">
        <v>1310</v>
      </c>
      <c r="DP227" t="s">
        <v>1309</v>
      </c>
      <c r="DQ227" t="s">
        <v>1309</v>
      </c>
      <c r="DR227" t="s">
        <v>1309</v>
      </c>
      <c r="DS227" t="s">
        <v>1309</v>
      </c>
      <c r="DT227" t="s">
        <v>1310</v>
      </c>
      <c r="DU227" t="s">
        <v>1309</v>
      </c>
      <c r="DV227" t="s">
        <v>1309</v>
      </c>
      <c r="DW227" t="s">
        <v>1309</v>
      </c>
      <c r="DY227" t="s">
        <v>1321</v>
      </c>
      <c r="DZ227">
        <v>400</v>
      </c>
      <c r="EA227" t="s">
        <v>1319</v>
      </c>
      <c r="EC227" t="s">
        <v>1457</v>
      </c>
      <c r="ED227">
        <v>800</v>
      </c>
      <c r="EE227" t="s">
        <v>1319</v>
      </c>
      <c r="EG227" t="s">
        <v>5357</v>
      </c>
      <c r="ET227" t="s">
        <v>1434</v>
      </c>
      <c r="EV227" t="s">
        <v>1319</v>
      </c>
      <c r="EW227" t="s">
        <v>1421</v>
      </c>
      <c r="EX227" t="s">
        <v>1319</v>
      </c>
      <c r="EY227" t="s">
        <v>1307</v>
      </c>
      <c r="FA227" t="s">
        <v>2392</v>
      </c>
      <c r="FB227" t="s">
        <v>1309</v>
      </c>
      <c r="FC227" t="s">
        <v>1309</v>
      </c>
      <c r="FD227" t="s">
        <v>1309</v>
      </c>
      <c r="FE227" t="s">
        <v>1309</v>
      </c>
      <c r="FF227" t="s">
        <v>1309</v>
      </c>
      <c r="FG227" t="s">
        <v>1310</v>
      </c>
      <c r="FH227" t="s">
        <v>1310</v>
      </c>
      <c r="FI227" t="s">
        <v>1310</v>
      </c>
      <c r="FJ227" t="s">
        <v>1309</v>
      </c>
      <c r="FK227" t="s">
        <v>1309</v>
      </c>
      <c r="FL227" t="s">
        <v>1310</v>
      </c>
      <c r="FM227" t="s">
        <v>1310</v>
      </c>
      <c r="FN227" t="s">
        <v>1309</v>
      </c>
      <c r="FO227" t="s">
        <v>1309</v>
      </c>
      <c r="FP227" t="s">
        <v>1309</v>
      </c>
      <c r="FQ227" t="s">
        <v>1309</v>
      </c>
      <c r="FR227" t="s">
        <v>1309</v>
      </c>
      <c r="FT227" t="s">
        <v>1307</v>
      </c>
      <c r="GI227" t="s">
        <v>1448</v>
      </c>
      <c r="GJ227" t="s">
        <v>1324</v>
      </c>
      <c r="GT227" t="s">
        <v>1325</v>
      </c>
      <c r="GU227" t="s">
        <v>1310</v>
      </c>
      <c r="GV227" t="s">
        <v>1309</v>
      </c>
      <c r="GW227" t="s">
        <v>1309</v>
      </c>
      <c r="GX227" t="s">
        <v>1309</v>
      </c>
      <c r="GY227" t="s">
        <v>1309</v>
      </c>
      <c r="GZ227" t="s">
        <v>1309</v>
      </c>
      <c r="HA227" t="s">
        <v>1309</v>
      </c>
      <c r="HB227" t="s">
        <v>1309</v>
      </c>
      <c r="HC227" t="s">
        <v>1309</v>
      </c>
      <c r="HD227" t="s">
        <v>1309</v>
      </c>
      <c r="HE227" t="s">
        <v>1309</v>
      </c>
      <c r="HF227" t="s">
        <v>1309</v>
      </c>
      <c r="HH227" t="s">
        <v>1326</v>
      </c>
      <c r="HI227" t="s">
        <v>1390</v>
      </c>
      <c r="HJ227" t="s">
        <v>1326</v>
      </c>
      <c r="HK227" t="s">
        <v>1327</v>
      </c>
      <c r="HL227" t="s">
        <v>1364</v>
      </c>
      <c r="HM227" t="s">
        <v>1326</v>
      </c>
      <c r="IA227" t="s">
        <v>1319</v>
      </c>
      <c r="IB227" t="s">
        <v>2393</v>
      </c>
      <c r="IC227" t="s">
        <v>1310</v>
      </c>
      <c r="ID227" t="s">
        <v>1309</v>
      </c>
      <c r="IE227" t="s">
        <v>1309</v>
      </c>
      <c r="IF227" t="s">
        <v>1310</v>
      </c>
      <c r="IG227" t="s">
        <v>1310</v>
      </c>
      <c r="IH227" t="s">
        <v>1309</v>
      </c>
      <c r="II227" t="s">
        <v>1309</v>
      </c>
      <c r="IJ227" t="s">
        <v>1309</v>
      </c>
      <c r="IK227" t="s">
        <v>1310</v>
      </c>
      <c r="IL227" t="s">
        <v>1309</v>
      </c>
      <c r="IM227" t="s">
        <v>1309</v>
      </c>
      <c r="IN227" t="s">
        <v>1309</v>
      </c>
      <c r="IO227" t="s">
        <v>1309</v>
      </c>
      <c r="IQ227" t="s">
        <v>1308</v>
      </c>
      <c r="IS227" t="s">
        <v>1354</v>
      </c>
      <c r="JF227" t="s">
        <v>1316</v>
      </c>
      <c r="JG227" t="s">
        <v>1523</v>
      </c>
      <c r="JH227" t="s">
        <v>1309</v>
      </c>
      <c r="JI227" t="s">
        <v>1309</v>
      </c>
      <c r="JJ227" t="s">
        <v>1309</v>
      </c>
      <c r="JK227" t="s">
        <v>1310</v>
      </c>
      <c r="JL227" t="s">
        <v>1309</v>
      </c>
      <c r="JM227" t="s">
        <v>1309</v>
      </c>
      <c r="JN227" t="s">
        <v>1309</v>
      </c>
      <c r="JO227" t="s">
        <v>1309</v>
      </c>
      <c r="JQ227" s="92" t="s">
        <v>1333</v>
      </c>
      <c r="JR227" s="92" t="s">
        <v>1334</v>
      </c>
      <c r="JS227" s="92">
        <v>38</v>
      </c>
      <c r="JT227" s="92" t="s">
        <v>1319</v>
      </c>
      <c r="JU227" s="92" t="s">
        <v>1335</v>
      </c>
      <c r="JV227" s="92" t="s">
        <v>1336</v>
      </c>
      <c r="JW227" s="92" t="s">
        <v>1296</v>
      </c>
      <c r="JX227" s="92" t="s">
        <v>71</v>
      </c>
      <c r="JY227" s="92" t="s">
        <v>5549</v>
      </c>
      <c r="JZ227" s="92" t="s">
        <v>1337</v>
      </c>
      <c r="KA227" s="92" t="s">
        <v>4845</v>
      </c>
      <c r="KB227" s="92" t="s">
        <v>1370</v>
      </c>
      <c r="KC227" s="92" t="s">
        <v>109</v>
      </c>
      <c r="KD227" s="92" t="s">
        <v>4848</v>
      </c>
      <c r="KE227" s="92" t="s">
        <v>1340</v>
      </c>
      <c r="KF227" s="92">
        <v>4050</v>
      </c>
      <c r="KG227" s="92" t="s">
        <v>1340</v>
      </c>
      <c r="KH227" s="92" t="s">
        <v>192</v>
      </c>
      <c r="KI227" s="92" t="s">
        <v>192</v>
      </c>
      <c r="KJ227" s="92" t="s">
        <v>192</v>
      </c>
      <c r="KK227" s="92" t="s">
        <v>192</v>
      </c>
      <c r="KL227" s="92" t="s">
        <v>1341</v>
      </c>
      <c r="KM227" s="92">
        <v>5400</v>
      </c>
      <c r="KN227" s="92" t="s">
        <v>1340</v>
      </c>
      <c r="KO227" s="92" t="s">
        <v>1341</v>
      </c>
      <c r="KP227" s="92" t="s">
        <v>1375</v>
      </c>
      <c r="KQ227" s="92" t="s">
        <v>192</v>
      </c>
      <c r="KR227" s="92">
        <v>10</v>
      </c>
      <c r="KS227" s="92" t="s">
        <v>1343</v>
      </c>
      <c r="KT227" s="92" t="s">
        <v>1344</v>
      </c>
      <c r="KU227" s="92">
        <v>15</v>
      </c>
      <c r="KV227" s="92" t="s">
        <v>1441</v>
      </c>
      <c r="KW227" s="92" t="s">
        <v>1344</v>
      </c>
      <c r="KX227" s="92" t="s">
        <v>1346</v>
      </c>
      <c r="KY227" s="92" t="s">
        <v>1377</v>
      </c>
      <c r="KZ227" s="92" t="s">
        <v>5795</v>
      </c>
      <c r="LA227" s="92" t="s">
        <v>109</v>
      </c>
      <c r="LB227" s="92" t="s">
        <v>109</v>
      </c>
      <c r="LC227" s="92" t="s">
        <v>5566</v>
      </c>
      <c r="LD227" s="92" t="s">
        <v>5566</v>
      </c>
      <c r="LE227" s="92"/>
      <c r="LF227" s="92"/>
    </row>
    <row r="228" spans="1:318" x14ac:dyDescent="0.25">
      <c r="A228" t="s">
        <v>2394</v>
      </c>
      <c r="B228" t="s">
        <v>2395</v>
      </c>
      <c r="C228" t="s">
        <v>1304</v>
      </c>
      <c r="D228" t="s">
        <v>1305</v>
      </c>
      <c r="E228" t="s">
        <v>1381</v>
      </c>
      <c r="G228" t="s">
        <v>1319</v>
      </c>
      <c r="H228">
        <v>6</v>
      </c>
      <c r="I228" t="s">
        <v>2096</v>
      </c>
      <c r="J228" t="s">
        <v>2396</v>
      </c>
      <c r="K228" t="s">
        <v>1310</v>
      </c>
      <c r="L228" t="s">
        <v>1310</v>
      </c>
      <c r="M228" t="s">
        <v>1310</v>
      </c>
      <c r="N228" t="s">
        <v>1310</v>
      </c>
      <c r="O228" t="s">
        <v>1310</v>
      </c>
      <c r="P228" t="s">
        <v>1309</v>
      </c>
      <c r="Q228" t="s">
        <v>1309</v>
      </c>
      <c r="R228" t="s">
        <v>1309</v>
      </c>
      <c r="S228">
        <v>3</v>
      </c>
      <c r="T228">
        <v>2</v>
      </c>
      <c r="U228" t="s">
        <v>1311</v>
      </c>
      <c r="V228" t="s">
        <v>1311</v>
      </c>
      <c r="W228" t="s">
        <v>1311</v>
      </c>
      <c r="X228" t="s">
        <v>1311</v>
      </c>
      <c r="Y228" t="s">
        <v>1311</v>
      </c>
      <c r="Z228" t="s">
        <v>1312</v>
      </c>
      <c r="AA228">
        <v>0</v>
      </c>
      <c r="AC228">
        <v>5</v>
      </c>
      <c r="AD228">
        <v>12000</v>
      </c>
      <c r="AE228">
        <v>7000</v>
      </c>
      <c r="AF228" t="s">
        <v>1351</v>
      </c>
      <c r="AH228" t="s">
        <v>1383</v>
      </c>
      <c r="AJ228" t="s">
        <v>1315</v>
      </c>
      <c r="AL228" t="s">
        <v>1354</v>
      </c>
      <c r="BS228" t="s">
        <v>1307</v>
      </c>
      <c r="CE228" t="s">
        <v>1698</v>
      </c>
      <c r="CF228" t="s">
        <v>1309</v>
      </c>
      <c r="CG228" t="s">
        <v>1309</v>
      </c>
      <c r="CH228" t="s">
        <v>1309</v>
      </c>
      <c r="CI228" t="s">
        <v>1309</v>
      </c>
      <c r="CJ228" t="s">
        <v>1309</v>
      </c>
      <c r="CK228" t="s">
        <v>1309</v>
      </c>
      <c r="CL228" t="s">
        <v>1309</v>
      </c>
      <c r="CM228" t="s">
        <v>1309</v>
      </c>
      <c r="CN228" t="s">
        <v>1309</v>
      </c>
      <c r="CO228" t="s">
        <v>1309</v>
      </c>
      <c r="CP228" t="s">
        <v>1310</v>
      </c>
      <c r="CQ228" t="s">
        <v>1309</v>
      </c>
      <c r="CR228" t="s">
        <v>1309</v>
      </c>
      <c r="CS228" t="s">
        <v>2397</v>
      </c>
      <c r="CT228" t="s">
        <v>4434</v>
      </c>
      <c r="CV228" t="s">
        <v>1357</v>
      </c>
      <c r="CW228" t="s">
        <v>1309</v>
      </c>
      <c r="CX228" t="s">
        <v>1309</v>
      </c>
      <c r="CY228" t="s">
        <v>1309</v>
      </c>
      <c r="CZ228" t="s">
        <v>1309</v>
      </c>
      <c r="DA228" t="s">
        <v>1310</v>
      </c>
      <c r="DB228" t="s">
        <v>1309</v>
      </c>
      <c r="DC228" t="s">
        <v>1309</v>
      </c>
      <c r="DE228" t="s">
        <v>1358</v>
      </c>
      <c r="DG228">
        <v>2500</v>
      </c>
      <c r="DI228">
        <v>1000</v>
      </c>
      <c r="DJ228" t="s">
        <v>1318</v>
      </c>
      <c r="DK228">
        <v>3200</v>
      </c>
      <c r="DM228">
        <v>1000</v>
      </c>
      <c r="DN228" t="s">
        <v>1676</v>
      </c>
      <c r="DO228" t="s">
        <v>1309</v>
      </c>
      <c r="DP228" t="s">
        <v>1309</v>
      </c>
      <c r="DQ228" t="s">
        <v>1309</v>
      </c>
      <c r="DR228" t="s">
        <v>1309</v>
      </c>
      <c r="DS228" t="s">
        <v>1310</v>
      </c>
      <c r="DT228" t="s">
        <v>1310</v>
      </c>
      <c r="DU228" t="s">
        <v>1309</v>
      </c>
      <c r="DV228" t="s">
        <v>1309</v>
      </c>
      <c r="DW228" t="s">
        <v>1309</v>
      </c>
      <c r="DY228" t="s">
        <v>1456</v>
      </c>
      <c r="DZ228">
        <v>450</v>
      </c>
      <c r="EA228" t="s">
        <v>1319</v>
      </c>
      <c r="EC228" t="s">
        <v>1457</v>
      </c>
      <c r="ED228">
        <v>1000</v>
      </c>
      <c r="EE228" t="s">
        <v>1319</v>
      </c>
      <c r="EG228" t="s">
        <v>5356</v>
      </c>
      <c r="EI228" t="s">
        <v>1307</v>
      </c>
      <c r="ET228" t="s">
        <v>1307</v>
      </c>
      <c r="EV228" t="s">
        <v>1307</v>
      </c>
      <c r="EX228" t="s">
        <v>1319</v>
      </c>
      <c r="EY228" t="s">
        <v>1307</v>
      </c>
      <c r="FA228" t="s">
        <v>2398</v>
      </c>
      <c r="FB228" t="s">
        <v>1309</v>
      </c>
      <c r="FC228" t="s">
        <v>1309</v>
      </c>
      <c r="FD228" t="s">
        <v>1309</v>
      </c>
      <c r="FE228" t="s">
        <v>1310</v>
      </c>
      <c r="FF228" t="s">
        <v>1309</v>
      </c>
      <c r="FG228" t="s">
        <v>1309</v>
      </c>
      <c r="FH228" t="s">
        <v>1310</v>
      </c>
      <c r="FI228" t="s">
        <v>1310</v>
      </c>
      <c r="FJ228" t="s">
        <v>1309</v>
      </c>
      <c r="FK228" t="s">
        <v>1309</v>
      </c>
      <c r="FL228" t="s">
        <v>1309</v>
      </c>
      <c r="FM228" t="s">
        <v>1309</v>
      </c>
      <c r="FN228" t="s">
        <v>1309</v>
      </c>
      <c r="FO228" t="s">
        <v>1309</v>
      </c>
      <c r="FP228" t="s">
        <v>1309</v>
      </c>
      <c r="FQ228" t="s">
        <v>1309</v>
      </c>
      <c r="FR228" t="s">
        <v>1309</v>
      </c>
      <c r="FT228" t="s">
        <v>1319</v>
      </c>
      <c r="FU228" t="s">
        <v>1599</v>
      </c>
      <c r="FV228" t="s">
        <v>1309</v>
      </c>
      <c r="FW228" t="s">
        <v>1309</v>
      </c>
      <c r="FX228" t="s">
        <v>1309</v>
      </c>
      <c r="FY228" t="s">
        <v>1309</v>
      </c>
      <c r="FZ228" t="s">
        <v>1309</v>
      </c>
      <c r="GA228" t="s">
        <v>1310</v>
      </c>
      <c r="GB228" t="s">
        <v>1309</v>
      </c>
      <c r="GC228" t="s">
        <v>1309</v>
      </c>
      <c r="GD228" t="s">
        <v>1309</v>
      </c>
      <c r="GE228" t="s">
        <v>1309</v>
      </c>
      <c r="GF228" t="s">
        <v>1309</v>
      </c>
      <c r="GG228" t="s">
        <v>1309</v>
      </c>
      <c r="GI228" t="s">
        <v>1324</v>
      </c>
      <c r="GJ228" t="s">
        <v>1324</v>
      </c>
      <c r="GT228" t="s">
        <v>1325</v>
      </c>
      <c r="GU228" t="s">
        <v>1310</v>
      </c>
      <c r="GV228" t="s">
        <v>1309</v>
      </c>
      <c r="GW228" t="s">
        <v>1309</v>
      </c>
      <c r="GX228" t="s">
        <v>1309</v>
      </c>
      <c r="GY228" t="s">
        <v>1309</v>
      </c>
      <c r="GZ228" t="s">
        <v>1309</v>
      </c>
      <c r="HA228" t="s">
        <v>1309</v>
      </c>
      <c r="HB228" t="s">
        <v>1309</v>
      </c>
      <c r="HC228" t="s">
        <v>1309</v>
      </c>
      <c r="HD228" t="s">
        <v>1309</v>
      </c>
      <c r="HE228" t="s">
        <v>1309</v>
      </c>
      <c r="HF228" t="s">
        <v>1309</v>
      </c>
      <c r="HH228" t="s">
        <v>1390</v>
      </c>
      <c r="HI228" t="s">
        <v>1390</v>
      </c>
      <c r="HJ228" t="s">
        <v>1390</v>
      </c>
      <c r="HK228" t="s">
        <v>1327</v>
      </c>
      <c r="HL228" t="s">
        <v>1328</v>
      </c>
      <c r="HM228" t="s">
        <v>1363</v>
      </c>
      <c r="HN228" t="s">
        <v>1879</v>
      </c>
      <c r="HO228" t="s">
        <v>1310</v>
      </c>
      <c r="HP228" t="s">
        <v>1309</v>
      </c>
      <c r="HQ228" t="s">
        <v>1309</v>
      </c>
      <c r="HR228" t="s">
        <v>1309</v>
      </c>
      <c r="HS228" t="s">
        <v>1310</v>
      </c>
      <c r="HT228" t="s">
        <v>1309</v>
      </c>
      <c r="HU228" t="s">
        <v>1309</v>
      </c>
      <c r="HV228" t="s">
        <v>1309</v>
      </c>
      <c r="HW228" t="s">
        <v>1309</v>
      </c>
      <c r="HX228" t="s">
        <v>1309</v>
      </c>
      <c r="HY228" t="s">
        <v>1309</v>
      </c>
      <c r="IA228" t="s">
        <v>1307</v>
      </c>
      <c r="IQ228" t="s">
        <v>1308</v>
      </c>
      <c r="IS228" t="s">
        <v>1354</v>
      </c>
      <c r="JF228" t="s">
        <v>1316</v>
      </c>
      <c r="JG228" t="s">
        <v>1393</v>
      </c>
      <c r="JH228" t="s">
        <v>1310</v>
      </c>
      <c r="JI228" t="s">
        <v>1309</v>
      </c>
      <c r="JJ228" t="s">
        <v>1309</v>
      </c>
      <c r="JK228" t="s">
        <v>1309</v>
      </c>
      <c r="JL228" t="s">
        <v>1309</v>
      </c>
      <c r="JM228" t="s">
        <v>1309</v>
      </c>
      <c r="JN228" t="s">
        <v>1309</v>
      </c>
      <c r="JO228" t="s">
        <v>1309</v>
      </c>
      <c r="JQ228" s="92" t="s">
        <v>1333</v>
      </c>
      <c r="JR228" s="92" t="s">
        <v>1334</v>
      </c>
      <c r="JS228" s="92">
        <v>40</v>
      </c>
      <c r="JT228" s="92" t="s">
        <v>1319</v>
      </c>
      <c r="JU228" s="92" t="s">
        <v>1396</v>
      </c>
      <c r="JV228" s="92" t="s">
        <v>1336</v>
      </c>
      <c r="JW228" s="92" t="s">
        <v>1296</v>
      </c>
      <c r="JX228" s="92" t="s">
        <v>71</v>
      </c>
      <c r="JY228" s="92" t="s">
        <v>5549</v>
      </c>
      <c r="JZ228" s="92" t="s">
        <v>1337</v>
      </c>
      <c r="KA228" s="92" t="s">
        <v>4846</v>
      </c>
      <c r="KB228" s="92" t="s">
        <v>1370</v>
      </c>
      <c r="KC228" s="92" t="s">
        <v>109</v>
      </c>
      <c r="KD228" s="92" t="s">
        <v>4848</v>
      </c>
      <c r="KE228" s="92" t="s">
        <v>1371</v>
      </c>
      <c r="KF228" s="92">
        <v>3500</v>
      </c>
      <c r="KG228" s="92" t="s">
        <v>4439</v>
      </c>
      <c r="KH228" s="92" t="s">
        <v>192</v>
      </c>
      <c r="KI228" s="92" t="s">
        <v>109</v>
      </c>
      <c r="KJ228" s="92" t="s">
        <v>192</v>
      </c>
      <c r="KK228" s="92" t="s">
        <v>109</v>
      </c>
      <c r="KL228" s="92" t="s">
        <v>1341</v>
      </c>
      <c r="KM228" s="92">
        <v>4200</v>
      </c>
      <c r="KN228" s="92" t="s">
        <v>4439</v>
      </c>
      <c r="KO228" s="92" t="s">
        <v>1341</v>
      </c>
      <c r="KP228" s="92" t="s">
        <v>1375</v>
      </c>
      <c r="KQ228" s="92" t="s">
        <v>192</v>
      </c>
      <c r="KR228" s="92">
        <v>13</v>
      </c>
      <c r="KS228" s="92" t="s">
        <v>1343</v>
      </c>
      <c r="KT228" s="92" t="s">
        <v>1344</v>
      </c>
      <c r="KU228" s="92">
        <v>24</v>
      </c>
      <c r="KV228" s="92" t="s">
        <v>1461</v>
      </c>
      <c r="KW228" s="92" t="s">
        <v>1344</v>
      </c>
      <c r="KX228" s="92" t="s">
        <v>1376</v>
      </c>
      <c r="KY228" s="92" t="s">
        <v>1377</v>
      </c>
      <c r="KZ228" s="92" t="s">
        <v>1403</v>
      </c>
      <c r="LA228" s="92" t="s">
        <v>109</v>
      </c>
      <c r="LB228" s="92" t="s">
        <v>109</v>
      </c>
      <c r="LC228" s="92" t="s">
        <v>4439</v>
      </c>
      <c r="LD228" s="92" t="s">
        <v>4439</v>
      </c>
      <c r="LE228" s="92" t="s">
        <v>109</v>
      </c>
      <c r="LF228" s="92" t="s">
        <v>109</v>
      </c>
    </row>
    <row r="229" spans="1:318" x14ac:dyDescent="0.25">
      <c r="A229" t="s">
        <v>2399</v>
      </c>
      <c r="B229" t="s">
        <v>2400</v>
      </c>
      <c r="C229" t="s">
        <v>1304</v>
      </c>
      <c r="D229" t="s">
        <v>1305</v>
      </c>
      <c r="E229" t="s">
        <v>1306</v>
      </c>
      <c r="G229" t="s">
        <v>1307</v>
      </c>
      <c r="H229">
        <v>5</v>
      </c>
      <c r="I229" t="s">
        <v>1307</v>
      </c>
      <c r="J229" t="s">
        <v>1406</v>
      </c>
      <c r="K229" t="s">
        <v>1309</v>
      </c>
      <c r="L229" t="s">
        <v>1310</v>
      </c>
      <c r="M229" t="s">
        <v>1309</v>
      </c>
      <c r="N229" t="s">
        <v>1309</v>
      </c>
      <c r="O229" t="s">
        <v>1309</v>
      </c>
      <c r="P229" t="s">
        <v>1309</v>
      </c>
      <c r="Q229" t="s">
        <v>1309</v>
      </c>
      <c r="R229" t="s">
        <v>1309</v>
      </c>
      <c r="S229">
        <v>3</v>
      </c>
      <c r="U229" t="s">
        <v>1312</v>
      </c>
      <c r="V229" t="s">
        <v>1312</v>
      </c>
      <c r="W229" t="s">
        <v>1312</v>
      </c>
      <c r="X229" t="s">
        <v>1312</v>
      </c>
      <c r="Y229" t="s">
        <v>1312</v>
      </c>
      <c r="Z229" t="s">
        <v>1312</v>
      </c>
      <c r="AC229">
        <v>1</v>
      </c>
      <c r="AD229">
        <v>20000</v>
      </c>
      <c r="AE229">
        <v>15000</v>
      </c>
      <c r="AF229" t="s">
        <v>1313</v>
      </c>
      <c r="AH229" t="s">
        <v>1315</v>
      </c>
      <c r="AJ229" t="s">
        <v>1315</v>
      </c>
      <c r="AL229" t="s">
        <v>1316</v>
      </c>
      <c r="BS229" t="s">
        <v>1307</v>
      </c>
      <c r="CE229" t="s">
        <v>1317</v>
      </c>
      <c r="CF229" t="s">
        <v>1309</v>
      </c>
      <c r="CG229" t="s">
        <v>1309</v>
      </c>
      <c r="CH229" t="s">
        <v>1309</v>
      </c>
      <c r="CI229" t="s">
        <v>1309</v>
      </c>
      <c r="CJ229" t="s">
        <v>1309</v>
      </c>
      <c r="CK229" t="s">
        <v>1309</v>
      </c>
      <c r="CL229" t="s">
        <v>1309</v>
      </c>
      <c r="CM229" t="s">
        <v>1309</v>
      </c>
      <c r="CN229" t="s">
        <v>1310</v>
      </c>
      <c r="CO229" t="s">
        <v>1310</v>
      </c>
      <c r="CP229" t="s">
        <v>1309</v>
      </c>
      <c r="CQ229" t="s">
        <v>1309</v>
      </c>
      <c r="CR229" t="s">
        <v>1309</v>
      </c>
      <c r="CT229" t="s">
        <v>4435</v>
      </c>
      <c r="CV229" t="s">
        <v>1357</v>
      </c>
      <c r="CW229" t="s">
        <v>1309</v>
      </c>
      <c r="CX229" t="s">
        <v>1309</v>
      </c>
      <c r="CY229" t="s">
        <v>1309</v>
      </c>
      <c r="CZ229" t="s">
        <v>1309</v>
      </c>
      <c r="DA229" t="s">
        <v>1310</v>
      </c>
      <c r="DB229" t="s">
        <v>1309</v>
      </c>
      <c r="DC229" t="s">
        <v>1309</v>
      </c>
      <c r="DE229" t="s">
        <v>1318</v>
      </c>
      <c r="DF229" t="s">
        <v>1307</v>
      </c>
      <c r="DH229">
        <v>2500</v>
      </c>
      <c r="DI229">
        <v>900</v>
      </c>
      <c r="DJ229" t="s">
        <v>1318</v>
      </c>
      <c r="DL229">
        <v>2500</v>
      </c>
      <c r="DM229">
        <v>1200</v>
      </c>
      <c r="DN229" t="s">
        <v>1320</v>
      </c>
      <c r="DO229" t="s">
        <v>1310</v>
      </c>
      <c r="DP229" t="s">
        <v>1309</v>
      </c>
      <c r="DQ229" t="s">
        <v>1309</v>
      </c>
      <c r="DR229" t="s">
        <v>1309</v>
      </c>
      <c r="DS229" t="s">
        <v>1309</v>
      </c>
      <c r="DT229" t="s">
        <v>1310</v>
      </c>
      <c r="DU229" t="s">
        <v>1309</v>
      </c>
      <c r="DV229" t="s">
        <v>1309</v>
      </c>
      <c r="DW229" t="s">
        <v>1309</v>
      </c>
      <c r="DY229" t="s">
        <v>1481</v>
      </c>
      <c r="DZ229">
        <v>300</v>
      </c>
      <c r="EA229" t="s">
        <v>1319</v>
      </c>
      <c r="EC229" t="s">
        <v>1387</v>
      </c>
      <c r="ED229">
        <v>800</v>
      </c>
      <c r="EE229" t="s">
        <v>1319</v>
      </c>
      <c r="EG229" t="s">
        <v>5357</v>
      </c>
      <c r="ET229" t="s">
        <v>1307</v>
      </c>
      <c r="EV229" t="s">
        <v>1319</v>
      </c>
      <c r="EW229" t="s">
        <v>1409</v>
      </c>
      <c r="EX229" t="s">
        <v>1319</v>
      </c>
      <c r="FA229" t="s">
        <v>1697</v>
      </c>
      <c r="FB229" t="s">
        <v>1309</v>
      </c>
      <c r="FC229" t="s">
        <v>1309</v>
      </c>
      <c r="FD229" t="s">
        <v>1309</v>
      </c>
      <c r="FE229" t="s">
        <v>1309</v>
      </c>
      <c r="FF229" t="s">
        <v>1309</v>
      </c>
      <c r="FG229" t="s">
        <v>1309</v>
      </c>
      <c r="FH229" t="s">
        <v>1309</v>
      </c>
      <c r="FI229" t="s">
        <v>1310</v>
      </c>
      <c r="FJ229" t="s">
        <v>1309</v>
      </c>
      <c r="FK229" t="s">
        <v>1309</v>
      </c>
      <c r="FL229" t="s">
        <v>1309</v>
      </c>
      <c r="FM229" t="s">
        <v>1309</v>
      </c>
      <c r="FN229" t="s">
        <v>1309</v>
      </c>
      <c r="FO229" t="s">
        <v>1309</v>
      </c>
      <c r="FP229" t="s">
        <v>1309</v>
      </c>
      <c r="FQ229" t="s">
        <v>1309</v>
      </c>
      <c r="FR229" t="s">
        <v>1309</v>
      </c>
      <c r="FT229" t="s">
        <v>1307</v>
      </c>
      <c r="GI229" t="s">
        <v>1436</v>
      </c>
      <c r="GJ229" t="s">
        <v>1436</v>
      </c>
      <c r="GK229" t="s">
        <v>1307</v>
      </c>
      <c r="GT229" t="s">
        <v>1325</v>
      </c>
      <c r="GU229" t="s">
        <v>1310</v>
      </c>
      <c r="GV229" t="s">
        <v>1309</v>
      </c>
      <c r="GW229" t="s">
        <v>1309</v>
      </c>
      <c r="GX229" t="s">
        <v>1309</v>
      </c>
      <c r="GY229" t="s">
        <v>1309</v>
      </c>
      <c r="GZ229" t="s">
        <v>1309</v>
      </c>
      <c r="HA229" t="s">
        <v>1309</v>
      </c>
      <c r="HB229" t="s">
        <v>1309</v>
      </c>
      <c r="HC229" t="s">
        <v>1309</v>
      </c>
      <c r="HD229" t="s">
        <v>1309</v>
      </c>
      <c r="HE229" t="s">
        <v>1309</v>
      </c>
      <c r="HF229" t="s">
        <v>1309</v>
      </c>
      <c r="HH229" t="s">
        <v>1326</v>
      </c>
      <c r="HI229" t="s">
        <v>1326</v>
      </c>
      <c r="HJ229" t="s">
        <v>1326</v>
      </c>
      <c r="HK229" t="s">
        <v>1327</v>
      </c>
      <c r="HL229" t="s">
        <v>1437</v>
      </c>
      <c r="HM229" t="s">
        <v>1326</v>
      </c>
      <c r="HN229" t="s">
        <v>1329</v>
      </c>
      <c r="HO229" t="s">
        <v>1309</v>
      </c>
      <c r="HP229" t="s">
        <v>1309</v>
      </c>
      <c r="HQ229" t="s">
        <v>1309</v>
      </c>
      <c r="HR229" t="s">
        <v>1310</v>
      </c>
      <c r="HS229" t="s">
        <v>1309</v>
      </c>
      <c r="HT229" t="s">
        <v>1309</v>
      </c>
      <c r="HU229" t="s">
        <v>1309</v>
      </c>
      <c r="HV229" t="s">
        <v>1309</v>
      </c>
      <c r="HW229" t="s">
        <v>1309</v>
      </c>
      <c r="HX229" t="s">
        <v>1309</v>
      </c>
      <c r="HY229" t="s">
        <v>1309</v>
      </c>
      <c r="IA229" t="s">
        <v>1307</v>
      </c>
      <c r="IQ229" t="s">
        <v>1330</v>
      </c>
      <c r="IS229" t="s">
        <v>1331</v>
      </c>
      <c r="JF229" t="s">
        <v>1331</v>
      </c>
      <c r="JG229" t="s">
        <v>1414</v>
      </c>
      <c r="JH229" t="s">
        <v>1309</v>
      </c>
      <c r="JI229" t="s">
        <v>1309</v>
      </c>
      <c r="JJ229" t="s">
        <v>1309</v>
      </c>
      <c r="JK229" t="s">
        <v>1309</v>
      </c>
      <c r="JL229" t="s">
        <v>1309</v>
      </c>
      <c r="JM229" t="s">
        <v>1309</v>
      </c>
      <c r="JN229" t="s">
        <v>1310</v>
      </c>
      <c r="JO229" t="s">
        <v>1309</v>
      </c>
      <c r="JQ229" s="92" t="s">
        <v>1333</v>
      </c>
      <c r="JR229" s="92" t="s">
        <v>1334</v>
      </c>
      <c r="JS229" s="92">
        <v>35</v>
      </c>
      <c r="JT229" s="92" t="s">
        <v>1319</v>
      </c>
      <c r="JU229" s="92" t="s">
        <v>1335</v>
      </c>
      <c r="JV229" s="92" t="s">
        <v>1336</v>
      </c>
      <c r="JW229" s="92" t="s">
        <v>1296</v>
      </c>
      <c r="JX229" s="92" t="s">
        <v>71</v>
      </c>
      <c r="JY229" s="92" t="s">
        <v>5549</v>
      </c>
      <c r="JZ229" s="92" t="s">
        <v>1337</v>
      </c>
      <c r="KA229" s="92" t="s">
        <v>4846</v>
      </c>
      <c r="KB229" s="92" t="s">
        <v>1415</v>
      </c>
      <c r="KC229" s="92" t="s">
        <v>109</v>
      </c>
      <c r="KD229" s="92" t="s">
        <v>4844</v>
      </c>
      <c r="KE229" s="92" t="s">
        <v>1452</v>
      </c>
      <c r="KF229" s="92">
        <v>3400</v>
      </c>
      <c r="KG229" s="92" t="s">
        <v>4438</v>
      </c>
      <c r="KH229" s="92" t="s">
        <v>109</v>
      </c>
      <c r="KI229" s="92" t="s">
        <v>192</v>
      </c>
      <c r="KJ229" s="92" t="s">
        <v>109</v>
      </c>
      <c r="KK229" s="92" t="s">
        <v>192</v>
      </c>
      <c r="KL229" s="92" t="s">
        <v>1341</v>
      </c>
      <c r="KM229" s="92">
        <v>3700</v>
      </c>
      <c r="KN229" s="92" t="s">
        <v>4438</v>
      </c>
      <c r="KO229" s="92" t="s">
        <v>1341</v>
      </c>
      <c r="KP229" s="92" t="s">
        <v>1375</v>
      </c>
      <c r="KQ229" s="92" t="s">
        <v>109</v>
      </c>
      <c r="KR229" s="92">
        <v>9</v>
      </c>
      <c r="KS229" s="92" t="s">
        <v>1343</v>
      </c>
      <c r="KT229" s="92" t="s">
        <v>1344</v>
      </c>
      <c r="KU229" s="92">
        <v>22</v>
      </c>
      <c r="KV229" s="92" t="s">
        <v>1441</v>
      </c>
      <c r="KW229" s="92" t="s">
        <v>1344</v>
      </c>
      <c r="KX229" s="92" t="s">
        <v>1376</v>
      </c>
      <c r="KY229" s="92" t="s">
        <v>1347</v>
      </c>
      <c r="KZ229" s="92" t="s">
        <v>5795</v>
      </c>
      <c r="LA229" s="92" t="s">
        <v>109</v>
      </c>
      <c r="LB229" s="92" t="s">
        <v>109</v>
      </c>
      <c r="LC229" s="92" t="s">
        <v>4438</v>
      </c>
      <c r="LD229" s="92" t="s">
        <v>4438</v>
      </c>
      <c r="LE229" s="92" t="s">
        <v>109</v>
      </c>
      <c r="LF229" s="92" t="s">
        <v>109</v>
      </c>
    </row>
    <row r="230" spans="1:318" x14ac:dyDescent="0.25">
      <c r="A230" t="s">
        <v>2401</v>
      </c>
      <c r="B230" t="s">
        <v>2402</v>
      </c>
      <c r="C230" t="s">
        <v>1304</v>
      </c>
      <c r="D230" t="s">
        <v>1305</v>
      </c>
      <c r="E230" t="s">
        <v>1381</v>
      </c>
      <c r="G230" t="s">
        <v>1319</v>
      </c>
      <c r="H230">
        <v>3</v>
      </c>
      <c r="I230" t="s">
        <v>1318</v>
      </c>
      <c r="J230" t="s">
        <v>1891</v>
      </c>
      <c r="K230" t="s">
        <v>1309</v>
      </c>
      <c r="L230" t="s">
        <v>1309</v>
      </c>
      <c r="M230" t="s">
        <v>1310</v>
      </c>
      <c r="N230" t="s">
        <v>1309</v>
      </c>
      <c r="O230" t="s">
        <v>1310</v>
      </c>
      <c r="P230" t="s">
        <v>1309</v>
      </c>
      <c r="Q230" t="s">
        <v>1309</v>
      </c>
      <c r="R230" t="s">
        <v>1309</v>
      </c>
      <c r="T230">
        <v>2</v>
      </c>
      <c r="U230" t="s">
        <v>1311</v>
      </c>
      <c r="V230" t="s">
        <v>1311</v>
      </c>
      <c r="W230" t="s">
        <v>1311</v>
      </c>
      <c r="X230" t="s">
        <v>1311</v>
      </c>
      <c r="Y230" t="s">
        <v>1312</v>
      </c>
      <c r="Z230" t="s">
        <v>1312</v>
      </c>
      <c r="AC230">
        <v>3</v>
      </c>
      <c r="AD230">
        <v>10000</v>
      </c>
      <c r="AE230">
        <v>7000</v>
      </c>
      <c r="AF230" t="s">
        <v>1313</v>
      </c>
      <c r="AH230" t="s">
        <v>1314</v>
      </c>
      <c r="AJ230" t="s">
        <v>1315</v>
      </c>
      <c r="AL230" t="s">
        <v>1354</v>
      </c>
      <c r="BS230" t="s">
        <v>1307</v>
      </c>
      <c r="CE230" t="s">
        <v>1776</v>
      </c>
      <c r="CF230" t="s">
        <v>1309</v>
      </c>
      <c r="CG230" t="s">
        <v>1309</v>
      </c>
      <c r="CH230" t="s">
        <v>1309</v>
      </c>
      <c r="CI230" t="s">
        <v>1309</v>
      </c>
      <c r="CJ230" t="s">
        <v>1310</v>
      </c>
      <c r="CK230" t="s">
        <v>1309</v>
      </c>
      <c r="CL230" t="s">
        <v>1309</v>
      </c>
      <c r="CM230" t="s">
        <v>1309</v>
      </c>
      <c r="CN230" t="s">
        <v>1310</v>
      </c>
      <c r="CO230" t="s">
        <v>1309</v>
      </c>
      <c r="CP230" t="s">
        <v>1309</v>
      </c>
      <c r="CQ230" t="s">
        <v>1309</v>
      </c>
      <c r="CR230" t="s">
        <v>1309</v>
      </c>
      <c r="CT230" t="s">
        <v>4435</v>
      </c>
      <c r="CV230" t="s">
        <v>1308</v>
      </c>
      <c r="CW230" t="s">
        <v>1310</v>
      </c>
      <c r="CX230" t="s">
        <v>1309</v>
      </c>
      <c r="CY230" t="s">
        <v>1309</v>
      </c>
      <c r="CZ230" t="s">
        <v>1309</v>
      </c>
      <c r="DA230" t="s">
        <v>1309</v>
      </c>
      <c r="DB230" t="s">
        <v>1309</v>
      </c>
      <c r="DC230" t="s">
        <v>1309</v>
      </c>
      <c r="DE230" t="s">
        <v>1358</v>
      </c>
      <c r="DF230" t="s">
        <v>1319</v>
      </c>
      <c r="DG230">
        <v>150</v>
      </c>
      <c r="DH230">
        <v>2000</v>
      </c>
      <c r="DI230">
        <v>400</v>
      </c>
      <c r="DJ230" t="s">
        <v>1358</v>
      </c>
      <c r="DK230">
        <v>200</v>
      </c>
      <c r="DL230">
        <v>3000</v>
      </c>
      <c r="DM230">
        <v>450</v>
      </c>
      <c r="DN230" t="s">
        <v>1584</v>
      </c>
      <c r="DO230" t="s">
        <v>1310</v>
      </c>
      <c r="DP230" t="s">
        <v>1309</v>
      </c>
      <c r="DQ230" t="s">
        <v>1309</v>
      </c>
      <c r="DR230" t="s">
        <v>1309</v>
      </c>
      <c r="DS230" t="s">
        <v>1310</v>
      </c>
      <c r="DT230" t="s">
        <v>1310</v>
      </c>
      <c r="DU230" t="s">
        <v>1309</v>
      </c>
      <c r="DV230" t="s">
        <v>1309</v>
      </c>
      <c r="DW230" t="s">
        <v>1309</v>
      </c>
      <c r="DY230" t="s">
        <v>1456</v>
      </c>
      <c r="DZ230">
        <v>350</v>
      </c>
      <c r="EA230" t="s">
        <v>1319</v>
      </c>
      <c r="EC230" t="s">
        <v>1457</v>
      </c>
      <c r="ED230">
        <v>750</v>
      </c>
      <c r="EE230" t="s">
        <v>1319</v>
      </c>
      <c r="EG230" t="s">
        <v>5357</v>
      </c>
      <c r="ET230" t="s">
        <v>1307</v>
      </c>
      <c r="EV230" t="s">
        <v>1319</v>
      </c>
      <c r="EW230" t="s">
        <v>1361</v>
      </c>
      <c r="EX230" t="s">
        <v>1319</v>
      </c>
      <c r="EY230" t="s">
        <v>1319</v>
      </c>
      <c r="FA230" t="s">
        <v>2403</v>
      </c>
      <c r="FB230" t="s">
        <v>1309</v>
      </c>
      <c r="FC230" t="s">
        <v>1309</v>
      </c>
      <c r="FD230" t="s">
        <v>1309</v>
      </c>
      <c r="FE230" t="s">
        <v>1310</v>
      </c>
      <c r="FF230" t="s">
        <v>1309</v>
      </c>
      <c r="FG230" t="s">
        <v>1309</v>
      </c>
      <c r="FH230" t="s">
        <v>1309</v>
      </c>
      <c r="FI230" t="s">
        <v>1310</v>
      </c>
      <c r="FJ230" t="s">
        <v>1309</v>
      </c>
      <c r="FK230" t="s">
        <v>1309</v>
      </c>
      <c r="FL230" t="s">
        <v>1309</v>
      </c>
      <c r="FM230" t="s">
        <v>1309</v>
      </c>
      <c r="FN230" t="s">
        <v>1310</v>
      </c>
      <c r="FO230" t="s">
        <v>1309</v>
      </c>
      <c r="FP230" t="s">
        <v>1309</v>
      </c>
      <c r="FQ230" t="s">
        <v>1309</v>
      </c>
      <c r="FR230" t="s">
        <v>1309</v>
      </c>
      <c r="FT230" t="s">
        <v>1307</v>
      </c>
      <c r="GI230" t="s">
        <v>1324</v>
      </c>
      <c r="GJ230" t="s">
        <v>1324</v>
      </c>
      <c r="GT230" t="s">
        <v>1325</v>
      </c>
      <c r="GU230" t="s">
        <v>1310</v>
      </c>
      <c r="GV230" t="s">
        <v>1309</v>
      </c>
      <c r="GW230" t="s">
        <v>1309</v>
      </c>
      <c r="GX230" t="s">
        <v>1309</v>
      </c>
      <c r="GY230" t="s">
        <v>1309</v>
      </c>
      <c r="GZ230" t="s">
        <v>1309</v>
      </c>
      <c r="HA230" t="s">
        <v>1309</v>
      </c>
      <c r="HB230" t="s">
        <v>1309</v>
      </c>
      <c r="HC230" t="s">
        <v>1309</v>
      </c>
      <c r="HD230" t="s">
        <v>1309</v>
      </c>
      <c r="HE230" t="s">
        <v>1309</v>
      </c>
      <c r="HF230" t="s">
        <v>1309</v>
      </c>
      <c r="HH230" t="s">
        <v>1363</v>
      </c>
      <c r="HI230" t="s">
        <v>1363</v>
      </c>
      <c r="HJ230" t="s">
        <v>1363</v>
      </c>
      <c r="HK230" t="s">
        <v>1327</v>
      </c>
      <c r="HL230" t="s">
        <v>1364</v>
      </c>
      <c r="HM230" t="s">
        <v>1363</v>
      </c>
      <c r="IA230" t="s">
        <v>1307</v>
      </c>
      <c r="IQ230" t="s">
        <v>1365</v>
      </c>
      <c r="IS230" t="s">
        <v>1316</v>
      </c>
      <c r="JF230" t="s">
        <v>1316</v>
      </c>
      <c r="JG230" t="s">
        <v>1393</v>
      </c>
      <c r="JH230" t="s">
        <v>1310</v>
      </c>
      <c r="JI230" t="s">
        <v>1309</v>
      </c>
      <c r="JJ230" t="s">
        <v>1309</v>
      </c>
      <c r="JK230" t="s">
        <v>1309</v>
      </c>
      <c r="JL230" t="s">
        <v>1309</v>
      </c>
      <c r="JM230" t="s">
        <v>1309</v>
      </c>
      <c r="JN230" t="s">
        <v>1309</v>
      </c>
      <c r="JO230" t="s">
        <v>1309</v>
      </c>
      <c r="JQ230" s="92" t="s">
        <v>1333</v>
      </c>
      <c r="JR230" s="92" t="s">
        <v>1334</v>
      </c>
      <c r="JS230" s="92">
        <v>70</v>
      </c>
      <c r="JT230" s="92" t="s">
        <v>1319</v>
      </c>
      <c r="JU230" s="92" t="s">
        <v>1575</v>
      </c>
      <c r="JV230" s="92" t="s">
        <v>1336</v>
      </c>
      <c r="JW230" s="92" t="s">
        <v>1296</v>
      </c>
      <c r="JX230" s="92" t="s">
        <v>71</v>
      </c>
      <c r="JY230" s="92" t="s">
        <v>5549</v>
      </c>
      <c r="JZ230" s="92" t="s">
        <v>1369</v>
      </c>
      <c r="KA230" s="92" t="s">
        <v>4845</v>
      </c>
      <c r="KB230" s="92" t="s">
        <v>1476</v>
      </c>
      <c r="KC230" s="92" t="s">
        <v>109</v>
      </c>
      <c r="KD230" s="92" t="s">
        <v>4848</v>
      </c>
      <c r="KE230" s="92" t="s">
        <v>1424</v>
      </c>
      <c r="KF230" s="92">
        <v>2550</v>
      </c>
      <c r="KG230" s="92" t="s">
        <v>4439</v>
      </c>
      <c r="KH230" s="92" t="s">
        <v>192</v>
      </c>
      <c r="KI230" s="92" t="s">
        <v>192</v>
      </c>
      <c r="KJ230" s="92" t="s">
        <v>192</v>
      </c>
      <c r="KK230" s="92" t="s">
        <v>192</v>
      </c>
      <c r="KL230" s="92" t="s">
        <v>1425</v>
      </c>
      <c r="KM230" s="92">
        <v>3650</v>
      </c>
      <c r="KN230" s="92" t="s">
        <v>4439</v>
      </c>
      <c r="KO230" s="92" t="s">
        <v>1341</v>
      </c>
      <c r="KP230" s="92" t="s">
        <v>1342</v>
      </c>
      <c r="KQ230" s="92" t="s">
        <v>192</v>
      </c>
      <c r="KR230" s="92">
        <v>14</v>
      </c>
      <c r="KS230" s="92" t="s">
        <v>1343</v>
      </c>
      <c r="KT230" s="92" t="s">
        <v>1344</v>
      </c>
      <c r="KU230" s="92">
        <v>21</v>
      </c>
      <c r="KV230" s="92" t="s">
        <v>1441</v>
      </c>
      <c r="KW230" s="92" t="s">
        <v>1344</v>
      </c>
      <c r="KX230" s="92" t="s">
        <v>1376</v>
      </c>
      <c r="KY230" s="92" t="s">
        <v>1377</v>
      </c>
      <c r="KZ230" s="92" t="s">
        <v>1378</v>
      </c>
      <c r="LA230" s="92" t="s">
        <v>109</v>
      </c>
      <c r="LB230" s="92" t="s">
        <v>109</v>
      </c>
      <c r="LC230" s="92" t="s">
        <v>4439</v>
      </c>
      <c r="LD230" s="92" t="s">
        <v>4439</v>
      </c>
      <c r="LE230" s="92" t="s">
        <v>109</v>
      </c>
      <c r="LF230" s="92" t="s">
        <v>192</v>
      </c>
    </row>
    <row r="231" spans="1:318" x14ac:dyDescent="0.25">
      <c r="A231" t="s">
        <v>2404</v>
      </c>
      <c r="B231" t="s">
        <v>2405</v>
      </c>
      <c r="C231" t="s">
        <v>1304</v>
      </c>
      <c r="D231" t="s">
        <v>1305</v>
      </c>
      <c r="E231" t="s">
        <v>1306</v>
      </c>
      <c r="G231" t="s">
        <v>1307</v>
      </c>
      <c r="H231">
        <v>1</v>
      </c>
      <c r="J231" t="s">
        <v>1430</v>
      </c>
      <c r="K231" t="s">
        <v>1309</v>
      </c>
      <c r="L231" t="s">
        <v>1309</v>
      </c>
      <c r="M231" t="s">
        <v>1310</v>
      </c>
      <c r="N231" t="s">
        <v>1309</v>
      </c>
      <c r="O231" t="s">
        <v>1309</v>
      </c>
      <c r="P231" t="s">
        <v>1309</v>
      </c>
      <c r="Q231" t="s">
        <v>1309</v>
      </c>
      <c r="R231" t="s">
        <v>1309</v>
      </c>
      <c r="T231">
        <v>1</v>
      </c>
      <c r="U231" t="s">
        <v>1311</v>
      </c>
      <c r="V231" t="s">
        <v>1312</v>
      </c>
      <c r="W231" t="s">
        <v>1311</v>
      </c>
      <c r="X231" t="s">
        <v>1312</v>
      </c>
      <c r="Y231" t="s">
        <v>1312</v>
      </c>
      <c r="Z231" t="s">
        <v>1312</v>
      </c>
      <c r="AC231">
        <v>1</v>
      </c>
      <c r="AD231">
        <v>3000</v>
      </c>
      <c r="AE231">
        <v>2500</v>
      </c>
      <c r="AF231" t="s">
        <v>1351</v>
      </c>
      <c r="AH231" t="s">
        <v>1314</v>
      </c>
      <c r="AJ231" t="s">
        <v>1353</v>
      </c>
      <c r="AL231" t="s">
        <v>1316</v>
      </c>
      <c r="BA231" t="s">
        <v>1354</v>
      </c>
      <c r="BS231" t="s">
        <v>1307</v>
      </c>
      <c r="CE231" t="s">
        <v>1317</v>
      </c>
      <c r="CF231" t="s">
        <v>1309</v>
      </c>
      <c r="CG231" t="s">
        <v>1309</v>
      </c>
      <c r="CH231" t="s">
        <v>1309</v>
      </c>
      <c r="CI231" t="s">
        <v>1309</v>
      </c>
      <c r="CJ231" t="s">
        <v>1309</v>
      </c>
      <c r="CK231" t="s">
        <v>1309</v>
      </c>
      <c r="CL231" t="s">
        <v>1309</v>
      </c>
      <c r="CM231" t="s">
        <v>1309</v>
      </c>
      <c r="CN231" t="s">
        <v>1310</v>
      </c>
      <c r="CO231" t="s">
        <v>1310</v>
      </c>
      <c r="CP231" t="s">
        <v>1309</v>
      </c>
      <c r="CQ231" t="s">
        <v>1309</v>
      </c>
      <c r="CR231" t="s">
        <v>1309</v>
      </c>
      <c r="CT231" t="s">
        <v>4436</v>
      </c>
      <c r="CV231" t="s">
        <v>1308</v>
      </c>
      <c r="CW231" t="s">
        <v>1310</v>
      </c>
      <c r="CX231" t="s">
        <v>1309</v>
      </c>
      <c r="CY231" t="s">
        <v>1309</v>
      </c>
      <c r="CZ231" t="s">
        <v>1309</v>
      </c>
      <c r="DA231" t="s">
        <v>1309</v>
      </c>
      <c r="DB231" t="s">
        <v>1309</v>
      </c>
      <c r="DC231" t="s">
        <v>1309</v>
      </c>
      <c r="DE231" t="s">
        <v>1358</v>
      </c>
      <c r="DF231" t="s">
        <v>1319</v>
      </c>
      <c r="DI231">
        <v>300</v>
      </c>
      <c r="DJ231" t="s">
        <v>1358</v>
      </c>
      <c r="DM231">
        <v>300</v>
      </c>
      <c r="DN231" t="s">
        <v>1320</v>
      </c>
      <c r="DO231" t="s">
        <v>1310</v>
      </c>
      <c r="DP231" t="s">
        <v>1309</v>
      </c>
      <c r="DQ231" t="s">
        <v>1309</v>
      </c>
      <c r="DR231" t="s">
        <v>1309</v>
      </c>
      <c r="DS231" t="s">
        <v>1309</v>
      </c>
      <c r="DT231" t="s">
        <v>1310</v>
      </c>
      <c r="DU231" t="s">
        <v>1309</v>
      </c>
      <c r="DV231" t="s">
        <v>1309</v>
      </c>
      <c r="DW231" t="s">
        <v>1309</v>
      </c>
      <c r="DY231" t="s">
        <v>1481</v>
      </c>
      <c r="DZ231">
        <v>600</v>
      </c>
      <c r="EA231" t="s">
        <v>1319</v>
      </c>
      <c r="EC231" t="s">
        <v>1360</v>
      </c>
      <c r="ED231">
        <v>800</v>
      </c>
      <c r="EE231" t="s">
        <v>1319</v>
      </c>
      <c r="EG231" t="s">
        <v>5356</v>
      </c>
      <c r="EI231" t="s">
        <v>1307</v>
      </c>
      <c r="ET231" t="s">
        <v>1307</v>
      </c>
      <c r="EV231" t="s">
        <v>1319</v>
      </c>
      <c r="EW231" t="s">
        <v>1409</v>
      </c>
      <c r="EX231" t="s">
        <v>1319</v>
      </c>
      <c r="EY231" t="s">
        <v>1319</v>
      </c>
      <c r="EZ231" t="s">
        <v>1307</v>
      </c>
      <c r="FA231" t="s">
        <v>2406</v>
      </c>
      <c r="FB231" t="s">
        <v>1309</v>
      </c>
      <c r="FC231" t="s">
        <v>1309</v>
      </c>
      <c r="FD231" t="s">
        <v>1309</v>
      </c>
      <c r="FE231" t="s">
        <v>1309</v>
      </c>
      <c r="FF231" t="s">
        <v>1309</v>
      </c>
      <c r="FG231" t="s">
        <v>1309</v>
      </c>
      <c r="FH231" t="s">
        <v>1310</v>
      </c>
      <c r="FI231" t="s">
        <v>1310</v>
      </c>
      <c r="FJ231" t="s">
        <v>1310</v>
      </c>
      <c r="FK231" t="s">
        <v>1310</v>
      </c>
      <c r="FL231" t="s">
        <v>1310</v>
      </c>
      <c r="FM231" t="s">
        <v>1309</v>
      </c>
      <c r="FN231" t="s">
        <v>1309</v>
      </c>
      <c r="FO231" t="s">
        <v>1309</v>
      </c>
      <c r="FP231" t="s">
        <v>1309</v>
      </c>
      <c r="FQ231" t="s">
        <v>1309</v>
      </c>
      <c r="FR231" t="s">
        <v>1309</v>
      </c>
      <c r="FT231" t="s">
        <v>1319</v>
      </c>
      <c r="FU231" t="s">
        <v>1649</v>
      </c>
      <c r="FV231" t="s">
        <v>1310</v>
      </c>
      <c r="FW231" t="s">
        <v>1310</v>
      </c>
      <c r="FX231" t="s">
        <v>1309</v>
      </c>
      <c r="FY231" t="s">
        <v>1309</v>
      </c>
      <c r="FZ231" t="s">
        <v>1309</v>
      </c>
      <c r="GA231" t="s">
        <v>1309</v>
      </c>
      <c r="GB231" t="s">
        <v>1309</v>
      </c>
      <c r="GC231" t="s">
        <v>1309</v>
      </c>
      <c r="GD231" t="s">
        <v>1309</v>
      </c>
      <c r="GE231" t="s">
        <v>1309</v>
      </c>
      <c r="GF231" t="s">
        <v>1309</v>
      </c>
      <c r="GG231" t="s">
        <v>1309</v>
      </c>
      <c r="GI231" t="s">
        <v>1324</v>
      </c>
      <c r="GJ231" t="s">
        <v>1324</v>
      </c>
      <c r="GT231" t="s">
        <v>1325</v>
      </c>
      <c r="GU231" t="s">
        <v>1310</v>
      </c>
      <c r="GV231" t="s">
        <v>1309</v>
      </c>
      <c r="GW231" t="s">
        <v>1309</v>
      </c>
      <c r="GX231" t="s">
        <v>1309</v>
      </c>
      <c r="GY231" t="s">
        <v>1309</v>
      </c>
      <c r="GZ231" t="s">
        <v>1309</v>
      </c>
      <c r="HA231" t="s">
        <v>1309</v>
      </c>
      <c r="HB231" t="s">
        <v>1309</v>
      </c>
      <c r="HC231" t="s">
        <v>1309</v>
      </c>
      <c r="HD231" t="s">
        <v>1309</v>
      </c>
      <c r="HE231" t="s">
        <v>1309</v>
      </c>
      <c r="HF231" t="s">
        <v>1309</v>
      </c>
      <c r="HH231" t="s">
        <v>1326</v>
      </c>
      <c r="HI231" t="s">
        <v>1326</v>
      </c>
      <c r="HJ231" t="s">
        <v>1326</v>
      </c>
      <c r="HK231" t="s">
        <v>1327</v>
      </c>
      <c r="HL231" t="s">
        <v>1437</v>
      </c>
      <c r="HM231" t="s">
        <v>1326</v>
      </c>
      <c r="HN231" t="s">
        <v>1555</v>
      </c>
      <c r="HO231" t="s">
        <v>1310</v>
      </c>
      <c r="HP231" t="s">
        <v>1310</v>
      </c>
      <c r="HQ231" t="s">
        <v>1309</v>
      </c>
      <c r="HR231" t="s">
        <v>1309</v>
      </c>
      <c r="HS231" t="s">
        <v>1309</v>
      </c>
      <c r="HT231" t="s">
        <v>1310</v>
      </c>
      <c r="HU231" t="s">
        <v>1309</v>
      </c>
      <c r="HV231" t="s">
        <v>1309</v>
      </c>
      <c r="HW231" t="s">
        <v>1309</v>
      </c>
      <c r="HX231" t="s">
        <v>1309</v>
      </c>
      <c r="HY231" t="s">
        <v>1309</v>
      </c>
      <c r="IA231" t="s">
        <v>1307</v>
      </c>
      <c r="IQ231" t="s">
        <v>1365</v>
      </c>
      <c r="IS231" t="s">
        <v>1331</v>
      </c>
      <c r="JF231" t="s">
        <v>1413</v>
      </c>
      <c r="JG231" t="s">
        <v>1332</v>
      </c>
      <c r="JH231" t="s">
        <v>1309</v>
      </c>
      <c r="JI231" t="s">
        <v>1309</v>
      </c>
      <c r="JJ231" t="s">
        <v>1309</v>
      </c>
      <c r="JK231" t="s">
        <v>1309</v>
      </c>
      <c r="JL231" t="s">
        <v>1310</v>
      </c>
      <c r="JM231" t="s">
        <v>1309</v>
      </c>
      <c r="JN231" t="s">
        <v>1309</v>
      </c>
      <c r="JO231" t="s">
        <v>1309</v>
      </c>
      <c r="JQ231" s="92" t="s">
        <v>1333</v>
      </c>
      <c r="JR231" s="92" t="s">
        <v>1334</v>
      </c>
      <c r="JS231" s="92">
        <v>69</v>
      </c>
      <c r="JT231" s="92" t="s">
        <v>1319</v>
      </c>
      <c r="JU231" s="92" t="s">
        <v>1335</v>
      </c>
      <c r="JV231" s="92" t="s">
        <v>1336</v>
      </c>
      <c r="JW231" s="92" t="s">
        <v>1296</v>
      </c>
      <c r="JX231" s="92" t="s">
        <v>71</v>
      </c>
      <c r="JY231" s="92" t="s">
        <v>5549</v>
      </c>
      <c r="JZ231" s="92" t="s">
        <v>1369</v>
      </c>
      <c r="KA231" s="92" t="s">
        <v>4844</v>
      </c>
      <c r="KB231" s="92" t="s">
        <v>1476</v>
      </c>
      <c r="KC231" s="92" t="s">
        <v>109</v>
      </c>
      <c r="KD231" s="92" t="s">
        <v>4844</v>
      </c>
      <c r="KE231" s="92" t="s">
        <v>5560</v>
      </c>
      <c r="KF231" s="92">
        <v>300</v>
      </c>
      <c r="KG231" s="92" t="s">
        <v>1372</v>
      </c>
      <c r="KH231" s="92" t="s">
        <v>109</v>
      </c>
      <c r="KI231" s="92" t="s">
        <v>109</v>
      </c>
      <c r="KJ231" s="92" t="s">
        <v>109</v>
      </c>
      <c r="KK231" s="92" t="s">
        <v>109</v>
      </c>
      <c r="KL231" s="92" t="s">
        <v>1373</v>
      </c>
      <c r="KM231" s="92">
        <v>300</v>
      </c>
      <c r="KN231" s="92" t="s">
        <v>1372</v>
      </c>
      <c r="KO231" s="92" t="s">
        <v>1373</v>
      </c>
      <c r="KP231" s="92" t="s">
        <v>1401</v>
      </c>
      <c r="KQ231" s="92" t="s">
        <v>192</v>
      </c>
      <c r="KR231" s="92"/>
      <c r="KS231" s="92" t="s">
        <v>1345</v>
      </c>
      <c r="KT231" s="92" t="s">
        <v>1344</v>
      </c>
      <c r="KU231" s="92"/>
      <c r="KV231" s="92" t="s">
        <v>1441</v>
      </c>
      <c r="KW231" s="92" t="s">
        <v>1344</v>
      </c>
      <c r="KX231" s="92" t="s">
        <v>1376</v>
      </c>
      <c r="KY231" s="92" t="s">
        <v>1377</v>
      </c>
      <c r="KZ231" s="92" t="s">
        <v>5795</v>
      </c>
      <c r="LA231" s="92" t="s">
        <v>109</v>
      </c>
      <c r="LB231" s="92" t="s">
        <v>109</v>
      </c>
      <c r="LC231" s="92" t="s">
        <v>4438</v>
      </c>
      <c r="LD231" s="92" t="s">
        <v>4438</v>
      </c>
      <c r="LE231" s="92" t="s">
        <v>109</v>
      </c>
      <c r="LF231" s="92" t="s">
        <v>109</v>
      </c>
    </row>
    <row r="232" spans="1:318" x14ac:dyDescent="0.25">
      <c r="A232" t="s">
        <v>2407</v>
      </c>
      <c r="B232" t="s">
        <v>2408</v>
      </c>
      <c r="C232" t="s">
        <v>1304</v>
      </c>
      <c r="D232" t="s">
        <v>1305</v>
      </c>
      <c r="E232" t="s">
        <v>1306</v>
      </c>
      <c r="G232" t="s">
        <v>1307</v>
      </c>
      <c r="H232">
        <v>2</v>
      </c>
      <c r="I232" t="s">
        <v>1307</v>
      </c>
      <c r="J232" t="s">
        <v>1430</v>
      </c>
      <c r="K232" t="s">
        <v>1309</v>
      </c>
      <c r="L232" t="s">
        <v>1309</v>
      </c>
      <c r="M232" t="s">
        <v>1310</v>
      </c>
      <c r="N232" t="s">
        <v>1309</v>
      </c>
      <c r="O232" t="s">
        <v>1309</v>
      </c>
      <c r="P232" t="s">
        <v>1309</v>
      </c>
      <c r="Q232" t="s">
        <v>1309</v>
      </c>
      <c r="R232" t="s">
        <v>1309</v>
      </c>
      <c r="T232">
        <v>1</v>
      </c>
      <c r="U232" t="s">
        <v>1311</v>
      </c>
      <c r="V232" t="s">
        <v>1486</v>
      </c>
      <c r="W232" t="s">
        <v>1486</v>
      </c>
      <c r="X232" t="s">
        <v>1312</v>
      </c>
      <c r="Y232" t="s">
        <v>1312</v>
      </c>
      <c r="Z232" t="s">
        <v>1312</v>
      </c>
      <c r="AC232">
        <v>2</v>
      </c>
      <c r="AD232">
        <v>11000</v>
      </c>
      <c r="AE232">
        <v>10000</v>
      </c>
      <c r="AF232" t="s">
        <v>1351</v>
      </c>
      <c r="AH232" t="s">
        <v>1314</v>
      </c>
      <c r="AJ232" t="s">
        <v>1353</v>
      </c>
      <c r="AL232" t="s">
        <v>1316</v>
      </c>
      <c r="BA232" t="s">
        <v>1354</v>
      </c>
      <c r="BS232" t="s">
        <v>1307</v>
      </c>
      <c r="CE232" t="s">
        <v>2409</v>
      </c>
      <c r="CF232" t="s">
        <v>1309</v>
      </c>
      <c r="CG232" t="s">
        <v>1309</v>
      </c>
      <c r="CH232" t="s">
        <v>1310</v>
      </c>
      <c r="CI232" t="s">
        <v>1309</v>
      </c>
      <c r="CJ232" t="s">
        <v>1309</v>
      </c>
      <c r="CK232" t="s">
        <v>1309</v>
      </c>
      <c r="CL232" t="s">
        <v>1309</v>
      </c>
      <c r="CM232" t="s">
        <v>1309</v>
      </c>
      <c r="CN232" t="s">
        <v>1310</v>
      </c>
      <c r="CO232" t="s">
        <v>1309</v>
      </c>
      <c r="CP232" t="s">
        <v>1309</v>
      </c>
      <c r="CQ232" t="s">
        <v>1309</v>
      </c>
      <c r="CR232" t="s">
        <v>1309</v>
      </c>
      <c r="CT232" t="s">
        <v>4435</v>
      </c>
      <c r="CV232" t="s">
        <v>1308</v>
      </c>
      <c r="CW232" t="s">
        <v>1310</v>
      </c>
      <c r="CX232" t="s">
        <v>1309</v>
      </c>
      <c r="CY232" t="s">
        <v>1309</v>
      </c>
      <c r="CZ232" t="s">
        <v>1309</v>
      </c>
      <c r="DA232" t="s">
        <v>1309</v>
      </c>
      <c r="DB232" t="s">
        <v>1309</v>
      </c>
      <c r="DC232" t="s">
        <v>1309</v>
      </c>
      <c r="DE232" t="s">
        <v>1358</v>
      </c>
      <c r="DF232" t="s">
        <v>1307</v>
      </c>
      <c r="DH232">
        <v>1900</v>
      </c>
      <c r="DI232">
        <v>600</v>
      </c>
      <c r="DJ232" t="s">
        <v>1358</v>
      </c>
      <c r="DL232">
        <v>2000</v>
      </c>
      <c r="DM232">
        <v>600</v>
      </c>
      <c r="DN232" t="s">
        <v>1320</v>
      </c>
      <c r="DO232" t="s">
        <v>1310</v>
      </c>
      <c r="DP232" t="s">
        <v>1309</v>
      </c>
      <c r="DQ232" t="s">
        <v>1309</v>
      </c>
      <c r="DR232" t="s">
        <v>1309</v>
      </c>
      <c r="DS232" t="s">
        <v>1309</v>
      </c>
      <c r="DT232" t="s">
        <v>1310</v>
      </c>
      <c r="DU232" t="s">
        <v>1309</v>
      </c>
      <c r="DV232" t="s">
        <v>1309</v>
      </c>
      <c r="DW232" t="s">
        <v>1309</v>
      </c>
      <c r="DY232" t="s">
        <v>1359</v>
      </c>
      <c r="DZ232">
        <v>800</v>
      </c>
      <c r="EA232" t="s">
        <v>1319</v>
      </c>
      <c r="EC232" t="s">
        <v>1457</v>
      </c>
      <c r="ED232">
        <v>900</v>
      </c>
      <c r="EE232" t="s">
        <v>1319</v>
      </c>
      <c r="EG232" t="s">
        <v>5356</v>
      </c>
      <c r="EI232" t="s">
        <v>1307</v>
      </c>
      <c r="ET232" t="s">
        <v>1560</v>
      </c>
      <c r="EV232" t="s">
        <v>1319</v>
      </c>
      <c r="EW232" t="s">
        <v>1409</v>
      </c>
      <c r="EX232" t="s">
        <v>1319</v>
      </c>
      <c r="FA232" t="s">
        <v>2410</v>
      </c>
      <c r="FB232" t="s">
        <v>1309</v>
      </c>
      <c r="FC232" t="s">
        <v>1309</v>
      </c>
      <c r="FD232" t="s">
        <v>1309</v>
      </c>
      <c r="FE232" t="s">
        <v>1309</v>
      </c>
      <c r="FF232" t="s">
        <v>1309</v>
      </c>
      <c r="FG232" t="s">
        <v>1310</v>
      </c>
      <c r="FH232" t="s">
        <v>1310</v>
      </c>
      <c r="FI232" t="s">
        <v>1310</v>
      </c>
      <c r="FJ232" t="s">
        <v>1309</v>
      </c>
      <c r="FK232" t="s">
        <v>1309</v>
      </c>
      <c r="FL232" t="s">
        <v>1309</v>
      </c>
      <c r="FM232" t="s">
        <v>1309</v>
      </c>
      <c r="FN232" t="s">
        <v>1309</v>
      </c>
      <c r="FO232" t="s">
        <v>1309</v>
      </c>
      <c r="FP232" t="s">
        <v>1309</v>
      </c>
      <c r="FQ232" t="s">
        <v>1309</v>
      </c>
      <c r="FR232" t="s">
        <v>1309</v>
      </c>
      <c r="FT232" t="s">
        <v>1319</v>
      </c>
      <c r="FU232" t="s">
        <v>1649</v>
      </c>
      <c r="FV232" t="s">
        <v>1310</v>
      </c>
      <c r="FW232" t="s">
        <v>1310</v>
      </c>
      <c r="FX232" t="s">
        <v>1309</v>
      </c>
      <c r="FY232" t="s">
        <v>1309</v>
      </c>
      <c r="FZ232" t="s">
        <v>1309</v>
      </c>
      <c r="GA232" t="s">
        <v>1309</v>
      </c>
      <c r="GB232" t="s">
        <v>1309</v>
      </c>
      <c r="GC232" t="s">
        <v>1309</v>
      </c>
      <c r="GD232" t="s">
        <v>1309</v>
      </c>
      <c r="GE232" t="s">
        <v>1309</v>
      </c>
      <c r="GF232" t="s">
        <v>1309</v>
      </c>
      <c r="GG232" t="s">
        <v>1309</v>
      </c>
      <c r="GI232" t="s">
        <v>1324</v>
      </c>
      <c r="GJ232" t="s">
        <v>1324</v>
      </c>
      <c r="GT232" t="s">
        <v>1325</v>
      </c>
      <c r="GU232" t="s">
        <v>1310</v>
      </c>
      <c r="GV232" t="s">
        <v>1309</v>
      </c>
      <c r="GW232" t="s">
        <v>1309</v>
      </c>
      <c r="GX232" t="s">
        <v>1309</v>
      </c>
      <c r="GY232" t="s">
        <v>1309</v>
      </c>
      <c r="GZ232" t="s">
        <v>1309</v>
      </c>
      <c r="HA232" t="s">
        <v>1309</v>
      </c>
      <c r="HB232" t="s">
        <v>1309</v>
      </c>
      <c r="HC232" t="s">
        <v>1309</v>
      </c>
      <c r="HD232" t="s">
        <v>1309</v>
      </c>
      <c r="HE232" t="s">
        <v>1309</v>
      </c>
      <c r="HF232" t="s">
        <v>1309</v>
      </c>
      <c r="HH232" t="s">
        <v>1326</v>
      </c>
      <c r="HI232" t="s">
        <v>1390</v>
      </c>
      <c r="HJ232" t="s">
        <v>1326</v>
      </c>
      <c r="HK232" t="s">
        <v>1327</v>
      </c>
      <c r="HL232" t="s">
        <v>1437</v>
      </c>
      <c r="HM232" t="s">
        <v>1326</v>
      </c>
      <c r="HN232" t="s">
        <v>1549</v>
      </c>
      <c r="HO232" t="s">
        <v>1310</v>
      </c>
      <c r="HP232" t="s">
        <v>1310</v>
      </c>
      <c r="HQ232" t="s">
        <v>1309</v>
      </c>
      <c r="HR232" t="s">
        <v>1309</v>
      </c>
      <c r="HS232" t="s">
        <v>1309</v>
      </c>
      <c r="HT232" t="s">
        <v>1309</v>
      </c>
      <c r="HU232" t="s">
        <v>1309</v>
      </c>
      <c r="HV232" t="s">
        <v>1309</v>
      </c>
      <c r="HW232" t="s">
        <v>1309</v>
      </c>
      <c r="HX232" t="s">
        <v>1309</v>
      </c>
      <c r="HY232" t="s">
        <v>1309</v>
      </c>
      <c r="IA232" t="s">
        <v>1307</v>
      </c>
      <c r="IQ232" t="s">
        <v>1365</v>
      </c>
      <c r="IS232" t="s">
        <v>1331</v>
      </c>
      <c r="JF232" t="s">
        <v>1413</v>
      </c>
      <c r="JG232" t="s">
        <v>1515</v>
      </c>
      <c r="JH232" t="s">
        <v>1310</v>
      </c>
      <c r="JI232" t="s">
        <v>1310</v>
      </c>
      <c r="JJ232" t="s">
        <v>1309</v>
      </c>
      <c r="JK232" t="s">
        <v>1310</v>
      </c>
      <c r="JL232" t="s">
        <v>1309</v>
      </c>
      <c r="JM232" t="s">
        <v>1309</v>
      </c>
      <c r="JN232" t="s">
        <v>1309</v>
      </c>
      <c r="JO232" t="s">
        <v>1309</v>
      </c>
      <c r="JQ232" s="92" t="s">
        <v>1333</v>
      </c>
      <c r="JR232" s="92" t="s">
        <v>1334</v>
      </c>
      <c r="JS232" s="92">
        <v>56</v>
      </c>
      <c r="JT232" s="92" t="s">
        <v>1319</v>
      </c>
      <c r="JU232" s="92" t="s">
        <v>1335</v>
      </c>
      <c r="JV232" s="92" t="s">
        <v>1336</v>
      </c>
      <c r="JW232" s="92" t="s">
        <v>1296</v>
      </c>
      <c r="JX232" s="92" t="s">
        <v>71</v>
      </c>
      <c r="JY232" s="92" t="s">
        <v>5549</v>
      </c>
      <c r="JZ232" s="92" t="s">
        <v>1337</v>
      </c>
      <c r="KA232" s="92" t="s">
        <v>4845</v>
      </c>
      <c r="KB232" s="92" t="s">
        <v>1439</v>
      </c>
      <c r="KC232" s="92" t="s">
        <v>192</v>
      </c>
      <c r="KD232" s="92" t="s">
        <v>4847</v>
      </c>
      <c r="KE232" s="92" t="s">
        <v>1371</v>
      </c>
      <c r="KF232" s="92">
        <v>2500</v>
      </c>
      <c r="KG232" s="92" t="s">
        <v>4438</v>
      </c>
      <c r="KH232" s="92" t="s">
        <v>109</v>
      </c>
      <c r="KI232" s="92" t="s">
        <v>192</v>
      </c>
      <c r="KJ232" s="92" t="s">
        <v>109</v>
      </c>
      <c r="KK232" s="92" t="s">
        <v>192</v>
      </c>
      <c r="KL232" s="92" t="s">
        <v>1425</v>
      </c>
      <c r="KM232" s="92">
        <v>2600</v>
      </c>
      <c r="KN232" s="92" t="s">
        <v>4438</v>
      </c>
      <c r="KO232" s="92" t="s">
        <v>1425</v>
      </c>
      <c r="KP232" s="92" t="s">
        <v>1342</v>
      </c>
      <c r="KQ232" s="92" t="s">
        <v>109</v>
      </c>
      <c r="KR232" s="92">
        <v>32</v>
      </c>
      <c r="KS232" s="92" t="s">
        <v>1466</v>
      </c>
      <c r="KT232" s="92" t="s">
        <v>1344</v>
      </c>
      <c r="KU232" s="92">
        <v>35</v>
      </c>
      <c r="KV232" s="92" t="s">
        <v>1461</v>
      </c>
      <c r="KW232" s="92" t="s">
        <v>1344</v>
      </c>
      <c r="KX232" s="92" t="s">
        <v>1376</v>
      </c>
      <c r="KY232" s="92" t="s">
        <v>1377</v>
      </c>
      <c r="KZ232" s="92" t="s">
        <v>5795</v>
      </c>
      <c r="LA232" s="92" t="s">
        <v>109</v>
      </c>
      <c r="LB232" s="92" t="s">
        <v>109</v>
      </c>
      <c r="LC232" s="92" t="s">
        <v>4438</v>
      </c>
      <c r="LD232" s="92" t="s">
        <v>4438</v>
      </c>
      <c r="LE232" s="92" t="s">
        <v>192</v>
      </c>
      <c r="LF232" s="92" t="s">
        <v>192</v>
      </c>
    </row>
    <row r="233" spans="1:318" x14ac:dyDescent="0.25">
      <c r="A233" t="s">
        <v>2411</v>
      </c>
      <c r="B233" t="s">
        <v>2412</v>
      </c>
      <c r="C233" t="s">
        <v>1304</v>
      </c>
      <c r="D233" t="s">
        <v>1305</v>
      </c>
      <c r="E233" t="s">
        <v>1306</v>
      </c>
      <c r="G233" t="s">
        <v>1307</v>
      </c>
      <c r="H233">
        <v>3</v>
      </c>
      <c r="I233" t="s">
        <v>1307</v>
      </c>
      <c r="J233" t="s">
        <v>1382</v>
      </c>
      <c r="K233" t="s">
        <v>1309</v>
      </c>
      <c r="L233" t="s">
        <v>1310</v>
      </c>
      <c r="M233" t="s">
        <v>1309</v>
      </c>
      <c r="N233" t="s">
        <v>1309</v>
      </c>
      <c r="O233" t="s">
        <v>1309</v>
      </c>
      <c r="P233" t="s">
        <v>1310</v>
      </c>
      <c r="Q233" t="s">
        <v>1309</v>
      </c>
      <c r="R233" t="s">
        <v>1309</v>
      </c>
      <c r="S233">
        <v>1</v>
      </c>
      <c r="U233" t="s">
        <v>1312</v>
      </c>
      <c r="V233" t="s">
        <v>1312</v>
      </c>
      <c r="W233" t="s">
        <v>1312</v>
      </c>
      <c r="X233" t="s">
        <v>1312</v>
      </c>
      <c r="Y233" t="s">
        <v>1312</v>
      </c>
      <c r="Z233" t="s">
        <v>1312</v>
      </c>
      <c r="AC233">
        <v>1</v>
      </c>
      <c r="AD233">
        <v>6000</v>
      </c>
      <c r="AE233">
        <v>3500</v>
      </c>
      <c r="AF233" t="s">
        <v>1313</v>
      </c>
      <c r="AH233" t="s">
        <v>1314</v>
      </c>
      <c r="AJ233" t="s">
        <v>1315</v>
      </c>
      <c r="AL233" t="s">
        <v>1316</v>
      </c>
      <c r="BS233" t="s">
        <v>1307</v>
      </c>
      <c r="CE233" t="s">
        <v>1355</v>
      </c>
      <c r="CF233" t="s">
        <v>1309</v>
      </c>
      <c r="CG233" t="s">
        <v>1309</v>
      </c>
      <c r="CH233" t="s">
        <v>1309</v>
      </c>
      <c r="CI233" t="s">
        <v>1309</v>
      </c>
      <c r="CJ233" t="s">
        <v>1309</v>
      </c>
      <c r="CK233" t="s">
        <v>1309</v>
      </c>
      <c r="CL233" t="s">
        <v>1309</v>
      </c>
      <c r="CM233" t="s">
        <v>1309</v>
      </c>
      <c r="CN233" t="s">
        <v>1310</v>
      </c>
      <c r="CO233" t="s">
        <v>1309</v>
      </c>
      <c r="CP233" t="s">
        <v>1309</v>
      </c>
      <c r="CQ233" t="s">
        <v>1309</v>
      </c>
      <c r="CR233" t="s">
        <v>1309</v>
      </c>
      <c r="CT233" t="s">
        <v>4434</v>
      </c>
      <c r="CV233" t="s">
        <v>1308</v>
      </c>
      <c r="CW233" t="s">
        <v>1310</v>
      </c>
      <c r="CX233" t="s">
        <v>1309</v>
      </c>
      <c r="CY233" t="s">
        <v>1309</v>
      </c>
      <c r="CZ233" t="s">
        <v>1309</v>
      </c>
      <c r="DA233" t="s">
        <v>1309</v>
      </c>
      <c r="DB233" t="s">
        <v>1309</v>
      </c>
      <c r="DC233" t="s">
        <v>1309</v>
      </c>
      <c r="DE233" t="s">
        <v>1358</v>
      </c>
      <c r="DG233">
        <v>2000</v>
      </c>
      <c r="DI233">
        <v>500</v>
      </c>
      <c r="DJ233" t="s">
        <v>1358</v>
      </c>
      <c r="DK233">
        <v>2000</v>
      </c>
      <c r="DM233">
        <v>500</v>
      </c>
      <c r="DN233" t="s">
        <v>2413</v>
      </c>
      <c r="DO233" t="s">
        <v>1310</v>
      </c>
      <c r="DP233" t="s">
        <v>1310</v>
      </c>
      <c r="DQ233" t="s">
        <v>1309</v>
      </c>
      <c r="DR233" t="s">
        <v>1309</v>
      </c>
      <c r="DS233" t="s">
        <v>1309</v>
      </c>
      <c r="DT233" t="s">
        <v>1310</v>
      </c>
      <c r="DU233" t="s">
        <v>1309</v>
      </c>
      <c r="DV233" t="s">
        <v>1309</v>
      </c>
      <c r="DW233" t="s">
        <v>1309</v>
      </c>
      <c r="DY233" t="s">
        <v>1481</v>
      </c>
      <c r="DZ233">
        <v>400</v>
      </c>
      <c r="EA233" t="s">
        <v>1319</v>
      </c>
      <c r="EC233" t="s">
        <v>1624</v>
      </c>
      <c r="ED233">
        <v>600</v>
      </c>
      <c r="EE233" t="s">
        <v>1319</v>
      </c>
      <c r="EG233" t="s">
        <v>5357</v>
      </c>
      <c r="ET233" t="s">
        <v>1307</v>
      </c>
      <c r="EV233" t="s">
        <v>1319</v>
      </c>
      <c r="EW233" t="s">
        <v>1409</v>
      </c>
      <c r="EX233" t="s">
        <v>1319</v>
      </c>
      <c r="EY233" t="s">
        <v>1319</v>
      </c>
      <c r="FA233" t="s">
        <v>2414</v>
      </c>
      <c r="FB233" t="s">
        <v>1310</v>
      </c>
      <c r="FC233" t="s">
        <v>1309</v>
      </c>
      <c r="FD233" t="s">
        <v>1310</v>
      </c>
      <c r="FE233" t="s">
        <v>1309</v>
      </c>
      <c r="FF233" t="s">
        <v>1309</v>
      </c>
      <c r="FG233" t="s">
        <v>1309</v>
      </c>
      <c r="FH233" t="s">
        <v>1309</v>
      </c>
      <c r="FI233" t="s">
        <v>1310</v>
      </c>
      <c r="FJ233" t="s">
        <v>1309</v>
      </c>
      <c r="FK233" t="s">
        <v>1309</v>
      </c>
      <c r="FL233" t="s">
        <v>1309</v>
      </c>
      <c r="FM233" t="s">
        <v>1309</v>
      </c>
      <c r="FN233" t="s">
        <v>1309</v>
      </c>
      <c r="FO233" t="s">
        <v>1309</v>
      </c>
      <c r="FP233" t="s">
        <v>1309</v>
      </c>
      <c r="FQ233" t="s">
        <v>1309</v>
      </c>
      <c r="FR233" t="s">
        <v>1309</v>
      </c>
      <c r="FT233" t="s">
        <v>1319</v>
      </c>
      <c r="FU233" t="s">
        <v>2013</v>
      </c>
      <c r="FV233" t="s">
        <v>1310</v>
      </c>
      <c r="FW233" t="s">
        <v>1310</v>
      </c>
      <c r="FX233" t="s">
        <v>1310</v>
      </c>
      <c r="FY233" t="s">
        <v>1309</v>
      </c>
      <c r="FZ233" t="s">
        <v>1309</v>
      </c>
      <c r="GA233" t="s">
        <v>1309</v>
      </c>
      <c r="GB233" t="s">
        <v>1309</v>
      </c>
      <c r="GC233" t="s">
        <v>1309</v>
      </c>
      <c r="GD233" t="s">
        <v>1309</v>
      </c>
      <c r="GE233" t="s">
        <v>1309</v>
      </c>
      <c r="GF233" t="s">
        <v>1309</v>
      </c>
      <c r="GG233" t="s">
        <v>1309</v>
      </c>
      <c r="GI233" t="s">
        <v>1324</v>
      </c>
      <c r="GJ233" t="s">
        <v>1324</v>
      </c>
      <c r="GT233" t="s">
        <v>1325</v>
      </c>
      <c r="GU233" t="s">
        <v>1310</v>
      </c>
      <c r="GV233" t="s">
        <v>1309</v>
      </c>
      <c r="GW233" t="s">
        <v>1309</v>
      </c>
      <c r="GX233" t="s">
        <v>1309</v>
      </c>
      <c r="GY233" t="s">
        <v>1309</v>
      </c>
      <c r="GZ233" t="s">
        <v>1309</v>
      </c>
      <c r="HA233" t="s">
        <v>1309</v>
      </c>
      <c r="HB233" t="s">
        <v>1309</v>
      </c>
      <c r="HC233" t="s">
        <v>1309</v>
      </c>
      <c r="HD233" t="s">
        <v>1309</v>
      </c>
      <c r="HE233" t="s">
        <v>1309</v>
      </c>
      <c r="HF233" t="s">
        <v>1309</v>
      </c>
      <c r="HH233" t="s">
        <v>1326</v>
      </c>
      <c r="HI233" t="s">
        <v>1327</v>
      </c>
      <c r="HJ233" t="s">
        <v>1326</v>
      </c>
      <c r="HK233" t="s">
        <v>1327</v>
      </c>
      <c r="HL233" t="s">
        <v>1437</v>
      </c>
      <c r="HM233" t="s">
        <v>1326</v>
      </c>
      <c r="HN233" t="s">
        <v>1803</v>
      </c>
      <c r="HO233" t="s">
        <v>1310</v>
      </c>
      <c r="HP233" t="s">
        <v>1310</v>
      </c>
      <c r="HQ233" t="s">
        <v>1309</v>
      </c>
      <c r="HR233" t="s">
        <v>1309</v>
      </c>
      <c r="HS233" t="s">
        <v>1310</v>
      </c>
      <c r="HT233" t="s">
        <v>1310</v>
      </c>
      <c r="HU233" t="s">
        <v>1309</v>
      </c>
      <c r="HV233" t="s">
        <v>1309</v>
      </c>
      <c r="HW233" t="s">
        <v>1309</v>
      </c>
      <c r="HX233" t="s">
        <v>1309</v>
      </c>
      <c r="HY233" t="s">
        <v>1309</v>
      </c>
      <c r="IA233" t="s">
        <v>1307</v>
      </c>
      <c r="IQ233" t="s">
        <v>1365</v>
      </c>
      <c r="IS233" t="s">
        <v>1331</v>
      </c>
      <c r="JF233" t="s">
        <v>1413</v>
      </c>
      <c r="JG233" t="s">
        <v>1523</v>
      </c>
      <c r="JH233" t="s">
        <v>1309</v>
      </c>
      <c r="JI233" t="s">
        <v>1309</v>
      </c>
      <c r="JJ233" t="s">
        <v>1309</v>
      </c>
      <c r="JK233" t="s">
        <v>1310</v>
      </c>
      <c r="JL233" t="s">
        <v>1309</v>
      </c>
      <c r="JM233" t="s">
        <v>1309</v>
      </c>
      <c r="JN233" t="s">
        <v>1309</v>
      </c>
      <c r="JO233" t="s">
        <v>1309</v>
      </c>
      <c r="JQ233" s="92" t="s">
        <v>1333</v>
      </c>
      <c r="JR233" s="92" t="s">
        <v>1334</v>
      </c>
      <c r="JS233" s="92">
        <v>39</v>
      </c>
      <c r="JT233" s="92" t="s">
        <v>1319</v>
      </c>
      <c r="JU233" s="92" t="s">
        <v>1396</v>
      </c>
      <c r="JV233" s="92" t="s">
        <v>1336</v>
      </c>
      <c r="JW233" s="92" t="s">
        <v>1296</v>
      </c>
      <c r="JX233" s="92" t="s">
        <v>71</v>
      </c>
      <c r="JY233" s="92" t="s">
        <v>5549</v>
      </c>
      <c r="JZ233" s="92" t="s">
        <v>1337</v>
      </c>
      <c r="KA233" s="92" t="s">
        <v>4845</v>
      </c>
      <c r="KB233" s="92" t="s">
        <v>1399</v>
      </c>
      <c r="KC233" s="92" t="s">
        <v>109</v>
      </c>
      <c r="KD233" s="92" t="s">
        <v>4844</v>
      </c>
      <c r="KE233" s="92" t="s">
        <v>1424</v>
      </c>
      <c r="KF233" s="92">
        <v>2500</v>
      </c>
      <c r="KG233" s="92" t="s">
        <v>4439</v>
      </c>
      <c r="KH233" s="92" t="s">
        <v>192</v>
      </c>
      <c r="KI233" s="92" t="s">
        <v>109</v>
      </c>
      <c r="KJ233" s="92" t="s">
        <v>192</v>
      </c>
      <c r="KK233" s="92" t="s">
        <v>109</v>
      </c>
      <c r="KL233" s="92" t="s">
        <v>1425</v>
      </c>
      <c r="KM233" s="92">
        <v>2500</v>
      </c>
      <c r="KN233" s="92" t="s">
        <v>4439</v>
      </c>
      <c r="KO233" s="92" t="s">
        <v>1425</v>
      </c>
      <c r="KP233" s="92" t="s">
        <v>1460</v>
      </c>
      <c r="KQ233" s="92" t="s">
        <v>192</v>
      </c>
      <c r="KR233" s="92">
        <v>16</v>
      </c>
      <c r="KS233" s="92" t="s">
        <v>1343</v>
      </c>
      <c r="KT233" s="92" t="s">
        <v>1344</v>
      </c>
      <c r="KU233" s="92">
        <v>24</v>
      </c>
      <c r="KV233" s="92" t="s">
        <v>1345</v>
      </c>
      <c r="KW233" s="92" t="s">
        <v>1344</v>
      </c>
      <c r="KX233" s="92" t="s">
        <v>1376</v>
      </c>
      <c r="KY233" s="92" t="s">
        <v>1377</v>
      </c>
      <c r="KZ233" s="92" t="s">
        <v>5795</v>
      </c>
      <c r="LA233" s="92" t="s">
        <v>109</v>
      </c>
      <c r="LB233" s="92" t="s">
        <v>109</v>
      </c>
      <c r="LC233" s="92" t="s">
        <v>4439</v>
      </c>
      <c r="LD233" s="92" t="s">
        <v>4439</v>
      </c>
      <c r="LE233" s="92" t="s">
        <v>109</v>
      </c>
      <c r="LF233" s="92" t="s">
        <v>109</v>
      </c>
    </row>
    <row r="234" spans="1:318" x14ac:dyDescent="0.25">
      <c r="A234" t="s">
        <v>2415</v>
      </c>
      <c r="B234" t="s">
        <v>2416</v>
      </c>
      <c r="C234" t="s">
        <v>1304</v>
      </c>
      <c r="D234" t="s">
        <v>1429</v>
      </c>
      <c r="E234" t="s">
        <v>1306</v>
      </c>
      <c r="G234" t="s">
        <v>1307</v>
      </c>
      <c r="H234">
        <v>3</v>
      </c>
      <c r="I234" t="s">
        <v>1307</v>
      </c>
      <c r="J234" t="s">
        <v>1406</v>
      </c>
      <c r="K234" t="s">
        <v>1309</v>
      </c>
      <c r="L234" t="s">
        <v>1310</v>
      </c>
      <c r="M234" t="s">
        <v>1309</v>
      </c>
      <c r="N234" t="s">
        <v>1309</v>
      </c>
      <c r="O234" t="s">
        <v>1309</v>
      </c>
      <c r="P234" t="s">
        <v>1309</v>
      </c>
      <c r="Q234" t="s">
        <v>1309</v>
      </c>
      <c r="R234" t="s">
        <v>1309</v>
      </c>
      <c r="S234">
        <v>1</v>
      </c>
      <c r="U234" t="s">
        <v>1312</v>
      </c>
      <c r="V234" t="s">
        <v>1312</v>
      </c>
      <c r="W234" t="s">
        <v>1312</v>
      </c>
      <c r="X234" t="s">
        <v>1312</v>
      </c>
      <c r="Y234" t="s">
        <v>1312</v>
      </c>
      <c r="Z234" t="s">
        <v>1312</v>
      </c>
      <c r="AC234">
        <v>2</v>
      </c>
      <c r="AD234">
        <v>18000</v>
      </c>
      <c r="AE234">
        <v>18000</v>
      </c>
      <c r="AF234" t="s">
        <v>1313</v>
      </c>
      <c r="AH234" t="s">
        <v>1383</v>
      </c>
      <c r="AJ234" t="s">
        <v>1315</v>
      </c>
      <c r="AL234" t="s">
        <v>1354</v>
      </c>
      <c r="BS234" t="s">
        <v>1307</v>
      </c>
      <c r="CE234" t="s">
        <v>1590</v>
      </c>
      <c r="CF234" t="s">
        <v>1310</v>
      </c>
      <c r="CG234" t="s">
        <v>1309</v>
      </c>
      <c r="CH234" t="s">
        <v>1309</v>
      </c>
      <c r="CI234" t="s">
        <v>1309</v>
      </c>
      <c r="CJ234" t="s">
        <v>1309</v>
      </c>
      <c r="CK234" t="s">
        <v>1309</v>
      </c>
      <c r="CL234" t="s">
        <v>1309</v>
      </c>
      <c r="CM234" t="s">
        <v>1309</v>
      </c>
      <c r="CN234" t="s">
        <v>1310</v>
      </c>
      <c r="CO234" t="s">
        <v>1309</v>
      </c>
      <c r="CP234" t="s">
        <v>1309</v>
      </c>
      <c r="CQ234" t="s">
        <v>1309</v>
      </c>
      <c r="CR234" t="s">
        <v>1309</v>
      </c>
      <c r="CT234" t="s">
        <v>4435</v>
      </c>
      <c r="CV234" t="s">
        <v>1308</v>
      </c>
      <c r="CW234" t="s">
        <v>1310</v>
      </c>
      <c r="CX234" t="s">
        <v>1309</v>
      </c>
      <c r="CY234" t="s">
        <v>1309</v>
      </c>
      <c r="CZ234" t="s">
        <v>1309</v>
      </c>
      <c r="DA234" t="s">
        <v>1309</v>
      </c>
      <c r="DB234" t="s">
        <v>1309</v>
      </c>
      <c r="DC234" t="s">
        <v>1309</v>
      </c>
      <c r="DE234" t="s">
        <v>1358</v>
      </c>
      <c r="DF234" t="s">
        <v>1319</v>
      </c>
      <c r="DG234">
        <v>500</v>
      </c>
      <c r="DH234">
        <v>2000</v>
      </c>
      <c r="DI234">
        <v>300</v>
      </c>
      <c r="DJ234" t="s">
        <v>1358</v>
      </c>
      <c r="DK234">
        <v>800</v>
      </c>
      <c r="DL234">
        <v>2500</v>
      </c>
      <c r="DM234">
        <v>600</v>
      </c>
      <c r="DN234" t="s">
        <v>1432</v>
      </c>
      <c r="DO234" t="s">
        <v>1310</v>
      </c>
      <c r="DP234" t="s">
        <v>1309</v>
      </c>
      <c r="DQ234" t="s">
        <v>1309</v>
      </c>
      <c r="DR234" t="s">
        <v>1310</v>
      </c>
      <c r="DS234" t="s">
        <v>1309</v>
      </c>
      <c r="DT234" t="s">
        <v>1310</v>
      </c>
      <c r="DU234" t="s">
        <v>1309</v>
      </c>
      <c r="DV234" t="s">
        <v>1309</v>
      </c>
      <c r="DW234" t="s">
        <v>1309</v>
      </c>
      <c r="DY234" t="s">
        <v>1359</v>
      </c>
      <c r="DZ234">
        <v>500</v>
      </c>
      <c r="EA234" t="s">
        <v>1319</v>
      </c>
      <c r="EC234" t="s">
        <v>1474</v>
      </c>
      <c r="ED234">
        <v>550</v>
      </c>
      <c r="EE234" t="s">
        <v>1319</v>
      </c>
      <c r="EG234" t="s">
        <v>5357</v>
      </c>
      <c r="ET234" t="s">
        <v>1434</v>
      </c>
      <c r="EV234" t="s">
        <v>1319</v>
      </c>
      <c r="EW234" t="s">
        <v>1409</v>
      </c>
      <c r="EX234" t="s">
        <v>1319</v>
      </c>
      <c r="EY234" t="s">
        <v>1307</v>
      </c>
      <c r="FA234" t="s">
        <v>2417</v>
      </c>
      <c r="FB234" t="s">
        <v>1309</v>
      </c>
      <c r="FC234" t="s">
        <v>1309</v>
      </c>
      <c r="FD234" t="s">
        <v>1309</v>
      </c>
      <c r="FE234" t="s">
        <v>1309</v>
      </c>
      <c r="FF234" t="s">
        <v>1309</v>
      </c>
      <c r="FG234" t="s">
        <v>1309</v>
      </c>
      <c r="FH234" t="s">
        <v>1309</v>
      </c>
      <c r="FI234" t="s">
        <v>1309</v>
      </c>
      <c r="FJ234" t="s">
        <v>1310</v>
      </c>
      <c r="FK234" t="s">
        <v>1309</v>
      </c>
      <c r="FL234" t="s">
        <v>1309</v>
      </c>
      <c r="FM234" t="s">
        <v>1309</v>
      </c>
      <c r="FN234" t="s">
        <v>1309</v>
      </c>
      <c r="FO234" t="s">
        <v>1309</v>
      </c>
      <c r="FP234" t="s">
        <v>1309</v>
      </c>
      <c r="FQ234" t="s">
        <v>1309</v>
      </c>
      <c r="FR234" t="s">
        <v>1309</v>
      </c>
      <c r="FT234" t="s">
        <v>1319</v>
      </c>
      <c r="FU234" t="s">
        <v>1435</v>
      </c>
      <c r="FV234" t="s">
        <v>1310</v>
      </c>
      <c r="FW234" t="s">
        <v>1309</v>
      </c>
      <c r="FX234" t="s">
        <v>1309</v>
      </c>
      <c r="FY234" t="s">
        <v>1309</v>
      </c>
      <c r="FZ234" t="s">
        <v>1309</v>
      </c>
      <c r="GA234" t="s">
        <v>1309</v>
      </c>
      <c r="GB234" t="s">
        <v>1309</v>
      </c>
      <c r="GC234" t="s">
        <v>1309</v>
      </c>
      <c r="GD234" t="s">
        <v>1309</v>
      </c>
      <c r="GE234" t="s">
        <v>1309</v>
      </c>
      <c r="GF234" t="s">
        <v>1309</v>
      </c>
      <c r="GG234" t="s">
        <v>1309</v>
      </c>
      <c r="GI234" t="s">
        <v>1436</v>
      </c>
      <c r="GJ234" t="s">
        <v>1436</v>
      </c>
      <c r="GK234" t="s">
        <v>1307</v>
      </c>
      <c r="GT234" t="s">
        <v>1325</v>
      </c>
      <c r="GU234" t="s">
        <v>1310</v>
      </c>
      <c r="GV234" t="s">
        <v>1309</v>
      </c>
      <c r="GW234" t="s">
        <v>1309</v>
      </c>
      <c r="GX234" t="s">
        <v>1309</v>
      </c>
      <c r="GY234" t="s">
        <v>1309</v>
      </c>
      <c r="GZ234" t="s">
        <v>1309</v>
      </c>
      <c r="HA234" t="s">
        <v>1309</v>
      </c>
      <c r="HB234" t="s">
        <v>1309</v>
      </c>
      <c r="HC234" t="s">
        <v>1309</v>
      </c>
      <c r="HD234" t="s">
        <v>1309</v>
      </c>
      <c r="HE234" t="s">
        <v>1309</v>
      </c>
      <c r="HF234" t="s">
        <v>1309</v>
      </c>
      <c r="HH234" t="s">
        <v>1390</v>
      </c>
      <c r="HI234" t="s">
        <v>1390</v>
      </c>
      <c r="HJ234" t="s">
        <v>1326</v>
      </c>
      <c r="HK234" t="s">
        <v>1327</v>
      </c>
      <c r="HL234" t="s">
        <v>1328</v>
      </c>
      <c r="HM234" t="s">
        <v>1326</v>
      </c>
      <c r="HN234" t="s">
        <v>1329</v>
      </c>
      <c r="HO234" t="s">
        <v>1309</v>
      </c>
      <c r="HP234" t="s">
        <v>1309</v>
      </c>
      <c r="HQ234" t="s">
        <v>1309</v>
      </c>
      <c r="HR234" t="s">
        <v>1310</v>
      </c>
      <c r="HS234" t="s">
        <v>1309</v>
      </c>
      <c r="HT234" t="s">
        <v>1309</v>
      </c>
      <c r="HU234" t="s">
        <v>1309</v>
      </c>
      <c r="HV234" t="s">
        <v>1309</v>
      </c>
      <c r="HW234" t="s">
        <v>1309</v>
      </c>
      <c r="HX234" t="s">
        <v>1309</v>
      </c>
      <c r="HY234" t="s">
        <v>1309</v>
      </c>
      <c r="IA234" t="s">
        <v>1307</v>
      </c>
      <c r="IQ234" t="s">
        <v>1330</v>
      </c>
      <c r="IS234" t="s">
        <v>1316</v>
      </c>
      <c r="JF234" t="s">
        <v>1331</v>
      </c>
      <c r="JG234" t="s">
        <v>1698</v>
      </c>
      <c r="JH234" t="s">
        <v>1309</v>
      </c>
      <c r="JI234" t="s">
        <v>1309</v>
      </c>
      <c r="JJ234" t="s">
        <v>1309</v>
      </c>
      <c r="JK234" t="s">
        <v>1309</v>
      </c>
      <c r="JL234" t="s">
        <v>1309</v>
      </c>
      <c r="JM234" t="s">
        <v>1310</v>
      </c>
      <c r="JN234" t="s">
        <v>1309</v>
      </c>
      <c r="JO234" t="s">
        <v>1309</v>
      </c>
      <c r="JP234" t="s">
        <v>2285</v>
      </c>
      <c r="JQ234" s="92" t="s">
        <v>1333</v>
      </c>
      <c r="JR234" s="92" t="s">
        <v>1334</v>
      </c>
      <c r="JS234" s="92">
        <v>42</v>
      </c>
      <c r="JT234" s="92" t="s">
        <v>1319</v>
      </c>
      <c r="JU234" s="92" t="s">
        <v>1335</v>
      </c>
      <c r="JV234" s="92" t="s">
        <v>1336</v>
      </c>
      <c r="JW234" s="92" t="s">
        <v>1296</v>
      </c>
      <c r="JX234" s="92" t="s">
        <v>71</v>
      </c>
      <c r="JY234" s="92" t="s">
        <v>5549</v>
      </c>
      <c r="JZ234" s="92" t="s">
        <v>1337</v>
      </c>
      <c r="KA234" s="92" t="s">
        <v>4845</v>
      </c>
      <c r="KB234" s="92" t="s">
        <v>1415</v>
      </c>
      <c r="KC234" s="92" t="s">
        <v>109</v>
      </c>
      <c r="KD234" s="92" t="s">
        <v>4847</v>
      </c>
      <c r="KE234" s="92" t="s">
        <v>1452</v>
      </c>
      <c r="KF234" s="92">
        <v>2800</v>
      </c>
      <c r="KG234" s="92" t="s">
        <v>4438</v>
      </c>
      <c r="KH234" s="92" t="s">
        <v>192</v>
      </c>
      <c r="KI234" s="92" t="s">
        <v>192</v>
      </c>
      <c r="KJ234" s="92" t="s">
        <v>192</v>
      </c>
      <c r="KK234" s="92" t="s">
        <v>192</v>
      </c>
      <c r="KL234" s="92" t="s">
        <v>1425</v>
      </c>
      <c r="KM234" s="92">
        <v>3900</v>
      </c>
      <c r="KN234" s="92" t="s">
        <v>4438</v>
      </c>
      <c r="KO234" s="92" t="s">
        <v>1341</v>
      </c>
      <c r="KP234" s="92" t="s">
        <v>1342</v>
      </c>
      <c r="KQ234" s="92" t="s">
        <v>192</v>
      </c>
      <c r="KR234" s="92">
        <v>18</v>
      </c>
      <c r="KS234" s="92" t="s">
        <v>1345</v>
      </c>
      <c r="KT234" s="92" t="s">
        <v>1344</v>
      </c>
      <c r="KU234" s="92">
        <v>14</v>
      </c>
      <c r="KV234" s="92" t="s">
        <v>1345</v>
      </c>
      <c r="KW234" s="92" t="s">
        <v>1344</v>
      </c>
      <c r="KX234" s="92" t="s">
        <v>1376</v>
      </c>
      <c r="KY234" s="92" t="s">
        <v>1377</v>
      </c>
      <c r="KZ234" s="92" t="s">
        <v>5795</v>
      </c>
      <c r="LA234" s="92" t="s">
        <v>109</v>
      </c>
      <c r="LB234" s="92" t="s">
        <v>109</v>
      </c>
      <c r="LC234" s="92" t="s">
        <v>4438</v>
      </c>
      <c r="LD234" s="92" t="s">
        <v>4438</v>
      </c>
      <c r="LE234" s="92" t="s">
        <v>192</v>
      </c>
      <c r="LF234" s="92" t="s">
        <v>192</v>
      </c>
    </row>
    <row r="235" spans="1:318" x14ac:dyDescent="0.25">
      <c r="A235" t="s">
        <v>2418</v>
      </c>
      <c r="B235" t="s">
        <v>2419</v>
      </c>
      <c r="C235" t="s">
        <v>1304</v>
      </c>
      <c r="D235" t="s">
        <v>1305</v>
      </c>
      <c r="E235" t="s">
        <v>1306</v>
      </c>
      <c r="G235" t="s">
        <v>1307</v>
      </c>
      <c r="H235">
        <v>2</v>
      </c>
      <c r="I235" t="s">
        <v>1307</v>
      </c>
      <c r="J235" t="s">
        <v>1430</v>
      </c>
      <c r="K235" t="s">
        <v>1309</v>
      </c>
      <c r="L235" t="s">
        <v>1309</v>
      </c>
      <c r="M235" t="s">
        <v>1310</v>
      </c>
      <c r="N235" t="s">
        <v>1309</v>
      </c>
      <c r="O235" t="s">
        <v>1309</v>
      </c>
      <c r="P235" t="s">
        <v>1309</v>
      </c>
      <c r="Q235" t="s">
        <v>1309</v>
      </c>
      <c r="R235" t="s">
        <v>1309</v>
      </c>
      <c r="T235">
        <v>2</v>
      </c>
      <c r="U235" t="s">
        <v>1311</v>
      </c>
      <c r="V235" t="s">
        <v>1312</v>
      </c>
      <c r="W235" t="s">
        <v>1311</v>
      </c>
      <c r="X235" t="s">
        <v>1312</v>
      </c>
      <c r="Y235" t="s">
        <v>1312</v>
      </c>
      <c r="Z235" t="s">
        <v>1312</v>
      </c>
      <c r="AC235">
        <v>2</v>
      </c>
      <c r="AD235">
        <v>6000</v>
      </c>
      <c r="AE235">
        <v>5000</v>
      </c>
      <c r="AF235" t="s">
        <v>1351</v>
      </c>
      <c r="AH235" t="s">
        <v>1314</v>
      </c>
      <c r="AJ235" t="s">
        <v>1353</v>
      </c>
      <c r="AL235" t="s">
        <v>1316</v>
      </c>
      <c r="BA235" t="s">
        <v>1316</v>
      </c>
      <c r="BS235" t="s">
        <v>1307</v>
      </c>
      <c r="CE235" t="s">
        <v>1695</v>
      </c>
      <c r="CF235" t="s">
        <v>1309</v>
      </c>
      <c r="CG235" t="s">
        <v>1309</v>
      </c>
      <c r="CH235" t="s">
        <v>1309</v>
      </c>
      <c r="CI235" t="s">
        <v>1309</v>
      </c>
      <c r="CJ235" t="s">
        <v>1309</v>
      </c>
      <c r="CK235" t="s">
        <v>1309</v>
      </c>
      <c r="CL235" t="s">
        <v>1310</v>
      </c>
      <c r="CM235" t="s">
        <v>1309</v>
      </c>
      <c r="CN235" t="s">
        <v>1310</v>
      </c>
      <c r="CO235" t="s">
        <v>1309</v>
      </c>
      <c r="CP235" t="s">
        <v>1309</v>
      </c>
      <c r="CQ235" t="s">
        <v>1309</v>
      </c>
      <c r="CR235" t="s">
        <v>1309</v>
      </c>
      <c r="CT235" t="s">
        <v>4435</v>
      </c>
      <c r="CV235" t="s">
        <v>1308</v>
      </c>
      <c r="CW235" t="s">
        <v>1310</v>
      </c>
      <c r="CX235" t="s">
        <v>1309</v>
      </c>
      <c r="CY235" t="s">
        <v>1309</v>
      </c>
      <c r="CZ235" t="s">
        <v>1309</v>
      </c>
      <c r="DA235" t="s">
        <v>1309</v>
      </c>
      <c r="DB235" t="s">
        <v>1309</v>
      </c>
      <c r="DC235" t="s">
        <v>1309</v>
      </c>
      <c r="DE235" t="s">
        <v>1358</v>
      </c>
      <c r="DF235" t="s">
        <v>1319</v>
      </c>
      <c r="DG235">
        <v>200</v>
      </c>
      <c r="DH235">
        <v>800</v>
      </c>
      <c r="DI235">
        <v>200</v>
      </c>
      <c r="DJ235" t="s">
        <v>1358</v>
      </c>
      <c r="DK235">
        <v>150</v>
      </c>
      <c r="DL235">
        <v>1500</v>
      </c>
      <c r="DM235">
        <v>200</v>
      </c>
      <c r="DN235" t="s">
        <v>1320</v>
      </c>
      <c r="DO235" t="s">
        <v>1310</v>
      </c>
      <c r="DP235" t="s">
        <v>1309</v>
      </c>
      <c r="DQ235" t="s">
        <v>1309</v>
      </c>
      <c r="DR235" t="s">
        <v>1309</v>
      </c>
      <c r="DS235" t="s">
        <v>1309</v>
      </c>
      <c r="DT235" t="s">
        <v>1310</v>
      </c>
      <c r="DU235" t="s">
        <v>1309</v>
      </c>
      <c r="DV235" t="s">
        <v>1309</v>
      </c>
      <c r="DW235" t="s">
        <v>1309</v>
      </c>
      <c r="DY235" t="s">
        <v>1322</v>
      </c>
      <c r="EA235" t="s">
        <v>1386</v>
      </c>
      <c r="EC235" t="s">
        <v>1322</v>
      </c>
      <c r="EE235" t="s">
        <v>1386</v>
      </c>
      <c r="EG235" t="s">
        <v>5356</v>
      </c>
      <c r="EI235" t="s">
        <v>1307</v>
      </c>
      <c r="ET235" t="s">
        <v>1434</v>
      </c>
      <c r="EV235" t="s">
        <v>1319</v>
      </c>
      <c r="EW235" t="s">
        <v>1361</v>
      </c>
      <c r="EX235" t="s">
        <v>1319</v>
      </c>
      <c r="EY235" t="s">
        <v>1307</v>
      </c>
      <c r="FA235" t="s">
        <v>2420</v>
      </c>
      <c r="FB235" t="s">
        <v>1309</v>
      </c>
      <c r="FC235" t="s">
        <v>1309</v>
      </c>
      <c r="FD235" t="s">
        <v>1309</v>
      </c>
      <c r="FE235" t="s">
        <v>1309</v>
      </c>
      <c r="FF235" t="s">
        <v>1309</v>
      </c>
      <c r="FG235" t="s">
        <v>1310</v>
      </c>
      <c r="FH235" t="s">
        <v>1309</v>
      </c>
      <c r="FI235" t="s">
        <v>1310</v>
      </c>
      <c r="FJ235" t="s">
        <v>1309</v>
      </c>
      <c r="FK235" t="s">
        <v>1309</v>
      </c>
      <c r="FL235" t="s">
        <v>1309</v>
      </c>
      <c r="FM235" t="s">
        <v>1310</v>
      </c>
      <c r="FN235" t="s">
        <v>1310</v>
      </c>
      <c r="FO235" t="s">
        <v>1309</v>
      </c>
      <c r="FP235" t="s">
        <v>1309</v>
      </c>
      <c r="FQ235" t="s">
        <v>1309</v>
      </c>
      <c r="FR235" t="s">
        <v>1309</v>
      </c>
      <c r="FT235" t="s">
        <v>1307</v>
      </c>
      <c r="GI235" t="s">
        <v>1324</v>
      </c>
      <c r="GJ235" t="s">
        <v>1324</v>
      </c>
      <c r="GT235" t="s">
        <v>1325</v>
      </c>
      <c r="GU235" t="s">
        <v>1310</v>
      </c>
      <c r="GV235" t="s">
        <v>1309</v>
      </c>
      <c r="GW235" t="s">
        <v>1309</v>
      </c>
      <c r="GX235" t="s">
        <v>1309</v>
      </c>
      <c r="GY235" t="s">
        <v>1309</v>
      </c>
      <c r="GZ235" t="s">
        <v>1309</v>
      </c>
      <c r="HA235" t="s">
        <v>1309</v>
      </c>
      <c r="HB235" t="s">
        <v>1309</v>
      </c>
      <c r="HC235" t="s">
        <v>1309</v>
      </c>
      <c r="HD235" t="s">
        <v>1309</v>
      </c>
      <c r="HE235" t="s">
        <v>1309</v>
      </c>
      <c r="HF235" t="s">
        <v>1309</v>
      </c>
      <c r="HH235" t="s">
        <v>1390</v>
      </c>
      <c r="HI235" t="s">
        <v>1327</v>
      </c>
      <c r="HJ235" t="s">
        <v>1390</v>
      </c>
      <c r="HK235" t="s">
        <v>1327</v>
      </c>
      <c r="HL235" t="s">
        <v>1328</v>
      </c>
      <c r="HM235" t="s">
        <v>1390</v>
      </c>
      <c r="HN235" t="s">
        <v>1549</v>
      </c>
      <c r="HO235" t="s">
        <v>1310</v>
      </c>
      <c r="HP235" t="s">
        <v>1310</v>
      </c>
      <c r="HQ235" t="s">
        <v>1309</v>
      </c>
      <c r="HR235" t="s">
        <v>1309</v>
      </c>
      <c r="HS235" t="s">
        <v>1309</v>
      </c>
      <c r="HT235" t="s">
        <v>1309</v>
      </c>
      <c r="HU235" t="s">
        <v>1309</v>
      </c>
      <c r="HV235" t="s">
        <v>1309</v>
      </c>
      <c r="HW235" t="s">
        <v>1309</v>
      </c>
      <c r="HX235" t="s">
        <v>1309</v>
      </c>
      <c r="HY235" t="s">
        <v>1309</v>
      </c>
      <c r="IA235" t="s">
        <v>1319</v>
      </c>
      <c r="IB235" t="s">
        <v>2421</v>
      </c>
      <c r="IC235" t="s">
        <v>1309</v>
      </c>
      <c r="ID235" t="s">
        <v>1310</v>
      </c>
      <c r="IE235" t="s">
        <v>1309</v>
      </c>
      <c r="IF235" t="s">
        <v>1309</v>
      </c>
      <c r="IG235" t="s">
        <v>1310</v>
      </c>
      <c r="IH235" t="s">
        <v>1309</v>
      </c>
      <c r="II235" t="s">
        <v>1309</v>
      </c>
      <c r="IJ235" t="s">
        <v>1309</v>
      </c>
      <c r="IK235" t="s">
        <v>1309</v>
      </c>
      <c r="IL235" t="s">
        <v>1309</v>
      </c>
      <c r="IM235" t="s">
        <v>1309</v>
      </c>
      <c r="IN235" t="s">
        <v>1309</v>
      </c>
      <c r="IO235" t="s">
        <v>1309</v>
      </c>
      <c r="IQ235" t="s">
        <v>1308</v>
      </c>
      <c r="IS235" t="s">
        <v>1316</v>
      </c>
      <c r="JF235" t="s">
        <v>1316</v>
      </c>
      <c r="JG235" t="s">
        <v>1451</v>
      </c>
      <c r="JH235" t="s">
        <v>1310</v>
      </c>
      <c r="JI235" t="s">
        <v>1309</v>
      </c>
      <c r="JJ235" t="s">
        <v>1309</v>
      </c>
      <c r="JK235" t="s">
        <v>1310</v>
      </c>
      <c r="JL235" t="s">
        <v>1309</v>
      </c>
      <c r="JM235" t="s">
        <v>1309</v>
      </c>
      <c r="JN235" t="s">
        <v>1309</v>
      </c>
      <c r="JO235" t="s">
        <v>1309</v>
      </c>
      <c r="JQ235" s="92" t="s">
        <v>1333</v>
      </c>
      <c r="JR235" s="92" t="s">
        <v>1334</v>
      </c>
      <c r="JS235" s="92">
        <v>65</v>
      </c>
      <c r="JT235" s="92" t="s">
        <v>1319</v>
      </c>
      <c r="JU235" s="92" t="s">
        <v>1335</v>
      </c>
      <c r="JV235" s="92" t="s">
        <v>1336</v>
      </c>
      <c r="JW235" s="92" t="s">
        <v>1296</v>
      </c>
      <c r="JX235" s="92" t="s">
        <v>71</v>
      </c>
      <c r="JY235" s="92" t="s">
        <v>5549</v>
      </c>
      <c r="JZ235" s="92" t="s">
        <v>1369</v>
      </c>
      <c r="KA235" s="92" t="s">
        <v>4845</v>
      </c>
      <c r="KB235" s="92" t="s">
        <v>1476</v>
      </c>
      <c r="KC235" s="92" t="s">
        <v>109</v>
      </c>
      <c r="KD235" s="92" t="s">
        <v>4847</v>
      </c>
      <c r="KE235" s="92" t="s">
        <v>1424</v>
      </c>
      <c r="KF235" s="92">
        <v>1200</v>
      </c>
      <c r="KG235" s="92" t="s">
        <v>4438</v>
      </c>
      <c r="KH235" s="92" t="s">
        <v>192</v>
      </c>
      <c r="KI235" s="92" t="s">
        <v>192</v>
      </c>
      <c r="KJ235" s="92" t="s">
        <v>192</v>
      </c>
      <c r="KK235" s="92" t="s">
        <v>192</v>
      </c>
      <c r="KL235" s="92" t="s">
        <v>1440</v>
      </c>
      <c r="KM235" s="92">
        <v>1850</v>
      </c>
      <c r="KN235" s="92" t="s">
        <v>4439</v>
      </c>
      <c r="KO235" s="92" t="s">
        <v>1440</v>
      </c>
      <c r="KP235" s="92" t="s">
        <v>1342</v>
      </c>
      <c r="KQ235" s="92" t="s">
        <v>192</v>
      </c>
      <c r="KR235" s="92"/>
      <c r="KS235" s="92" t="s">
        <v>5554</v>
      </c>
      <c r="KT235" s="92" t="s">
        <v>1402</v>
      </c>
      <c r="KU235" s="92"/>
      <c r="KV235" s="92" t="s">
        <v>5554</v>
      </c>
      <c r="KW235" s="92" t="s">
        <v>1402</v>
      </c>
      <c r="KX235" s="92" t="s">
        <v>1799</v>
      </c>
      <c r="KY235" s="92" t="s">
        <v>1347</v>
      </c>
      <c r="KZ235" s="92" t="s">
        <v>5795</v>
      </c>
      <c r="LA235" s="92" t="s">
        <v>109</v>
      </c>
      <c r="LB235" s="92" t="s">
        <v>109</v>
      </c>
      <c r="LC235" s="92" t="s">
        <v>4438</v>
      </c>
      <c r="LD235" s="92" t="s">
        <v>4439</v>
      </c>
      <c r="LE235" s="92" t="s">
        <v>192</v>
      </c>
      <c r="LF235" s="92" t="s">
        <v>192</v>
      </c>
    </row>
    <row r="236" spans="1:318" x14ac:dyDescent="0.25">
      <c r="A236" t="s">
        <v>2422</v>
      </c>
      <c r="B236" t="s">
        <v>2423</v>
      </c>
      <c r="C236" t="s">
        <v>1304</v>
      </c>
      <c r="D236" t="s">
        <v>1305</v>
      </c>
      <c r="E236" t="s">
        <v>1306</v>
      </c>
      <c r="G236" t="s">
        <v>1307</v>
      </c>
      <c r="H236">
        <v>1</v>
      </c>
      <c r="J236" t="s">
        <v>1430</v>
      </c>
      <c r="K236" t="s">
        <v>1309</v>
      </c>
      <c r="L236" t="s">
        <v>1309</v>
      </c>
      <c r="M236" t="s">
        <v>1310</v>
      </c>
      <c r="N236" t="s">
        <v>1309</v>
      </c>
      <c r="O236" t="s">
        <v>1309</v>
      </c>
      <c r="P236" t="s">
        <v>1309</v>
      </c>
      <c r="Q236" t="s">
        <v>1309</v>
      </c>
      <c r="R236" t="s">
        <v>1309</v>
      </c>
      <c r="T236">
        <v>1</v>
      </c>
      <c r="U236" t="s">
        <v>1311</v>
      </c>
      <c r="V236" t="s">
        <v>1312</v>
      </c>
      <c r="W236" t="s">
        <v>1311</v>
      </c>
      <c r="X236" t="s">
        <v>1312</v>
      </c>
      <c r="Y236" t="s">
        <v>1312</v>
      </c>
      <c r="Z236" t="s">
        <v>1312</v>
      </c>
      <c r="AC236">
        <v>1</v>
      </c>
      <c r="AD236">
        <v>5000</v>
      </c>
      <c r="AE236">
        <v>4000</v>
      </c>
      <c r="AF236" t="s">
        <v>1351</v>
      </c>
      <c r="AH236" t="s">
        <v>1314</v>
      </c>
      <c r="AJ236" t="s">
        <v>1353</v>
      </c>
      <c r="AL236" t="s">
        <v>1316</v>
      </c>
      <c r="BA236" t="s">
        <v>1316</v>
      </c>
      <c r="BS236" t="s">
        <v>1307</v>
      </c>
      <c r="CE236" t="s">
        <v>1597</v>
      </c>
      <c r="CF236" t="s">
        <v>1309</v>
      </c>
      <c r="CG236" t="s">
        <v>1309</v>
      </c>
      <c r="CH236" t="s">
        <v>1309</v>
      </c>
      <c r="CI236" t="s">
        <v>1309</v>
      </c>
      <c r="CJ236" t="s">
        <v>1309</v>
      </c>
      <c r="CK236" t="s">
        <v>1309</v>
      </c>
      <c r="CL236" t="s">
        <v>1310</v>
      </c>
      <c r="CM236" t="s">
        <v>1309</v>
      </c>
      <c r="CN236" t="s">
        <v>1309</v>
      </c>
      <c r="CO236" t="s">
        <v>1309</v>
      </c>
      <c r="CP236" t="s">
        <v>1309</v>
      </c>
      <c r="CQ236" t="s">
        <v>1309</v>
      </c>
      <c r="CR236" t="s">
        <v>1309</v>
      </c>
      <c r="CT236" t="s">
        <v>4435</v>
      </c>
      <c r="CV236" t="s">
        <v>1308</v>
      </c>
      <c r="CW236" t="s">
        <v>1310</v>
      </c>
      <c r="CX236" t="s">
        <v>1309</v>
      </c>
      <c r="CY236" t="s">
        <v>1309</v>
      </c>
      <c r="CZ236" t="s">
        <v>1309</v>
      </c>
      <c r="DA236" t="s">
        <v>1309</v>
      </c>
      <c r="DB236" t="s">
        <v>1309</v>
      </c>
      <c r="DC236" t="s">
        <v>1309</v>
      </c>
      <c r="DE236" t="s">
        <v>1358</v>
      </c>
      <c r="DF236" t="s">
        <v>1307</v>
      </c>
      <c r="DH236">
        <v>1000</v>
      </c>
      <c r="DI236">
        <v>200</v>
      </c>
      <c r="DJ236" t="s">
        <v>1358</v>
      </c>
      <c r="DL236">
        <v>2000</v>
      </c>
      <c r="DM236">
        <v>250</v>
      </c>
      <c r="DN236" t="s">
        <v>1432</v>
      </c>
      <c r="DO236" t="s">
        <v>1310</v>
      </c>
      <c r="DP236" t="s">
        <v>1309</v>
      </c>
      <c r="DQ236" t="s">
        <v>1309</v>
      </c>
      <c r="DR236" t="s">
        <v>1310</v>
      </c>
      <c r="DS236" t="s">
        <v>1309</v>
      </c>
      <c r="DT236" t="s">
        <v>1310</v>
      </c>
      <c r="DU236" t="s">
        <v>1309</v>
      </c>
      <c r="DV236" t="s">
        <v>1309</v>
      </c>
      <c r="DW236" t="s">
        <v>1309</v>
      </c>
      <c r="DY236" t="s">
        <v>1446</v>
      </c>
      <c r="DZ236">
        <v>400</v>
      </c>
      <c r="EA236" t="s">
        <v>1386</v>
      </c>
      <c r="EC236" t="s">
        <v>1387</v>
      </c>
      <c r="ED236">
        <v>800</v>
      </c>
      <c r="EE236" t="s">
        <v>1386</v>
      </c>
      <c r="EG236" t="s">
        <v>5356</v>
      </c>
      <c r="EI236" t="s">
        <v>1307</v>
      </c>
      <c r="ET236" t="s">
        <v>1434</v>
      </c>
      <c r="EV236" t="s">
        <v>1319</v>
      </c>
      <c r="EW236" t="s">
        <v>1361</v>
      </c>
      <c r="EX236" t="s">
        <v>1307</v>
      </c>
      <c r="FT236" t="s">
        <v>1307</v>
      </c>
      <c r="GI236" t="s">
        <v>1324</v>
      </c>
      <c r="GJ236" t="s">
        <v>1324</v>
      </c>
      <c r="GT236" t="s">
        <v>1325</v>
      </c>
      <c r="GU236" t="s">
        <v>1310</v>
      </c>
      <c r="GV236" t="s">
        <v>1309</v>
      </c>
      <c r="GW236" t="s">
        <v>1309</v>
      </c>
      <c r="GX236" t="s">
        <v>1309</v>
      </c>
      <c r="GY236" t="s">
        <v>1309</v>
      </c>
      <c r="GZ236" t="s">
        <v>1309</v>
      </c>
      <c r="HA236" t="s">
        <v>1309</v>
      </c>
      <c r="HB236" t="s">
        <v>1309</v>
      </c>
      <c r="HC236" t="s">
        <v>1309</v>
      </c>
      <c r="HD236" t="s">
        <v>1309</v>
      </c>
      <c r="HE236" t="s">
        <v>1309</v>
      </c>
      <c r="HF236" t="s">
        <v>1309</v>
      </c>
      <c r="HH236" t="s">
        <v>1390</v>
      </c>
      <c r="HI236" t="s">
        <v>1390</v>
      </c>
      <c r="HJ236" t="s">
        <v>1390</v>
      </c>
      <c r="HK236" t="s">
        <v>1327</v>
      </c>
      <c r="HL236" t="s">
        <v>1364</v>
      </c>
      <c r="HM236" t="s">
        <v>1390</v>
      </c>
      <c r="IA236" t="s">
        <v>1319</v>
      </c>
      <c r="IB236" t="s">
        <v>2421</v>
      </c>
      <c r="IC236" t="s">
        <v>1309</v>
      </c>
      <c r="ID236" t="s">
        <v>1310</v>
      </c>
      <c r="IE236" t="s">
        <v>1309</v>
      </c>
      <c r="IF236" t="s">
        <v>1309</v>
      </c>
      <c r="IG236" t="s">
        <v>1310</v>
      </c>
      <c r="IH236" t="s">
        <v>1309</v>
      </c>
      <c r="II236" t="s">
        <v>1309</v>
      </c>
      <c r="IJ236" t="s">
        <v>1309</v>
      </c>
      <c r="IK236" t="s">
        <v>1309</v>
      </c>
      <c r="IL236" t="s">
        <v>1309</v>
      </c>
      <c r="IM236" t="s">
        <v>1309</v>
      </c>
      <c r="IN236" t="s">
        <v>1309</v>
      </c>
      <c r="IO236" t="s">
        <v>1309</v>
      </c>
      <c r="IQ236" t="s">
        <v>1330</v>
      </c>
      <c r="IS236" t="s">
        <v>1316</v>
      </c>
      <c r="JF236" t="s">
        <v>1316</v>
      </c>
      <c r="JG236" t="s">
        <v>1523</v>
      </c>
      <c r="JH236" t="s">
        <v>1309</v>
      </c>
      <c r="JI236" t="s">
        <v>1309</v>
      </c>
      <c r="JJ236" t="s">
        <v>1309</v>
      </c>
      <c r="JK236" t="s">
        <v>1310</v>
      </c>
      <c r="JL236" t="s">
        <v>1309</v>
      </c>
      <c r="JM236" t="s">
        <v>1309</v>
      </c>
      <c r="JN236" t="s">
        <v>1309</v>
      </c>
      <c r="JO236" t="s">
        <v>1309</v>
      </c>
      <c r="JQ236" s="92" t="s">
        <v>1333</v>
      </c>
      <c r="JR236" s="92" t="s">
        <v>1334</v>
      </c>
      <c r="JS236" s="92">
        <v>71</v>
      </c>
      <c r="JT236" s="92" t="s">
        <v>1319</v>
      </c>
      <c r="JU236" s="92" t="s">
        <v>1335</v>
      </c>
      <c r="JV236" s="92" t="s">
        <v>1336</v>
      </c>
      <c r="JW236" s="92" t="s">
        <v>1296</v>
      </c>
      <c r="JX236" s="92" t="s">
        <v>71</v>
      </c>
      <c r="JY236" s="92" t="s">
        <v>5549</v>
      </c>
      <c r="JZ236" s="92" t="s">
        <v>1369</v>
      </c>
      <c r="KA236" s="92" t="s">
        <v>4844</v>
      </c>
      <c r="KB236" s="92" t="s">
        <v>1476</v>
      </c>
      <c r="KC236" s="92" t="s">
        <v>109</v>
      </c>
      <c r="KD236" s="92" t="s">
        <v>4844</v>
      </c>
      <c r="KE236" s="92" t="s">
        <v>5560</v>
      </c>
      <c r="KF236" s="92">
        <v>1200</v>
      </c>
      <c r="KG236" s="92" t="s">
        <v>4438</v>
      </c>
      <c r="KH236" s="92" t="s">
        <v>109</v>
      </c>
      <c r="KI236" s="92" t="s">
        <v>192</v>
      </c>
      <c r="KJ236" s="92" t="s">
        <v>109</v>
      </c>
      <c r="KK236" s="92" t="s">
        <v>192</v>
      </c>
      <c r="KL236" s="92" t="s">
        <v>1440</v>
      </c>
      <c r="KM236" s="92">
        <v>2250</v>
      </c>
      <c r="KN236" s="92" t="s">
        <v>4439</v>
      </c>
      <c r="KO236" s="92" t="s">
        <v>1425</v>
      </c>
      <c r="KP236" s="92" t="s">
        <v>1342</v>
      </c>
      <c r="KQ236" s="92" t="s">
        <v>109</v>
      </c>
      <c r="KR236" s="92">
        <v>33</v>
      </c>
      <c r="KS236" s="92" t="s">
        <v>1343</v>
      </c>
      <c r="KT236" s="92" t="s">
        <v>1402</v>
      </c>
      <c r="KU236" s="92">
        <v>36</v>
      </c>
      <c r="KV236" s="92" t="s">
        <v>1441</v>
      </c>
      <c r="KW236" s="92" t="s">
        <v>1402</v>
      </c>
      <c r="KX236" s="92" t="s">
        <v>1376</v>
      </c>
      <c r="KY236" s="92" t="s">
        <v>1347</v>
      </c>
      <c r="KZ236" s="92" t="s">
        <v>5795</v>
      </c>
      <c r="LA236" s="92" t="s">
        <v>109</v>
      </c>
      <c r="LB236" s="92" t="s">
        <v>109</v>
      </c>
      <c r="LC236" s="92" t="s">
        <v>4438</v>
      </c>
      <c r="LD236" s="92" t="s">
        <v>4439</v>
      </c>
      <c r="LE236" s="92" t="s">
        <v>192</v>
      </c>
      <c r="LF236" s="92" t="s">
        <v>192</v>
      </c>
    </row>
    <row r="237" spans="1:318" x14ac:dyDescent="0.25">
      <c r="A237" t="s">
        <v>2424</v>
      </c>
      <c r="B237" t="s">
        <v>2425</v>
      </c>
      <c r="C237" t="s">
        <v>1304</v>
      </c>
      <c r="D237" t="s">
        <v>1429</v>
      </c>
      <c r="E237" t="s">
        <v>1306</v>
      </c>
      <c r="G237" t="s">
        <v>1307</v>
      </c>
      <c r="H237">
        <v>5</v>
      </c>
      <c r="I237" t="s">
        <v>1307</v>
      </c>
      <c r="J237" t="s">
        <v>1406</v>
      </c>
      <c r="K237" t="s">
        <v>1309</v>
      </c>
      <c r="L237" t="s">
        <v>1310</v>
      </c>
      <c r="M237" t="s">
        <v>1309</v>
      </c>
      <c r="N237" t="s">
        <v>1309</v>
      </c>
      <c r="O237" t="s">
        <v>1309</v>
      </c>
      <c r="P237" t="s">
        <v>1309</v>
      </c>
      <c r="Q237" t="s">
        <v>1309</v>
      </c>
      <c r="R237" t="s">
        <v>1309</v>
      </c>
      <c r="S237">
        <v>1</v>
      </c>
      <c r="U237" t="s">
        <v>1311</v>
      </c>
      <c r="V237" t="s">
        <v>1312</v>
      </c>
      <c r="W237" t="s">
        <v>1312</v>
      </c>
      <c r="X237" t="s">
        <v>1312</v>
      </c>
      <c r="Y237" t="s">
        <v>1312</v>
      </c>
      <c r="Z237" t="s">
        <v>1312</v>
      </c>
      <c r="AC237">
        <v>3</v>
      </c>
      <c r="AD237">
        <v>37000</v>
      </c>
      <c r="AE237">
        <v>30000</v>
      </c>
      <c r="AF237" t="s">
        <v>1351</v>
      </c>
      <c r="AH237" t="s">
        <v>1383</v>
      </c>
      <c r="AJ237" t="s">
        <v>1315</v>
      </c>
      <c r="AL237" t="s">
        <v>1316</v>
      </c>
      <c r="BS237" t="s">
        <v>1307</v>
      </c>
      <c r="CE237" t="s">
        <v>1355</v>
      </c>
      <c r="CF237" t="s">
        <v>1309</v>
      </c>
      <c r="CG237" t="s">
        <v>1309</v>
      </c>
      <c r="CH237" t="s">
        <v>1309</v>
      </c>
      <c r="CI237" t="s">
        <v>1309</v>
      </c>
      <c r="CJ237" t="s">
        <v>1309</v>
      </c>
      <c r="CK237" t="s">
        <v>1309</v>
      </c>
      <c r="CL237" t="s">
        <v>1309</v>
      </c>
      <c r="CM237" t="s">
        <v>1309</v>
      </c>
      <c r="CN237" t="s">
        <v>1310</v>
      </c>
      <c r="CO237" t="s">
        <v>1309</v>
      </c>
      <c r="CP237" t="s">
        <v>1309</v>
      </c>
      <c r="CQ237" t="s">
        <v>1309</v>
      </c>
      <c r="CR237" t="s">
        <v>1309</v>
      </c>
      <c r="CT237" t="s">
        <v>4434</v>
      </c>
      <c r="CV237" t="s">
        <v>1990</v>
      </c>
      <c r="CW237" t="s">
        <v>1309</v>
      </c>
      <c r="CX237" t="s">
        <v>1309</v>
      </c>
      <c r="CY237" t="s">
        <v>1309</v>
      </c>
      <c r="CZ237" t="s">
        <v>1310</v>
      </c>
      <c r="DA237" t="s">
        <v>1310</v>
      </c>
      <c r="DB237" t="s">
        <v>1309</v>
      </c>
      <c r="DC237" t="s">
        <v>1309</v>
      </c>
      <c r="DE237" t="s">
        <v>1358</v>
      </c>
      <c r="DG237">
        <v>3700</v>
      </c>
      <c r="DI237">
        <v>800</v>
      </c>
      <c r="DJ237" t="s">
        <v>1358</v>
      </c>
      <c r="DK237">
        <v>4800</v>
      </c>
      <c r="DM237">
        <v>900</v>
      </c>
      <c r="DN237" t="s">
        <v>1320</v>
      </c>
      <c r="DO237" t="s">
        <v>1310</v>
      </c>
      <c r="DP237" t="s">
        <v>1309</v>
      </c>
      <c r="DQ237" t="s">
        <v>1309</v>
      </c>
      <c r="DR237" t="s">
        <v>1309</v>
      </c>
      <c r="DS237" t="s">
        <v>1309</v>
      </c>
      <c r="DT237" t="s">
        <v>1310</v>
      </c>
      <c r="DU237" t="s">
        <v>1309</v>
      </c>
      <c r="DV237" t="s">
        <v>1309</v>
      </c>
      <c r="DW237" t="s">
        <v>1309</v>
      </c>
      <c r="DY237" t="s">
        <v>1456</v>
      </c>
      <c r="DZ237">
        <v>500</v>
      </c>
      <c r="EA237" t="s">
        <v>1319</v>
      </c>
      <c r="EC237" t="s">
        <v>1457</v>
      </c>
      <c r="ED237">
        <v>1000</v>
      </c>
      <c r="EE237" t="s">
        <v>1319</v>
      </c>
      <c r="EG237" t="s">
        <v>5356</v>
      </c>
      <c r="EI237" t="s">
        <v>1307</v>
      </c>
      <c r="ET237" t="s">
        <v>1307</v>
      </c>
      <c r="EV237" t="s">
        <v>1319</v>
      </c>
      <c r="EW237" t="s">
        <v>1414</v>
      </c>
      <c r="EX237" t="s">
        <v>1319</v>
      </c>
      <c r="EY237" t="s">
        <v>1307</v>
      </c>
      <c r="EZ237" t="s">
        <v>1307</v>
      </c>
      <c r="FA237" t="s">
        <v>2426</v>
      </c>
      <c r="FB237" t="s">
        <v>1309</v>
      </c>
      <c r="FC237" t="s">
        <v>1309</v>
      </c>
      <c r="FD237" t="s">
        <v>1309</v>
      </c>
      <c r="FE237" t="s">
        <v>1309</v>
      </c>
      <c r="FF237" t="s">
        <v>1309</v>
      </c>
      <c r="FG237" t="s">
        <v>1310</v>
      </c>
      <c r="FH237" t="s">
        <v>1310</v>
      </c>
      <c r="FI237" t="s">
        <v>1309</v>
      </c>
      <c r="FJ237" t="s">
        <v>1309</v>
      </c>
      <c r="FK237" t="s">
        <v>1309</v>
      </c>
      <c r="FL237" t="s">
        <v>1309</v>
      </c>
      <c r="FM237" t="s">
        <v>1310</v>
      </c>
      <c r="FN237" t="s">
        <v>1309</v>
      </c>
      <c r="FO237" t="s">
        <v>1310</v>
      </c>
      <c r="FP237" t="s">
        <v>1309</v>
      </c>
      <c r="FQ237" t="s">
        <v>1309</v>
      </c>
      <c r="FR237" t="s">
        <v>1309</v>
      </c>
      <c r="FT237" t="s">
        <v>1307</v>
      </c>
      <c r="GI237" t="s">
        <v>1448</v>
      </c>
      <c r="GJ237" t="s">
        <v>1448</v>
      </c>
      <c r="GT237" t="s">
        <v>1325</v>
      </c>
      <c r="GU237" t="s">
        <v>1310</v>
      </c>
      <c r="GV237" t="s">
        <v>1309</v>
      </c>
      <c r="GW237" t="s">
        <v>1309</v>
      </c>
      <c r="GX237" t="s">
        <v>1309</v>
      </c>
      <c r="GY237" t="s">
        <v>1309</v>
      </c>
      <c r="GZ237" t="s">
        <v>1309</v>
      </c>
      <c r="HA237" t="s">
        <v>1309</v>
      </c>
      <c r="HB237" t="s">
        <v>1309</v>
      </c>
      <c r="HC237" t="s">
        <v>1309</v>
      </c>
      <c r="HD237" t="s">
        <v>1309</v>
      </c>
      <c r="HE237" t="s">
        <v>1309</v>
      </c>
      <c r="HF237" t="s">
        <v>1309</v>
      </c>
      <c r="HH237" t="s">
        <v>1326</v>
      </c>
      <c r="HI237" t="s">
        <v>1326</v>
      </c>
      <c r="HJ237" t="s">
        <v>1326</v>
      </c>
      <c r="HK237" t="s">
        <v>1327</v>
      </c>
      <c r="HL237" t="s">
        <v>1364</v>
      </c>
      <c r="HM237" t="s">
        <v>1326</v>
      </c>
      <c r="IA237" t="s">
        <v>1319</v>
      </c>
      <c r="IB237" t="s">
        <v>1769</v>
      </c>
      <c r="IC237" t="s">
        <v>1310</v>
      </c>
      <c r="ID237" t="s">
        <v>1309</v>
      </c>
      <c r="IE237" t="s">
        <v>1309</v>
      </c>
      <c r="IF237" t="s">
        <v>1309</v>
      </c>
      <c r="IG237" t="s">
        <v>1310</v>
      </c>
      <c r="IH237" t="s">
        <v>1309</v>
      </c>
      <c r="II237" t="s">
        <v>1310</v>
      </c>
      <c r="IJ237" t="s">
        <v>1309</v>
      </c>
      <c r="IK237" t="s">
        <v>1309</v>
      </c>
      <c r="IL237" t="s">
        <v>1309</v>
      </c>
      <c r="IM237" t="s">
        <v>1309</v>
      </c>
      <c r="IN237" t="s">
        <v>1309</v>
      </c>
      <c r="IO237" t="s">
        <v>1309</v>
      </c>
      <c r="IQ237" t="s">
        <v>1308</v>
      </c>
      <c r="IS237" t="s">
        <v>1316</v>
      </c>
      <c r="JF237" t="s">
        <v>1413</v>
      </c>
      <c r="JG237" t="s">
        <v>2427</v>
      </c>
      <c r="JH237" t="s">
        <v>1310</v>
      </c>
      <c r="JI237" t="s">
        <v>1310</v>
      </c>
      <c r="JJ237" t="s">
        <v>1310</v>
      </c>
      <c r="JK237" t="s">
        <v>1310</v>
      </c>
      <c r="JL237" t="s">
        <v>1310</v>
      </c>
      <c r="JM237" t="s">
        <v>1309</v>
      </c>
      <c r="JN237" t="s">
        <v>1309</v>
      </c>
      <c r="JO237" t="s">
        <v>1309</v>
      </c>
      <c r="JQ237" s="92" t="s">
        <v>1516</v>
      </c>
      <c r="JR237" s="92" t="s">
        <v>1845</v>
      </c>
      <c r="JS237" s="92">
        <v>33</v>
      </c>
      <c r="JT237" s="92" t="s">
        <v>1319</v>
      </c>
      <c r="JU237" s="92" t="s">
        <v>1335</v>
      </c>
      <c r="JV237" s="92" t="s">
        <v>1336</v>
      </c>
      <c r="JW237" s="92" t="s">
        <v>1296</v>
      </c>
      <c r="JX237" s="92" t="s">
        <v>70</v>
      </c>
      <c r="JY237" s="92" t="s">
        <v>5549</v>
      </c>
      <c r="JZ237" s="92" t="s">
        <v>1398</v>
      </c>
      <c r="KA237" s="92" t="s">
        <v>4846</v>
      </c>
      <c r="KB237" s="92" t="s">
        <v>1415</v>
      </c>
      <c r="KC237" s="92" t="s">
        <v>109</v>
      </c>
      <c r="KD237" s="92" t="s">
        <v>4848</v>
      </c>
      <c r="KE237" s="92" t="s">
        <v>1416</v>
      </c>
      <c r="KF237" s="92">
        <v>4500</v>
      </c>
      <c r="KG237" s="92" t="s">
        <v>4438</v>
      </c>
      <c r="KH237" s="92" t="s">
        <v>192</v>
      </c>
      <c r="KI237" s="92" t="s">
        <v>109</v>
      </c>
      <c r="KJ237" s="92" t="s">
        <v>192</v>
      </c>
      <c r="KK237" s="92" t="s">
        <v>109</v>
      </c>
      <c r="KL237" s="92" t="s">
        <v>1341</v>
      </c>
      <c r="KM237" s="92">
        <v>5700</v>
      </c>
      <c r="KN237" s="92" t="s">
        <v>4438</v>
      </c>
      <c r="KO237" s="92" t="s">
        <v>1341</v>
      </c>
      <c r="KP237" s="92" t="s">
        <v>1375</v>
      </c>
      <c r="KQ237" s="92" t="s">
        <v>192</v>
      </c>
      <c r="KR237" s="92">
        <v>11</v>
      </c>
      <c r="KS237" s="92" t="s">
        <v>1345</v>
      </c>
      <c r="KT237" s="92" t="s">
        <v>1344</v>
      </c>
      <c r="KU237" s="92">
        <v>18</v>
      </c>
      <c r="KV237" s="92" t="s">
        <v>1461</v>
      </c>
      <c r="KW237" s="92" t="s">
        <v>1344</v>
      </c>
      <c r="KX237" s="92" t="s">
        <v>1376</v>
      </c>
      <c r="KY237" s="92" t="s">
        <v>1377</v>
      </c>
      <c r="KZ237" s="92" t="s">
        <v>5795</v>
      </c>
      <c r="LA237" s="92" t="s">
        <v>109</v>
      </c>
      <c r="LB237" s="92" t="s">
        <v>109</v>
      </c>
      <c r="LC237" s="92" t="s">
        <v>4438</v>
      </c>
      <c r="LD237" s="92" t="s">
        <v>4438</v>
      </c>
      <c r="LE237" s="92" t="s">
        <v>109</v>
      </c>
      <c r="LF237" s="92" t="s">
        <v>109</v>
      </c>
    </row>
    <row r="238" spans="1:318" x14ac:dyDescent="0.25">
      <c r="A238" t="s">
        <v>2428</v>
      </c>
      <c r="B238" t="s">
        <v>2429</v>
      </c>
      <c r="C238" t="s">
        <v>1304</v>
      </c>
      <c r="D238" t="s">
        <v>1305</v>
      </c>
      <c r="E238" t="s">
        <v>1306</v>
      </c>
      <c r="G238" t="s">
        <v>1307</v>
      </c>
      <c r="H238">
        <v>2</v>
      </c>
      <c r="I238" t="s">
        <v>1307</v>
      </c>
      <c r="J238" t="s">
        <v>1382</v>
      </c>
      <c r="K238" t="s">
        <v>1309</v>
      </c>
      <c r="L238" t="s">
        <v>1310</v>
      </c>
      <c r="M238" t="s">
        <v>1309</v>
      </c>
      <c r="N238" t="s">
        <v>1309</v>
      </c>
      <c r="O238" t="s">
        <v>1309</v>
      </c>
      <c r="P238" t="s">
        <v>1310</v>
      </c>
      <c r="Q238" t="s">
        <v>1309</v>
      </c>
      <c r="R238" t="s">
        <v>1309</v>
      </c>
      <c r="S238">
        <v>1</v>
      </c>
      <c r="U238" t="s">
        <v>1312</v>
      </c>
      <c r="V238" t="s">
        <v>1312</v>
      </c>
      <c r="W238" t="s">
        <v>1312</v>
      </c>
      <c r="X238" t="s">
        <v>1312</v>
      </c>
      <c r="Y238" t="s">
        <v>1312</v>
      </c>
      <c r="Z238" t="s">
        <v>1312</v>
      </c>
      <c r="AC238">
        <v>1</v>
      </c>
      <c r="AD238">
        <v>6000</v>
      </c>
      <c r="AE238">
        <v>6000</v>
      </c>
      <c r="AF238" t="s">
        <v>1313</v>
      </c>
      <c r="AH238" t="s">
        <v>1383</v>
      </c>
      <c r="AJ238" t="s">
        <v>1315</v>
      </c>
      <c r="AL238" t="s">
        <v>1316</v>
      </c>
      <c r="BS238" t="s">
        <v>1307</v>
      </c>
      <c r="CE238" t="s">
        <v>2135</v>
      </c>
      <c r="CF238" t="s">
        <v>1309</v>
      </c>
      <c r="CG238" t="s">
        <v>1309</v>
      </c>
      <c r="CH238" t="s">
        <v>1309</v>
      </c>
      <c r="CI238" t="s">
        <v>1309</v>
      </c>
      <c r="CJ238" t="s">
        <v>1309</v>
      </c>
      <c r="CK238" t="s">
        <v>1310</v>
      </c>
      <c r="CL238" t="s">
        <v>1309</v>
      </c>
      <c r="CM238" t="s">
        <v>1309</v>
      </c>
      <c r="CN238" t="s">
        <v>1309</v>
      </c>
      <c r="CO238" t="s">
        <v>1309</v>
      </c>
      <c r="CP238" t="s">
        <v>1309</v>
      </c>
      <c r="CQ238" t="s">
        <v>1309</v>
      </c>
      <c r="CR238" t="s">
        <v>1309</v>
      </c>
      <c r="CT238" t="s">
        <v>4434</v>
      </c>
      <c r="CV238" t="s">
        <v>1308</v>
      </c>
      <c r="CW238" t="s">
        <v>1310</v>
      </c>
      <c r="CX238" t="s">
        <v>1309</v>
      </c>
      <c r="CY238" t="s">
        <v>1309</v>
      </c>
      <c r="CZ238" t="s">
        <v>1309</v>
      </c>
      <c r="DA238" t="s">
        <v>1309</v>
      </c>
      <c r="DB238" t="s">
        <v>1309</v>
      </c>
      <c r="DC238" t="s">
        <v>1309</v>
      </c>
      <c r="DE238" t="s">
        <v>1358</v>
      </c>
      <c r="DG238">
        <v>900</v>
      </c>
      <c r="DI238">
        <v>400</v>
      </c>
      <c r="DJ238" t="s">
        <v>1358</v>
      </c>
      <c r="DK238">
        <v>1500</v>
      </c>
      <c r="DM238">
        <v>600</v>
      </c>
      <c r="DN238" t="s">
        <v>1320</v>
      </c>
      <c r="DO238" t="s">
        <v>1310</v>
      </c>
      <c r="DP238" t="s">
        <v>1309</v>
      </c>
      <c r="DQ238" t="s">
        <v>1309</v>
      </c>
      <c r="DR238" t="s">
        <v>1309</v>
      </c>
      <c r="DS238" t="s">
        <v>1309</v>
      </c>
      <c r="DT238" t="s">
        <v>1310</v>
      </c>
      <c r="DU238" t="s">
        <v>1309</v>
      </c>
      <c r="DV238" t="s">
        <v>1309</v>
      </c>
      <c r="DW238" t="s">
        <v>1309</v>
      </c>
      <c r="DY238" t="s">
        <v>1456</v>
      </c>
      <c r="DZ238">
        <v>300</v>
      </c>
      <c r="EA238" t="s">
        <v>1319</v>
      </c>
      <c r="EC238" t="s">
        <v>1457</v>
      </c>
      <c r="ED238">
        <v>800</v>
      </c>
      <c r="EE238" t="s">
        <v>1319</v>
      </c>
      <c r="EG238" t="s">
        <v>5357</v>
      </c>
      <c r="ET238" t="s">
        <v>1434</v>
      </c>
      <c r="EV238" t="s">
        <v>1319</v>
      </c>
      <c r="EW238" t="s">
        <v>1361</v>
      </c>
      <c r="EX238" t="s">
        <v>1319</v>
      </c>
      <c r="EY238" t="s">
        <v>1319</v>
      </c>
      <c r="FA238" t="s">
        <v>2430</v>
      </c>
      <c r="FB238" t="s">
        <v>1309</v>
      </c>
      <c r="FC238" t="s">
        <v>1309</v>
      </c>
      <c r="FD238" t="s">
        <v>1309</v>
      </c>
      <c r="FE238" t="s">
        <v>1309</v>
      </c>
      <c r="FF238" t="s">
        <v>1309</v>
      </c>
      <c r="FG238" t="s">
        <v>1309</v>
      </c>
      <c r="FH238" t="s">
        <v>1310</v>
      </c>
      <c r="FI238" t="s">
        <v>1310</v>
      </c>
      <c r="FJ238" t="s">
        <v>1309</v>
      </c>
      <c r="FK238" t="s">
        <v>1310</v>
      </c>
      <c r="FL238" t="s">
        <v>1309</v>
      </c>
      <c r="FM238" t="s">
        <v>1309</v>
      </c>
      <c r="FN238" t="s">
        <v>1310</v>
      </c>
      <c r="FO238" t="s">
        <v>1309</v>
      </c>
      <c r="FP238" t="s">
        <v>1309</v>
      </c>
      <c r="FQ238" t="s">
        <v>1309</v>
      </c>
      <c r="FR238" t="s">
        <v>1309</v>
      </c>
      <c r="FT238" t="s">
        <v>1319</v>
      </c>
      <c r="FU238" t="s">
        <v>2431</v>
      </c>
      <c r="FV238" t="s">
        <v>1310</v>
      </c>
      <c r="FW238" t="s">
        <v>1309</v>
      </c>
      <c r="FX238" t="s">
        <v>1310</v>
      </c>
      <c r="FY238" t="s">
        <v>1309</v>
      </c>
      <c r="FZ238" t="s">
        <v>1309</v>
      </c>
      <c r="GA238" t="s">
        <v>1310</v>
      </c>
      <c r="GB238" t="s">
        <v>1309</v>
      </c>
      <c r="GC238" t="s">
        <v>1309</v>
      </c>
      <c r="GD238" t="s">
        <v>1309</v>
      </c>
      <c r="GE238" t="s">
        <v>1309</v>
      </c>
      <c r="GF238" t="s">
        <v>1309</v>
      </c>
      <c r="GG238" t="s">
        <v>1309</v>
      </c>
      <c r="GI238" t="s">
        <v>1324</v>
      </c>
      <c r="GJ238" t="s">
        <v>1324</v>
      </c>
      <c r="GT238" t="s">
        <v>1325</v>
      </c>
      <c r="GU238" t="s">
        <v>1310</v>
      </c>
      <c r="GV238" t="s">
        <v>1309</v>
      </c>
      <c r="GW238" t="s">
        <v>1309</v>
      </c>
      <c r="GX238" t="s">
        <v>1309</v>
      </c>
      <c r="GY238" t="s">
        <v>1309</v>
      </c>
      <c r="GZ238" t="s">
        <v>1309</v>
      </c>
      <c r="HA238" t="s">
        <v>1309</v>
      </c>
      <c r="HB238" t="s">
        <v>1309</v>
      </c>
      <c r="HC238" t="s">
        <v>1309</v>
      </c>
      <c r="HD238" t="s">
        <v>1309</v>
      </c>
      <c r="HE238" t="s">
        <v>1309</v>
      </c>
      <c r="HF238" t="s">
        <v>1309</v>
      </c>
      <c r="HH238" t="s">
        <v>1390</v>
      </c>
      <c r="HI238" t="s">
        <v>1390</v>
      </c>
      <c r="HJ238" t="s">
        <v>1390</v>
      </c>
      <c r="HK238" t="s">
        <v>1390</v>
      </c>
      <c r="HL238" t="s">
        <v>1328</v>
      </c>
      <c r="HM238" t="s">
        <v>1390</v>
      </c>
      <c r="HN238" t="s">
        <v>2432</v>
      </c>
      <c r="HO238" t="s">
        <v>1309</v>
      </c>
      <c r="HP238" t="s">
        <v>1310</v>
      </c>
      <c r="HQ238" t="s">
        <v>1310</v>
      </c>
      <c r="HR238" t="s">
        <v>1309</v>
      </c>
      <c r="HS238" t="s">
        <v>1310</v>
      </c>
      <c r="HT238" t="s">
        <v>1309</v>
      </c>
      <c r="HU238" t="s">
        <v>1309</v>
      </c>
      <c r="HV238" t="s">
        <v>1309</v>
      </c>
      <c r="HW238" t="s">
        <v>1309</v>
      </c>
      <c r="HX238" t="s">
        <v>1309</v>
      </c>
      <c r="HY238" t="s">
        <v>1309</v>
      </c>
      <c r="IA238" t="s">
        <v>1319</v>
      </c>
      <c r="IB238" t="s">
        <v>2433</v>
      </c>
      <c r="IC238" t="s">
        <v>1309</v>
      </c>
      <c r="ID238" t="s">
        <v>1309</v>
      </c>
      <c r="IE238" t="s">
        <v>1309</v>
      </c>
      <c r="IF238" t="s">
        <v>1310</v>
      </c>
      <c r="IG238" t="s">
        <v>1310</v>
      </c>
      <c r="IH238" t="s">
        <v>1309</v>
      </c>
      <c r="II238" t="s">
        <v>1309</v>
      </c>
      <c r="IJ238" t="s">
        <v>1309</v>
      </c>
      <c r="IK238" t="s">
        <v>1309</v>
      </c>
      <c r="IL238" t="s">
        <v>1309</v>
      </c>
      <c r="IM238" t="s">
        <v>1309</v>
      </c>
      <c r="IN238" t="s">
        <v>1309</v>
      </c>
      <c r="IO238" t="s">
        <v>1309</v>
      </c>
      <c r="IQ238" t="s">
        <v>1330</v>
      </c>
      <c r="IS238" t="s">
        <v>1316</v>
      </c>
      <c r="JF238" t="s">
        <v>1316</v>
      </c>
      <c r="JG238" t="s">
        <v>1414</v>
      </c>
      <c r="JH238" t="s">
        <v>1309</v>
      </c>
      <c r="JI238" t="s">
        <v>1309</v>
      </c>
      <c r="JJ238" t="s">
        <v>1309</v>
      </c>
      <c r="JK238" t="s">
        <v>1309</v>
      </c>
      <c r="JL238" t="s">
        <v>1309</v>
      </c>
      <c r="JM238" t="s">
        <v>1309</v>
      </c>
      <c r="JN238" t="s">
        <v>1310</v>
      </c>
      <c r="JO238" t="s">
        <v>1309</v>
      </c>
      <c r="JQ238" s="92" t="s">
        <v>1333</v>
      </c>
      <c r="JR238" s="92" t="s">
        <v>1334</v>
      </c>
      <c r="JS238" s="92">
        <v>31</v>
      </c>
      <c r="JT238" s="92" t="s">
        <v>1319</v>
      </c>
      <c r="JU238" s="92" t="s">
        <v>1335</v>
      </c>
      <c r="JV238" s="92" t="s">
        <v>1336</v>
      </c>
      <c r="JW238" s="92" t="s">
        <v>1296</v>
      </c>
      <c r="JX238" s="92" t="s">
        <v>71</v>
      </c>
      <c r="JY238" s="92" t="s">
        <v>5549</v>
      </c>
      <c r="JZ238" s="92" t="s">
        <v>1398</v>
      </c>
      <c r="KA238" s="92" t="s">
        <v>4845</v>
      </c>
      <c r="KB238" s="92" t="s">
        <v>1399</v>
      </c>
      <c r="KC238" s="92" t="s">
        <v>109</v>
      </c>
      <c r="KD238" s="92" t="s">
        <v>4844</v>
      </c>
      <c r="KE238" s="92" t="s">
        <v>1424</v>
      </c>
      <c r="KF238" s="92">
        <v>1300</v>
      </c>
      <c r="KG238" s="92" t="s">
        <v>4438</v>
      </c>
      <c r="KH238" s="92" t="s">
        <v>192</v>
      </c>
      <c r="KI238" s="92" t="s">
        <v>109</v>
      </c>
      <c r="KJ238" s="92" t="s">
        <v>192</v>
      </c>
      <c r="KK238" s="92" t="s">
        <v>109</v>
      </c>
      <c r="KL238" s="92" t="s">
        <v>1440</v>
      </c>
      <c r="KM238" s="92">
        <v>2100</v>
      </c>
      <c r="KN238" s="92" t="s">
        <v>4439</v>
      </c>
      <c r="KO238" s="92" t="s">
        <v>1425</v>
      </c>
      <c r="KP238" s="92" t="s">
        <v>1460</v>
      </c>
      <c r="KQ238" s="92" t="s">
        <v>192</v>
      </c>
      <c r="KR238" s="92">
        <v>23</v>
      </c>
      <c r="KS238" s="92" t="s">
        <v>1343</v>
      </c>
      <c r="KT238" s="92" t="s">
        <v>1344</v>
      </c>
      <c r="KU238" s="92">
        <v>38</v>
      </c>
      <c r="KV238" s="92" t="s">
        <v>1441</v>
      </c>
      <c r="KW238" s="92" t="s">
        <v>1344</v>
      </c>
      <c r="KX238" s="92" t="s">
        <v>1376</v>
      </c>
      <c r="KY238" s="92" t="s">
        <v>1377</v>
      </c>
      <c r="KZ238" s="92" t="s">
        <v>5795</v>
      </c>
      <c r="LA238" s="92" t="s">
        <v>109</v>
      </c>
      <c r="LB238" s="92" t="s">
        <v>109</v>
      </c>
      <c r="LC238" s="92" t="s">
        <v>4438</v>
      </c>
      <c r="LD238" s="92" t="s">
        <v>4439</v>
      </c>
      <c r="LE238" s="92" t="s">
        <v>192</v>
      </c>
      <c r="LF238" s="92" t="s">
        <v>192</v>
      </c>
    </row>
    <row r="239" spans="1:318" x14ac:dyDescent="0.25">
      <c r="A239" t="s">
        <v>2434</v>
      </c>
      <c r="B239" t="s">
        <v>2435</v>
      </c>
      <c r="C239" t="s">
        <v>1304</v>
      </c>
      <c r="D239" t="s">
        <v>1429</v>
      </c>
      <c r="E239" t="s">
        <v>1306</v>
      </c>
      <c r="G239" t="s">
        <v>1307</v>
      </c>
      <c r="H239">
        <v>2</v>
      </c>
      <c r="I239" t="s">
        <v>1307</v>
      </c>
      <c r="J239" t="s">
        <v>1308</v>
      </c>
      <c r="K239" t="s">
        <v>1309</v>
      </c>
      <c r="L239" t="s">
        <v>1309</v>
      </c>
      <c r="M239" t="s">
        <v>1309</v>
      </c>
      <c r="N239" t="s">
        <v>1309</v>
      </c>
      <c r="O239" t="s">
        <v>1309</v>
      </c>
      <c r="P239" t="s">
        <v>1309</v>
      </c>
      <c r="Q239" t="s">
        <v>1310</v>
      </c>
      <c r="R239" t="s">
        <v>1309</v>
      </c>
      <c r="U239" t="s">
        <v>1312</v>
      </c>
      <c r="V239" t="s">
        <v>1312</v>
      </c>
      <c r="W239" t="s">
        <v>1312</v>
      </c>
      <c r="X239" t="s">
        <v>1312</v>
      </c>
      <c r="Y239" t="s">
        <v>1312</v>
      </c>
      <c r="Z239" t="s">
        <v>1312</v>
      </c>
      <c r="AC239">
        <v>2</v>
      </c>
      <c r="AD239">
        <v>9000</v>
      </c>
      <c r="AE239">
        <v>7000</v>
      </c>
      <c r="AF239" t="s">
        <v>1313</v>
      </c>
      <c r="AH239" t="s">
        <v>1314</v>
      </c>
      <c r="AJ239" t="s">
        <v>1315</v>
      </c>
      <c r="AL239" t="s">
        <v>1316</v>
      </c>
      <c r="BS239" t="s">
        <v>1307</v>
      </c>
      <c r="CE239" t="s">
        <v>1355</v>
      </c>
      <c r="CF239" t="s">
        <v>1309</v>
      </c>
      <c r="CG239" t="s">
        <v>1309</v>
      </c>
      <c r="CH239" t="s">
        <v>1309</v>
      </c>
      <c r="CI239" t="s">
        <v>1309</v>
      </c>
      <c r="CJ239" t="s">
        <v>1309</v>
      </c>
      <c r="CK239" t="s">
        <v>1309</v>
      </c>
      <c r="CL239" t="s">
        <v>1309</v>
      </c>
      <c r="CM239" t="s">
        <v>1309</v>
      </c>
      <c r="CN239" t="s">
        <v>1310</v>
      </c>
      <c r="CO239" t="s">
        <v>1309</v>
      </c>
      <c r="CP239" t="s">
        <v>1309</v>
      </c>
      <c r="CQ239" t="s">
        <v>1309</v>
      </c>
      <c r="CR239" t="s">
        <v>1309</v>
      </c>
      <c r="CT239" t="s">
        <v>4435</v>
      </c>
      <c r="CV239" t="s">
        <v>1308</v>
      </c>
      <c r="CW239" t="s">
        <v>1310</v>
      </c>
      <c r="CX239" t="s">
        <v>1309</v>
      </c>
      <c r="CY239" t="s">
        <v>1309</v>
      </c>
      <c r="CZ239" t="s">
        <v>1309</v>
      </c>
      <c r="DA239" t="s">
        <v>1309</v>
      </c>
      <c r="DB239" t="s">
        <v>1309</v>
      </c>
      <c r="DC239" t="s">
        <v>1309</v>
      </c>
      <c r="DE239" t="s">
        <v>1358</v>
      </c>
      <c r="DF239" t="s">
        <v>1319</v>
      </c>
      <c r="DG239">
        <v>250</v>
      </c>
      <c r="DH239">
        <v>800</v>
      </c>
      <c r="DI239">
        <v>400</v>
      </c>
      <c r="DJ239" t="s">
        <v>1358</v>
      </c>
      <c r="DK239">
        <v>300</v>
      </c>
      <c r="DL239">
        <v>1500</v>
      </c>
      <c r="DM239">
        <v>300</v>
      </c>
      <c r="DN239" t="s">
        <v>1320</v>
      </c>
      <c r="DO239" t="s">
        <v>1310</v>
      </c>
      <c r="DP239" t="s">
        <v>1309</v>
      </c>
      <c r="DQ239" t="s">
        <v>1309</v>
      </c>
      <c r="DR239" t="s">
        <v>1309</v>
      </c>
      <c r="DS239" t="s">
        <v>1309</v>
      </c>
      <c r="DT239" t="s">
        <v>1310</v>
      </c>
      <c r="DU239" t="s">
        <v>1309</v>
      </c>
      <c r="DV239" t="s">
        <v>1309</v>
      </c>
      <c r="DW239" t="s">
        <v>1309</v>
      </c>
      <c r="DY239" t="s">
        <v>1456</v>
      </c>
      <c r="DZ239">
        <v>300</v>
      </c>
      <c r="EA239" t="s">
        <v>1319</v>
      </c>
      <c r="EC239" t="s">
        <v>1457</v>
      </c>
      <c r="ED239">
        <v>800</v>
      </c>
      <c r="EE239" t="s">
        <v>1319</v>
      </c>
      <c r="EG239" t="s">
        <v>5357</v>
      </c>
      <c r="ET239" t="s">
        <v>1434</v>
      </c>
      <c r="EV239" t="s">
        <v>1319</v>
      </c>
      <c r="EW239" t="s">
        <v>1361</v>
      </c>
      <c r="EX239" t="s">
        <v>1307</v>
      </c>
      <c r="EY239" t="s">
        <v>1307</v>
      </c>
      <c r="FT239" t="s">
        <v>1307</v>
      </c>
      <c r="GI239" t="s">
        <v>1324</v>
      </c>
      <c r="GJ239" t="s">
        <v>1324</v>
      </c>
      <c r="GT239" t="s">
        <v>1325</v>
      </c>
      <c r="GU239" t="s">
        <v>1310</v>
      </c>
      <c r="GV239" t="s">
        <v>1309</v>
      </c>
      <c r="GW239" t="s">
        <v>1309</v>
      </c>
      <c r="GX239" t="s">
        <v>1309</v>
      </c>
      <c r="GY239" t="s">
        <v>1309</v>
      </c>
      <c r="GZ239" t="s">
        <v>1309</v>
      </c>
      <c r="HA239" t="s">
        <v>1309</v>
      </c>
      <c r="HB239" t="s">
        <v>1309</v>
      </c>
      <c r="HC239" t="s">
        <v>1309</v>
      </c>
      <c r="HD239" t="s">
        <v>1309</v>
      </c>
      <c r="HE239" t="s">
        <v>1309</v>
      </c>
      <c r="HF239" t="s">
        <v>1309</v>
      </c>
      <c r="HH239" t="s">
        <v>1390</v>
      </c>
      <c r="HI239" t="s">
        <v>1390</v>
      </c>
      <c r="HJ239" t="s">
        <v>1390</v>
      </c>
      <c r="HK239" t="s">
        <v>1390</v>
      </c>
      <c r="HL239" t="s">
        <v>1328</v>
      </c>
      <c r="HM239" t="s">
        <v>1390</v>
      </c>
      <c r="HN239" t="s">
        <v>1592</v>
      </c>
      <c r="HO239" t="s">
        <v>1309</v>
      </c>
      <c r="HP239" t="s">
        <v>1309</v>
      </c>
      <c r="HQ239" t="s">
        <v>1310</v>
      </c>
      <c r="HR239" t="s">
        <v>1309</v>
      </c>
      <c r="HS239" t="s">
        <v>1309</v>
      </c>
      <c r="HT239" t="s">
        <v>1309</v>
      </c>
      <c r="HU239" t="s">
        <v>1309</v>
      </c>
      <c r="HV239" t="s">
        <v>1309</v>
      </c>
      <c r="HW239" t="s">
        <v>1309</v>
      </c>
      <c r="HX239" t="s">
        <v>1309</v>
      </c>
      <c r="HY239" t="s">
        <v>1309</v>
      </c>
      <c r="IA239" t="s">
        <v>1319</v>
      </c>
      <c r="IB239" t="s">
        <v>1870</v>
      </c>
      <c r="IC239" t="s">
        <v>1309</v>
      </c>
      <c r="ID239" t="s">
        <v>1309</v>
      </c>
      <c r="IE239" t="s">
        <v>1309</v>
      </c>
      <c r="IF239" t="s">
        <v>1310</v>
      </c>
      <c r="IG239" t="s">
        <v>1310</v>
      </c>
      <c r="IH239" t="s">
        <v>1309</v>
      </c>
      <c r="II239" t="s">
        <v>1309</v>
      </c>
      <c r="IJ239" t="s">
        <v>1309</v>
      </c>
      <c r="IK239" t="s">
        <v>1309</v>
      </c>
      <c r="IL239" t="s">
        <v>1309</v>
      </c>
      <c r="IM239" t="s">
        <v>1309</v>
      </c>
      <c r="IN239" t="s">
        <v>1309</v>
      </c>
      <c r="IO239" t="s">
        <v>1309</v>
      </c>
      <c r="IQ239" t="s">
        <v>1330</v>
      </c>
      <c r="IS239" t="s">
        <v>1316</v>
      </c>
      <c r="JF239" t="s">
        <v>1316</v>
      </c>
      <c r="JG239" t="s">
        <v>1393</v>
      </c>
      <c r="JH239" t="s">
        <v>1310</v>
      </c>
      <c r="JI239" t="s">
        <v>1309</v>
      </c>
      <c r="JJ239" t="s">
        <v>1309</v>
      </c>
      <c r="JK239" t="s">
        <v>1309</v>
      </c>
      <c r="JL239" t="s">
        <v>1309</v>
      </c>
      <c r="JM239" t="s">
        <v>1309</v>
      </c>
      <c r="JN239" t="s">
        <v>1309</v>
      </c>
      <c r="JO239" t="s">
        <v>1309</v>
      </c>
      <c r="JQ239" s="92" t="s">
        <v>1333</v>
      </c>
      <c r="JR239" s="92" t="s">
        <v>1334</v>
      </c>
      <c r="JS239" s="92">
        <v>53</v>
      </c>
      <c r="JT239" s="92" t="s">
        <v>1319</v>
      </c>
      <c r="JU239" s="92" t="s">
        <v>1335</v>
      </c>
      <c r="JV239" s="92" t="s">
        <v>1336</v>
      </c>
      <c r="JW239" s="92" t="s">
        <v>1296</v>
      </c>
      <c r="JX239" s="92" t="s">
        <v>71</v>
      </c>
      <c r="JY239" s="92" t="s">
        <v>5549</v>
      </c>
      <c r="JZ239" s="92" t="s">
        <v>1337</v>
      </c>
      <c r="KA239" s="92" t="s">
        <v>4845</v>
      </c>
      <c r="KB239" s="92" t="s">
        <v>1338</v>
      </c>
      <c r="KC239" s="92" t="s">
        <v>109</v>
      </c>
      <c r="KD239" s="92" t="s">
        <v>4847</v>
      </c>
      <c r="KE239" s="92" t="s">
        <v>1424</v>
      </c>
      <c r="KF239" s="92">
        <v>1450</v>
      </c>
      <c r="KG239" s="92" t="s">
        <v>4438</v>
      </c>
      <c r="KH239" s="92" t="s">
        <v>192</v>
      </c>
      <c r="KI239" s="92" t="s">
        <v>192</v>
      </c>
      <c r="KJ239" s="92" t="s">
        <v>192</v>
      </c>
      <c r="KK239" s="92" t="s">
        <v>192</v>
      </c>
      <c r="KL239" s="92" t="s">
        <v>1440</v>
      </c>
      <c r="KM239" s="92">
        <v>2100</v>
      </c>
      <c r="KN239" s="92" t="s">
        <v>4438</v>
      </c>
      <c r="KO239" s="92" t="s">
        <v>1425</v>
      </c>
      <c r="KP239" s="92" t="s">
        <v>1342</v>
      </c>
      <c r="KQ239" s="92" t="s">
        <v>192</v>
      </c>
      <c r="KR239" s="92">
        <v>21</v>
      </c>
      <c r="KS239" s="92" t="s">
        <v>1343</v>
      </c>
      <c r="KT239" s="92" t="s">
        <v>1344</v>
      </c>
      <c r="KU239" s="92">
        <v>38</v>
      </c>
      <c r="KV239" s="92" t="s">
        <v>1441</v>
      </c>
      <c r="KW239" s="92" t="s">
        <v>1344</v>
      </c>
      <c r="KX239" s="92" t="s">
        <v>1376</v>
      </c>
      <c r="KY239" s="92" t="s">
        <v>1377</v>
      </c>
      <c r="KZ239" s="92" t="s">
        <v>5795</v>
      </c>
      <c r="LA239" s="92" t="s">
        <v>109</v>
      </c>
      <c r="LB239" s="92" t="s">
        <v>109</v>
      </c>
      <c r="LC239" s="92" t="s">
        <v>4438</v>
      </c>
      <c r="LD239" s="92" t="s">
        <v>4438</v>
      </c>
      <c r="LE239" s="92" t="s">
        <v>109</v>
      </c>
      <c r="LF239" s="92" t="s">
        <v>192</v>
      </c>
    </row>
    <row r="240" spans="1:318" x14ac:dyDescent="0.25">
      <c r="A240" t="s">
        <v>2436</v>
      </c>
      <c r="B240" t="s">
        <v>2437</v>
      </c>
      <c r="C240" t="s">
        <v>1304</v>
      </c>
      <c r="D240" t="s">
        <v>1305</v>
      </c>
      <c r="E240" t="s">
        <v>1306</v>
      </c>
      <c r="G240" t="s">
        <v>1307</v>
      </c>
      <c r="H240">
        <v>3</v>
      </c>
      <c r="I240" t="s">
        <v>1307</v>
      </c>
      <c r="J240" t="s">
        <v>1430</v>
      </c>
      <c r="K240" t="s">
        <v>1309</v>
      </c>
      <c r="L240" t="s">
        <v>1309</v>
      </c>
      <c r="M240" t="s">
        <v>1310</v>
      </c>
      <c r="N240" t="s">
        <v>1309</v>
      </c>
      <c r="O240" t="s">
        <v>1309</v>
      </c>
      <c r="P240" t="s">
        <v>1309</v>
      </c>
      <c r="Q240" t="s">
        <v>1309</v>
      </c>
      <c r="R240" t="s">
        <v>1309</v>
      </c>
      <c r="T240">
        <v>2</v>
      </c>
      <c r="U240" t="s">
        <v>1311</v>
      </c>
      <c r="V240" t="s">
        <v>1312</v>
      </c>
      <c r="W240" t="s">
        <v>1311</v>
      </c>
      <c r="X240" t="s">
        <v>1312</v>
      </c>
      <c r="Y240" t="s">
        <v>1312</v>
      </c>
      <c r="Z240" t="s">
        <v>1312</v>
      </c>
      <c r="AC240">
        <v>2</v>
      </c>
      <c r="AD240">
        <v>6000</v>
      </c>
      <c r="AE240">
        <v>6000</v>
      </c>
      <c r="AF240" t="s">
        <v>1313</v>
      </c>
      <c r="AH240" t="s">
        <v>1314</v>
      </c>
      <c r="AJ240" t="s">
        <v>1315</v>
      </c>
      <c r="AL240" t="s">
        <v>1316</v>
      </c>
      <c r="BS240" t="s">
        <v>1307</v>
      </c>
      <c r="CE240" t="s">
        <v>2055</v>
      </c>
      <c r="CF240" t="s">
        <v>1309</v>
      </c>
      <c r="CG240" t="s">
        <v>1309</v>
      </c>
      <c r="CH240" t="s">
        <v>1309</v>
      </c>
      <c r="CI240" t="s">
        <v>1309</v>
      </c>
      <c r="CJ240" t="s">
        <v>1309</v>
      </c>
      <c r="CK240" t="s">
        <v>1310</v>
      </c>
      <c r="CL240" t="s">
        <v>1309</v>
      </c>
      <c r="CM240" t="s">
        <v>1309</v>
      </c>
      <c r="CN240" t="s">
        <v>1310</v>
      </c>
      <c r="CO240" t="s">
        <v>1309</v>
      </c>
      <c r="CP240" t="s">
        <v>1309</v>
      </c>
      <c r="CQ240" t="s">
        <v>1309</v>
      </c>
      <c r="CR240" t="s">
        <v>1309</v>
      </c>
      <c r="CT240" t="s">
        <v>4434</v>
      </c>
      <c r="CV240" t="s">
        <v>1308</v>
      </c>
      <c r="CW240" t="s">
        <v>1310</v>
      </c>
      <c r="CX240" t="s">
        <v>1309</v>
      </c>
      <c r="CY240" t="s">
        <v>1309</v>
      </c>
      <c r="CZ240" t="s">
        <v>1309</v>
      </c>
      <c r="DA240" t="s">
        <v>1309</v>
      </c>
      <c r="DB240" t="s">
        <v>1309</v>
      </c>
      <c r="DC240" t="s">
        <v>1309</v>
      </c>
      <c r="DE240" t="s">
        <v>1358</v>
      </c>
      <c r="DG240">
        <v>1000</v>
      </c>
      <c r="DI240">
        <v>400</v>
      </c>
      <c r="DJ240" t="s">
        <v>1358</v>
      </c>
      <c r="DK240">
        <v>2300</v>
      </c>
      <c r="DM240">
        <v>500</v>
      </c>
      <c r="DN240" t="s">
        <v>1320</v>
      </c>
      <c r="DO240" t="s">
        <v>1310</v>
      </c>
      <c r="DP240" t="s">
        <v>1309</v>
      </c>
      <c r="DQ240" t="s">
        <v>1309</v>
      </c>
      <c r="DR240" t="s">
        <v>1309</v>
      </c>
      <c r="DS240" t="s">
        <v>1309</v>
      </c>
      <c r="DT240" t="s">
        <v>1310</v>
      </c>
      <c r="DU240" t="s">
        <v>1309</v>
      </c>
      <c r="DV240" t="s">
        <v>1309</v>
      </c>
      <c r="DW240" t="s">
        <v>1309</v>
      </c>
      <c r="DY240" t="s">
        <v>1456</v>
      </c>
      <c r="DZ240">
        <v>500</v>
      </c>
      <c r="EA240" t="s">
        <v>1319</v>
      </c>
      <c r="EC240" t="s">
        <v>1457</v>
      </c>
      <c r="ED240">
        <v>800</v>
      </c>
      <c r="EE240" t="s">
        <v>1319</v>
      </c>
      <c r="EG240" t="s">
        <v>5357</v>
      </c>
      <c r="ET240" t="s">
        <v>1434</v>
      </c>
      <c r="EV240" t="s">
        <v>1319</v>
      </c>
      <c r="EW240" t="s">
        <v>1361</v>
      </c>
      <c r="EX240" t="s">
        <v>1319</v>
      </c>
      <c r="EY240" t="s">
        <v>1319</v>
      </c>
      <c r="FA240" t="s">
        <v>2326</v>
      </c>
      <c r="FB240" t="s">
        <v>1310</v>
      </c>
      <c r="FC240" t="s">
        <v>1309</v>
      </c>
      <c r="FD240" t="s">
        <v>1309</v>
      </c>
      <c r="FE240" t="s">
        <v>1309</v>
      </c>
      <c r="FF240" t="s">
        <v>1309</v>
      </c>
      <c r="FG240" t="s">
        <v>1309</v>
      </c>
      <c r="FH240" t="s">
        <v>1309</v>
      </c>
      <c r="FI240" t="s">
        <v>1310</v>
      </c>
      <c r="FJ240" t="s">
        <v>1309</v>
      </c>
      <c r="FK240" t="s">
        <v>1309</v>
      </c>
      <c r="FL240" t="s">
        <v>1309</v>
      </c>
      <c r="FM240" t="s">
        <v>1309</v>
      </c>
      <c r="FN240" t="s">
        <v>1309</v>
      </c>
      <c r="FO240" t="s">
        <v>1309</v>
      </c>
      <c r="FP240" t="s">
        <v>1309</v>
      </c>
      <c r="FQ240" t="s">
        <v>1309</v>
      </c>
      <c r="FR240" t="s">
        <v>1309</v>
      </c>
      <c r="FT240" t="s">
        <v>1319</v>
      </c>
      <c r="FU240" t="s">
        <v>2013</v>
      </c>
      <c r="FV240" t="s">
        <v>1310</v>
      </c>
      <c r="FW240" t="s">
        <v>1310</v>
      </c>
      <c r="FX240" t="s">
        <v>1310</v>
      </c>
      <c r="FY240" t="s">
        <v>1309</v>
      </c>
      <c r="FZ240" t="s">
        <v>1309</v>
      </c>
      <c r="GA240" t="s">
        <v>1309</v>
      </c>
      <c r="GB240" t="s">
        <v>1309</v>
      </c>
      <c r="GC240" t="s">
        <v>1309</v>
      </c>
      <c r="GD240" t="s">
        <v>1309</v>
      </c>
      <c r="GE240" t="s">
        <v>1309</v>
      </c>
      <c r="GF240" t="s">
        <v>1309</v>
      </c>
      <c r="GG240" t="s">
        <v>1309</v>
      </c>
      <c r="GI240" t="s">
        <v>1324</v>
      </c>
      <c r="GJ240" t="s">
        <v>1324</v>
      </c>
      <c r="GT240" t="s">
        <v>1325</v>
      </c>
      <c r="GU240" t="s">
        <v>1310</v>
      </c>
      <c r="GV240" t="s">
        <v>1309</v>
      </c>
      <c r="GW240" t="s">
        <v>1309</v>
      </c>
      <c r="GX240" t="s">
        <v>1309</v>
      </c>
      <c r="GY240" t="s">
        <v>1309</v>
      </c>
      <c r="GZ240" t="s">
        <v>1309</v>
      </c>
      <c r="HA240" t="s">
        <v>1309</v>
      </c>
      <c r="HB240" t="s">
        <v>1309</v>
      </c>
      <c r="HC240" t="s">
        <v>1309</v>
      </c>
      <c r="HD240" t="s">
        <v>1309</v>
      </c>
      <c r="HE240" t="s">
        <v>1309</v>
      </c>
      <c r="HF240" t="s">
        <v>1309</v>
      </c>
      <c r="HH240" t="s">
        <v>1390</v>
      </c>
      <c r="HI240" t="s">
        <v>1390</v>
      </c>
      <c r="HJ240" t="s">
        <v>1390</v>
      </c>
      <c r="HK240" t="s">
        <v>1390</v>
      </c>
      <c r="HL240" t="s">
        <v>1328</v>
      </c>
      <c r="HM240" t="s">
        <v>1390</v>
      </c>
      <c r="HN240" t="s">
        <v>1824</v>
      </c>
      <c r="HO240" t="s">
        <v>1310</v>
      </c>
      <c r="HP240" t="s">
        <v>1309</v>
      </c>
      <c r="HQ240" t="s">
        <v>1310</v>
      </c>
      <c r="HR240" t="s">
        <v>1309</v>
      </c>
      <c r="HS240" t="s">
        <v>1309</v>
      </c>
      <c r="HT240" t="s">
        <v>1309</v>
      </c>
      <c r="HU240" t="s">
        <v>1309</v>
      </c>
      <c r="HV240" t="s">
        <v>1309</v>
      </c>
      <c r="HW240" t="s">
        <v>1309</v>
      </c>
      <c r="HX240" t="s">
        <v>1309</v>
      </c>
      <c r="HY240" t="s">
        <v>1309</v>
      </c>
      <c r="IA240" t="s">
        <v>1307</v>
      </c>
      <c r="IQ240" t="s">
        <v>1330</v>
      </c>
      <c r="IS240" t="s">
        <v>1316</v>
      </c>
      <c r="JF240" t="s">
        <v>1316</v>
      </c>
      <c r="JG240" t="s">
        <v>1451</v>
      </c>
      <c r="JH240" t="s">
        <v>1310</v>
      </c>
      <c r="JI240" t="s">
        <v>1309</v>
      </c>
      <c r="JJ240" t="s">
        <v>1309</v>
      </c>
      <c r="JK240" t="s">
        <v>1310</v>
      </c>
      <c r="JL240" t="s">
        <v>1309</v>
      </c>
      <c r="JM240" t="s">
        <v>1309</v>
      </c>
      <c r="JN240" t="s">
        <v>1309</v>
      </c>
      <c r="JO240" t="s">
        <v>1309</v>
      </c>
      <c r="JQ240" s="92" t="s">
        <v>1333</v>
      </c>
      <c r="JR240" s="92" t="s">
        <v>1334</v>
      </c>
      <c r="JS240" s="92">
        <v>68</v>
      </c>
      <c r="JT240" s="92" t="s">
        <v>1319</v>
      </c>
      <c r="JU240" s="92" t="s">
        <v>1335</v>
      </c>
      <c r="JV240" s="92" t="s">
        <v>1336</v>
      </c>
      <c r="JW240" s="92" t="s">
        <v>1296</v>
      </c>
      <c r="JX240" s="92" t="s">
        <v>71</v>
      </c>
      <c r="JY240" s="92" t="s">
        <v>5549</v>
      </c>
      <c r="JZ240" s="92" t="s">
        <v>1369</v>
      </c>
      <c r="KA240" s="92" t="s">
        <v>4845</v>
      </c>
      <c r="KB240" s="92" t="s">
        <v>1476</v>
      </c>
      <c r="KC240" s="92" t="s">
        <v>109</v>
      </c>
      <c r="KD240" s="92" t="s">
        <v>4847</v>
      </c>
      <c r="KE240" s="92" t="s">
        <v>1424</v>
      </c>
      <c r="KF240" s="92">
        <v>1400</v>
      </c>
      <c r="KG240" s="92" t="s">
        <v>4438</v>
      </c>
      <c r="KH240" s="92" t="s">
        <v>192</v>
      </c>
      <c r="KI240" s="92" t="s">
        <v>109</v>
      </c>
      <c r="KJ240" s="92" t="s">
        <v>192</v>
      </c>
      <c r="KK240" s="92" t="s">
        <v>109</v>
      </c>
      <c r="KL240" s="92" t="s">
        <v>1440</v>
      </c>
      <c r="KM240" s="92">
        <v>2800</v>
      </c>
      <c r="KN240" s="92" t="s">
        <v>4439</v>
      </c>
      <c r="KO240" s="92" t="s">
        <v>1425</v>
      </c>
      <c r="KP240" s="92" t="s">
        <v>1460</v>
      </c>
      <c r="KQ240" s="92" t="s">
        <v>192</v>
      </c>
      <c r="KR240" s="92">
        <v>36</v>
      </c>
      <c r="KS240" s="92" t="s">
        <v>1345</v>
      </c>
      <c r="KT240" s="92" t="s">
        <v>1344</v>
      </c>
      <c r="KU240" s="92">
        <v>29</v>
      </c>
      <c r="KV240" s="92" t="s">
        <v>1441</v>
      </c>
      <c r="KW240" s="92" t="s">
        <v>1344</v>
      </c>
      <c r="KX240" s="92" t="s">
        <v>1376</v>
      </c>
      <c r="KY240" s="92" t="s">
        <v>1377</v>
      </c>
      <c r="KZ240" s="92" t="s">
        <v>5795</v>
      </c>
      <c r="LA240" s="92" t="s">
        <v>109</v>
      </c>
      <c r="LB240" s="92" t="s">
        <v>109</v>
      </c>
      <c r="LC240" s="92" t="s">
        <v>4438</v>
      </c>
      <c r="LD240" s="92" t="s">
        <v>4439</v>
      </c>
      <c r="LE240" s="92" t="s">
        <v>192</v>
      </c>
      <c r="LF240" s="92" t="s">
        <v>192</v>
      </c>
    </row>
    <row r="241" spans="1:318" x14ac:dyDescent="0.25">
      <c r="A241" t="s">
        <v>2438</v>
      </c>
      <c r="B241" t="s">
        <v>2439</v>
      </c>
      <c r="C241" t="s">
        <v>1304</v>
      </c>
      <c r="D241" t="s">
        <v>1305</v>
      </c>
      <c r="E241" t="s">
        <v>1306</v>
      </c>
      <c r="G241" t="s">
        <v>1307</v>
      </c>
      <c r="H241">
        <v>3</v>
      </c>
      <c r="I241" t="s">
        <v>1307</v>
      </c>
      <c r="J241" t="s">
        <v>1406</v>
      </c>
      <c r="K241" t="s">
        <v>1309</v>
      </c>
      <c r="L241" t="s">
        <v>1310</v>
      </c>
      <c r="M241" t="s">
        <v>1309</v>
      </c>
      <c r="N241" t="s">
        <v>1309</v>
      </c>
      <c r="O241" t="s">
        <v>1309</v>
      </c>
      <c r="P241" t="s">
        <v>1309</v>
      </c>
      <c r="Q241" t="s">
        <v>1309</v>
      </c>
      <c r="R241" t="s">
        <v>1309</v>
      </c>
      <c r="S241">
        <v>1</v>
      </c>
      <c r="U241" t="s">
        <v>1311</v>
      </c>
      <c r="V241" t="s">
        <v>1312</v>
      </c>
      <c r="W241" t="s">
        <v>1312</v>
      </c>
      <c r="X241" t="s">
        <v>1312</v>
      </c>
      <c r="Y241" t="s">
        <v>1312</v>
      </c>
      <c r="Z241" t="s">
        <v>1312</v>
      </c>
      <c r="AC241">
        <v>2</v>
      </c>
      <c r="AD241">
        <v>20000</v>
      </c>
      <c r="AE241">
        <v>20000</v>
      </c>
      <c r="AF241" t="s">
        <v>1351</v>
      </c>
      <c r="AH241" t="s">
        <v>1352</v>
      </c>
      <c r="AJ241" t="s">
        <v>1315</v>
      </c>
      <c r="AL241" t="s">
        <v>1316</v>
      </c>
      <c r="BS241" t="s">
        <v>1307</v>
      </c>
      <c r="CE241" t="s">
        <v>1317</v>
      </c>
      <c r="CF241" t="s">
        <v>1309</v>
      </c>
      <c r="CG241" t="s">
        <v>1309</v>
      </c>
      <c r="CH241" t="s">
        <v>1309</v>
      </c>
      <c r="CI241" t="s">
        <v>1309</v>
      </c>
      <c r="CJ241" t="s">
        <v>1309</v>
      </c>
      <c r="CK241" t="s">
        <v>1309</v>
      </c>
      <c r="CL241" t="s">
        <v>1309</v>
      </c>
      <c r="CM241" t="s">
        <v>1309</v>
      </c>
      <c r="CN241" t="s">
        <v>1310</v>
      </c>
      <c r="CO241" t="s">
        <v>1310</v>
      </c>
      <c r="CP241" t="s">
        <v>1309</v>
      </c>
      <c r="CQ241" t="s">
        <v>1309</v>
      </c>
      <c r="CR241" t="s">
        <v>1309</v>
      </c>
      <c r="CT241" t="s">
        <v>4434</v>
      </c>
      <c r="CV241" t="s">
        <v>1488</v>
      </c>
      <c r="CW241" t="s">
        <v>1309</v>
      </c>
      <c r="CX241" t="s">
        <v>1309</v>
      </c>
      <c r="CY241" t="s">
        <v>1309</v>
      </c>
      <c r="CZ241" t="s">
        <v>1310</v>
      </c>
      <c r="DA241" t="s">
        <v>1310</v>
      </c>
      <c r="DB241" t="s">
        <v>1309</v>
      </c>
      <c r="DC241" t="s">
        <v>1309</v>
      </c>
      <c r="DE241" t="s">
        <v>1358</v>
      </c>
      <c r="DG241">
        <v>2600</v>
      </c>
      <c r="DI241">
        <v>750</v>
      </c>
      <c r="DJ241" t="s">
        <v>1358</v>
      </c>
      <c r="DK241">
        <v>3300</v>
      </c>
      <c r="DM241">
        <v>1000</v>
      </c>
      <c r="DN241" t="s">
        <v>1432</v>
      </c>
      <c r="DO241" t="s">
        <v>1310</v>
      </c>
      <c r="DP241" t="s">
        <v>1309</v>
      </c>
      <c r="DQ241" t="s">
        <v>1309</v>
      </c>
      <c r="DR241" t="s">
        <v>1310</v>
      </c>
      <c r="DS241" t="s">
        <v>1309</v>
      </c>
      <c r="DT241" t="s">
        <v>1310</v>
      </c>
      <c r="DU241" t="s">
        <v>1309</v>
      </c>
      <c r="DV241" t="s">
        <v>1309</v>
      </c>
      <c r="DW241" t="s">
        <v>1309</v>
      </c>
      <c r="DY241" t="s">
        <v>1446</v>
      </c>
      <c r="DZ241">
        <v>300</v>
      </c>
      <c r="EA241" t="s">
        <v>1319</v>
      </c>
      <c r="EC241" t="s">
        <v>1387</v>
      </c>
      <c r="ED241">
        <v>1000</v>
      </c>
      <c r="EE241" t="s">
        <v>1319</v>
      </c>
      <c r="EG241" t="s">
        <v>5356</v>
      </c>
      <c r="EI241" t="s">
        <v>1307</v>
      </c>
      <c r="ET241" t="s">
        <v>1307</v>
      </c>
      <c r="EV241" t="s">
        <v>1319</v>
      </c>
      <c r="EW241" t="s">
        <v>1421</v>
      </c>
      <c r="EX241" t="s">
        <v>1319</v>
      </c>
      <c r="EY241" t="s">
        <v>1319</v>
      </c>
      <c r="EZ241" t="s">
        <v>1319</v>
      </c>
      <c r="FA241" t="s">
        <v>2440</v>
      </c>
      <c r="FB241" t="s">
        <v>1310</v>
      </c>
      <c r="FC241" t="s">
        <v>1310</v>
      </c>
      <c r="FD241" t="s">
        <v>1309</v>
      </c>
      <c r="FE241" t="s">
        <v>1310</v>
      </c>
      <c r="FF241" t="s">
        <v>1310</v>
      </c>
      <c r="FG241" t="s">
        <v>1310</v>
      </c>
      <c r="FH241" t="s">
        <v>1310</v>
      </c>
      <c r="FI241" t="s">
        <v>1310</v>
      </c>
      <c r="FJ241" t="s">
        <v>1309</v>
      </c>
      <c r="FK241" t="s">
        <v>1309</v>
      </c>
      <c r="FL241" t="s">
        <v>1309</v>
      </c>
      <c r="FM241" t="s">
        <v>1310</v>
      </c>
      <c r="FN241" t="s">
        <v>1309</v>
      </c>
      <c r="FO241" t="s">
        <v>1310</v>
      </c>
      <c r="FP241" t="s">
        <v>1309</v>
      </c>
      <c r="FQ241" t="s">
        <v>1309</v>
      </c>
      <c r="FR241" t="s">
        <v>1309</v>
      </c>
      <c r="FT241" t="s">
        <v>1307</v>
      </c>
      <c r="GI241" t="s">
        <v>1324</v>
      </c>
      <c r="GJ241" t="s">
        <v>1324</v>
      </c>
      <c r="GT241" t="s">
        <v>1325</v>
      </c>
      <c r="GU241" t="s">
        <v>1310</v>
      </c>
      <c r="GV241" t="s">
        <v>1309</v>
      </c>
      <c r="GW241" t="s">
        <v>1309</v>
      </c>
      <c r="GX241" t="s">
        <v>1309</v>
      </c>
      <c r="GY241" t="s">
        <v>1309</v>
      </c>
      <c r="GZ241" t="s">
        <v>1309</v>
      </c>
      <c r="HA241" t="s">
        <v>1309</v>
      </c>
      <c r="HB241" t="s">
        <v>1309</v>
      </c>
      <c r="HC241" t="s">
        <v>1309</v>
      </c>
      <c r="HD241" t="s">
        <v>1309</v>
      </c>
      <c r="HE241" t="s">
        <v>1309</v>
      </c>
      <c r="HF241" t="s">
        <v>1309</v>
      </c>
      <c r="HH241" t="s">
        <v>1326</v>
      </c>
      <c r="HI241" t="s">
        <v>1326</v>
      </c>
      <c r="HJ241" t="s">
        <v>1390</v>
      </c>
      <c r="HK241" t="s">
        <v>1327</v>
      </c>
      <c r="HL241" t="s">
        <v>1364</v>
      </c>
      <c r="HM241" t="s">
        <v>1326</v>
      </c>
      <c r="IA241" t="s">
        <v>1319</v>
      </c>
      <c r="IB241" t="s">
        <v>1532</v>
      </c>
      <c r="IC241" t="s">
        <v>1309</v>
      </c>
      <c r="ID241" t="s">
        <v>1309</v>
      </c>
      <c r="IE241" t="s">
        <v>1309</v>
      </c>
      <c r="IF241" t="s">
        <v>1309</v>
      </c>
      <c r="IG241" t="s">
        <v>1310</v>
      </c>
      <c r="IH241" t="s">
        <v>1309</v>
      </c>
      <c r="II241" t="s">
        <v>1310</v>
      </c>
      <c r="IJ241" t="s">
        <v>1309</v>
      </c>
      <c r="IK241" t="s">
        <v>1309</v>
      </c>
      <c r="IL241" t="s">
        <v>1309</v>
      </c>
      <c r="IM241" t="s">
        <v>1309</v>
      </c>
      <c r="IN241" t="s">
        <v>1309</v>
      </c>
      <c r="IO241" t="s">
        <v>1309</v>
      </c>
      <c r="IQ241" t="s">
        <v>1330</v>
      </c>
      <c r="IS241" t="s">
        <v>1316</v>
      </c>
      <c r="JF241" t="s">
        <v>1316</v>
      </c>
      <c r="JG241" t="s">
        <v>1523</v>
      </c>
      <c r="JH241" t="s">
        <v>1309</v>
      </c>
      <c r="JI241" t="s">
        <v>1309</v>
      </c>
      <c r="JJ241" t="s">
        <v>1309</v>
      </c>
      <c r="JK241" t="s">
        <v>1310</v>
      </c>
      <c r="JL241" t="s">
        <v>1309</v>
      </c>
      <c r="JM241" t="s">
        <v>1309</v>
      </c>
      <c r="JN241" t="s">
        <v>1309</v>
      </c>
      <c r="JO241" t="s">
        <v>1309</v>
      </c>
      <c r="JQ241" s="92" t="s">
        <v>1333</v>
      </c>
      <c r="JR241" s="92" t="s">
        <v>2048</v>
      </c>
      <c r="JS241" s="92">
        <v>59</v>
      </c>
      <c r="JT241" s="92" t="s">
        <v>1319</v>
      </c>
      <c r="JU241" s="92" t="s">
        <v>1335</v>
      </c>
      <c r="JV241" s="92" t="s">
        <v>1336</v>
      </c>
      <c r="JW241" s="92" t="s">
        <v>1296</v>
      </c>
      <c r="JX241" s="92" t="s">
        <v>70</v>
      </c>
      <c r="JY241" s="92" t="s">
        <v>5549</v>
      </c>
      <c r="JZ241" s="92" t="s">
        <v>1337</v>
      </c>
      <c r="KA241" s="92" t="s">
        <v>4845</v>
      </c>
      <c r="KB241" s="92" t="s">
        <v>1415</v>
      </c>
      <c r="KC241" s="92" t="s">
        <v>109</v>
      </c>
      <c r="KD241" s="92" t="s">
        <v>4847</v>
      </c>
      <c r="KE241" s="92" t="s">
        <v>1452</v>
      </c>
      <c r="KF241" s="92">
        <v>3350</v>
      </c>
      <c r="KG241" s="92" t="s">
        <v>4438</v>
      </c>
      <c r="KH241" s="92" t="s">
        <v>192</v>
      </c>
      <c r="KI241" s="92" t="s">
        <v>109</v>
      </c>
      <c r="KJ241" s="92" t="s">
        <v>192</v>
      </c>
      <c r="KK241" s="92" t="s">
        <v>109</v>
      </c>
      <c r="KL241" s="92" t="s">
        <v>1341</v>
      </c>
      <c r="KM241" s="92">
        <v>4300</v>
      </c>
      <c r="KN241" s="92" t="s">
        <v>4438</v>
      </c>
      <c r="KO241" s="92" t="s">
        <v>1341</v>
      </c>
      <c r="KP241" s="92" t="s">
        <v>1375</v>
      </c>
      <c r="KQ241" s="92" t="s">
        <v>192</v>
      </c>
      <c r="KR241" s="92">
        <v>9</v>
      </c>
      <c r="KS241" s="92" t="s">
        <v>1343</v>
      </c>
      <c r="KT241" s="92" t="s">
        <v>1344</v>
      </c>
      <c r="KU241" s="92">
        <v>23</v>
      </c>
      <c r="KV241" s="92" t="s">
        <v>1461</v>
      </c>
      <c r="KW241" s="92" t="s">
        <v>1344</v>
      </c>
      <c r="KX241" s="92" t="s">
        <v>1376</v>
      </c>
      <c r="KY241" s="92" t="s">
        <v>1347</v>
      </c>
      <c r="KZ241" s="92" t="s">
        <v>5795</v>
      </c>
      <c r="LA241" s="92" t="s">
        <v>109</v>
      </c>
      <c r="LB241" s="92" t="s">
        <v>109</v>
      </c>
      <c r="LC241" s="92" t="s">
        <v>4438</v>
      </c>
      <c r="LD241" s="92" t="s">
        <v>4438</v>
      </c>
      <c r="LE241" s="92" t="s">
        <v>192</v>
      </c>
      <c r="LF241" s="92" t="s">
        <v>192</v>
      </c>
    </row>
    <row r="242" spans="1:318" x14ac:dyDescent="0.25">
      <c r="A242" t="s">
        <v>2441</v>
      </c>
      <c r="B242" t="s">
        <v>2442</v>
      </c>
      <c r="C242" t="s">
        <v>1304</v>
      </c>
      <c r="D242" t="s">
        <v>1305</v>
      </c>
      <c r="E242" t="s">
        <v>1306</v>
      </c>
      <c r="G242" t="s">
        <v>1307</v>
      </c>
      <c r="H242">
        <v>2</v>
      </c>
      <c r="I242" t="s">
        <v>1307</v>
      </c>
      <c r="J242" t="s">
        <v>1479</v>
      </c>
      <c r="K242" t="s">
        <v>1309</v>
      </c>
      <c r="L242" t="s">
        <v>1309</v>
      </c>
      <c r="M242" t="s">
        <v>1309</v>
      </c>
      <c r="N242" t="s">
        <v>1309</v>
      </c>
      <c r="O242" t="s">
        <v>1310</v>
      </c>
      <c r="P242" t="s">
        <v>1309</v>
      </c>
      <c r="Q242" t="s">
        <v>1309</v>
      </c>
      <c r="R242" t="s">
        <v>1309</v>
      </c>
      <c r="U242" t="s">
        <v>1312</v>
      </c>
      <c r="V242" t="s">
        <v>1312</v>
      </c>
      <c r="W242" t="s">
        <v>1312</v>
      </c>
      <c r="X242" t="s">
        <v>1312</v>
      </c>
      <c r="Y242" t="s">
        <v>1312</v>
      </c>
      <c r="Z242" t="s">
        <v>1312</v>
      </c>
      <c r="AC242">
        <v>2</v>
      </c>
      <c r="AF242" t="s">
        <v>1313</v>
      </c>
      <c r="AH242" t="s">
        <v>1383</v>
      </c>
      <c r="AJ242" t="s">
        <v>1315</v>
      </c>
      <c r="AL242" t="s">
        <v>1331</v>
      </c>
      <c r="BS242" t="s">
        <v>1307</v>
      </c>
      <c r="CE242" t="s">
        <v>1355</v>
      </c>
      <c r="CF242" t="s">
        <v>1309</v>
      </c>
      <c r="CG242" t="s">
        <v>1309</v>
      </c>
      <c r="CH242" t="s">
        <v>1309</v>
      </c>
      <c r="CI242" t="s">
        <v>1309</v>
      </c>
      <c r="CJ242" t="s">
        <v>1309</v>
      </c>
      <c r="CK242" t="s">
        <v>1309</v>
      </c>
      <c r="CL242" t="s">
        <v>1309</v>
      </c>
      <c r="CM242" t="s">
        <v>1309</v>
      </c>
      <c r="CN242" t="s">
        <v>1310</v>
      </c>
      <c r="CO242" t="s">
        <v>1309</v>
      </c>
      <c r="CP242" t="s">
        <v>1309</v>
      </c>
      <c r="CQ242" t="s">
        <v>1309</v>
      </c>
      <c r="CR242" t="s">
        <v>1309</v>
      </c>
      <c r="CT242" t="s">
        <v>4435</v>
      </c>
      <c r="CV242" t="s">
        <v>1357</v>
      </c>
      <c r="CW242" t="s">
        <v>1309</v>
      </c>
      <c r="CX242" t="s">
        <v>1309</v>
      </c>
      <c r="CY242" t="s">
        <v>1309</v>
      </c>
      <c r="CZ242" t="s">
        <v>1309</v>
      </c>
      <c r="DA242" t="s">
        <v>1310</v>
      </c>
      <c r="DB242" t="s">
        <v>1309</v>
      </c>
      <c r="DC242" t="s">
        <v>1309</v>
      </c>
      <c r="DE242" t="s">
        <v>1358</v>
      </c>
      <c r="DF242" t="s">
        <v>1307</v>
      </c>
      <c r="DH242">
        <v>2500</v>
      </c>
      <c r="DI242">
        <v>700</v>
      </c>
      <c r="DJ242" t="s">
        <v>1358</v>
      </c>
      <c r="DL242">
        <v>3000</v>
      </c>
      <c r="DM242">
        <v>850</v>
      </c>
      <c r="DN242" t="s">
        <v>1320</v>
      </c>
      <c r="DO242" t="s">
        <v>1310</v>
      </c>
      <c r="DP242" t="s">
        <v>1309</v>
      </c>
      <c r="DQ242" t="s">
        <v>1309</v>
      </c>
      <c r="DR242" t="s">
        <v>1309</v>
      </c>
      <c r="DS242" t="s">
        <v>1309</v>
      </c>
      <c r="DT242" t="s">
        <v>1310</v>
      </c>
      <c r="DU242" t="s">
        <v>1309</v>
      </c>
      <c r="DV242" t="s">
        <v>1309</v>
      </c>
      <c r="DW242" t="s">
        <v>1309</v>
      </c>
      <c r="DY242" t="s">
        <v>1481</v>
      </c>
      <c r="DZ242">
        <v>300</v>
      </c>
      <c r="EA242" t="s">
        <v>1319</v>
      </c>
      <c r="EC242" t="s">
        <v>1457</v>
      </c>
      <c r="ED242">
        <v>1000</v>
      </c>
      <c r="EE242" t="s">
        <v>1319</v>
      </c>
      <c r="EG242" t="s">
        <v>5357</v>
      </c>
      <c r="ET242" t="s">
        <v>1434</v>
      </c>
      <c r="EV242" t="s">
        <v>1319</v>
      </c>
      <c r="EW242" t="s">
        <v>1361</v>
      </c>
      <c r="EX242" t="s">
        <v>1307</v>
      </c>
      <c r="FT242" t="s">
        <v>1307</v>
      </c>
      <c r="GI242" t="s">
        <v>1324</v>
      </c>
      <c r="GJ242" t="s">
        <v>1324</v>
      </c>
      <c r="GT242" t="s">
        <v>1325</v>
      </c>
      <c r="GU242" t="s">
        <v>1310</v>
      </c>
      <c r="GV242" t="s">
        <v>1309</v>
      </c>
      <c r="GW242" t="s">
        <v>1309</v>
      </c>
      <c r="GX242" t="s">
        <v>1309</v>
      </c>
      <c r="GY242" t="s">
        <v>1309</v>
      </c>
      <c r="GZ242" t="s">
        <v>1309</v>
      </c>
      <c r="HA242" t="s">
        <v>1309</v>
      </c>
      <c r="HB242" t="s">
        <v>1309</v>
      </c>
      <c r="HC242" t="s">
        <v>1309</v>
      </c>
      <c r="HD242" t="s">
        <v>1309</v>
      </c>
      <c r="HE242" t="s">
        <v>1309</v>
      </c>
      <c r="HF242" t="s">
        <v>1309</v>
      </c>
      <c r="HH242" t="s">
        <v>1326</v>
      </c>
      <c r="HI242" t="s">
        <v>1326</v>
      </c>
      <c r="HJ242" t="s">
        <v>1326</v>
      </c>
      <c r="HK242" t="s">
        <v>1327</v>
      </c>
      <c r="HL242" t="s">
        <v>1364</v>
      </c>
      <c r="HM242" t="s">
        <v>1326</v>
      </c>
      <c r="IA242" t="s">
        <v>1319</v>
      </c>
      <c r="IB242" t="s">
        <v>1870</v>
      </c>
      <c r="IC242" t="s">
        <v>1309</v>
      </c>
      <c r="ID242" t="s">
        <v>1309</v>
      </c>
      <c r="IE242" t="s">
        <v>1309</v>
      </c>
      <c r="IF242" t="s">
        <v>1310</v>
      </c>
      <c r="IG242" t="s">
        <v>1310</v>
      </c>
      <c r="IH242" t="s">
        <v>1309</v>
      </c>
      <c r="II242" t="s">
        <v>1309</v>
      </c>
      <c r="IJ242" t="s">
        <v>1309</v>
      </c>
      <c r="IK242" t="s">
        <v>1309</v>
      </c>
      <c r="IL242" t="s">
        <v>1309</v>
      </c>
      <c r="IM242" t="s">
        <v>1309</v>
      </c>
      <c r="IN242" t="s">
        <v>1309</v>
      </c>
      <c r="IO242" t="s">
        <v>1309</v>
      </c>
      <c r="IQ242" t="s">
        <v>1365</v>
      </c>
      <c r="IS242" t="s">
        <v>1316</v>
      </c>
      <c r="JF242" t="s">
        <v>1316</v>
      </c>
      <c r="JG242" t="s">
        <v>1414</v>
      </c>
      <c r="JH242" t="s">
        <v>1309</v>
      </c>
      <c r="JI242" t="s">
        <v>1309</v>
      </c>
      <c r="JJ242" t="s">
        <v>1309</v>
      </c>
      <c r="JK242" t="s">
        <v>1309</v>
      </c>
      <c r="JL242" t="s">
        <v>1309</v>
      </c>
      <c r="JM242" t="s">
        <v>1309</v>
      </c>
      <c r="JN242" t="s">
        <v>1310</v>
      </c>
      <c r="JO242" t="s">
        <v>1309</v>
      </c>
      <c r="JQ242" s="92" t="s">
        <v>1333</v>
      </c>
      <c r="JR242" s="92" t="s">
        <v>1334</v>
      </c>
      <c r="JS242" s="92">
        <v>49</v>
      </c>
      <c r="JT242" s="92" t="s">
        <v>1319</v>
      </c>
      <c r="JU242" s="92" t="s">
        <v>1335</v>
      </c>
      <c r="JV242" s="92" t="s">
        <v>1336</v>
      </c>
      <c r="JW242" s="92" t="s">
        <v>1296</v>
      </c>
      <c r="JX242" s="92" t="s">
        <v>71</v>
      </c>
      <c r="JY242" s="92" t="s">
        <v>5549</v>
      </c>
      <c r="JZ242" s="92" t="s">
        <v>1337</v>
      </c>
      <c r="KA242" s="92" t="s">
        <v>4845</v>
      </c>
      <c r="KB242" s="92" t="s">
        <v>1338</v>
      </c>
      <c r="KC242" s="92" t="s">
        <v>109</v>
      </c>
      <c r="KD242" s="92" t="s">
        <v>4847</v>
      </c>
      <c r="KE242" s="92" t="s">
        <v>1340</v>
      </c>
      <c r="KF242" s="92">
        <v>3200</v>
      </c>
      <c r="KG242" s="92" t="s">
        <v>1340</v>
      </c>
      <c r="KH242" s="92" t="s">
        <v>109</v>
      </c>
      <c r="KI242" s="92" t="s">
        <v>192</v>
      </c>
      <c r="KJ242" s="92" t="s">
        <v>109</v>
      </c>
      <c r="KK242" s="92" t="s">
        <v>192</v>
      </c>
      <c r="KL242" s="92" t="s">
        <v>1341</v>
      </c>
      <c r="KM242" s="92">
        <v>3850</v>
      </c>
      <c r="KN242" s="92" t="s">
        <v>1340</v>
      </c>
      <c r="KO242" s="92" t="s">
        <v>1341</v>
      </c>
      <c r="KP242" s="92" t="s">
        <v>1375</v>
      </c>
      <c r="KQ242" s="92" t="s">
        <v>109</v>
      </c>
      <c r="KR242" s="92">
        <v>9</v>
      </c>
      <c r="KS242" s="92" t="s">
        <v>1343</v>
      </c>
      <c r="KT242" s="92" t="s">
        <v>1344</v>
      </c>
      <c r="KU242" s="92">
        <v>26</v>
      </c>
      <c r="KV242" s="92" t="s">
        <v>1461</v>
      </c>
      <c r="KW242" s="92" t="s">
        <v>1344</v>
      </c>
      <c r="KX242" s="92" t="s">
        <v>1376</v>
      </c>
      <c r="KY242" s="92" t="s">
        <v>1377</v>
      </c>
      <c r="KZ242" s="92" t="s">
        <v>5795</v>
      </c>
      <c r="LA242" s="92" t="s">
        <v>109</v>
      </c>
      <c r="LB242" s="92" t="s">
        <v>109</v>
      </c>
      <c r="LC242" s="92" t="s">
        <v>5566</v>
      </c>
      <c r="LD242" s="92" t="s">
        <v>5566</v>
      </c>
      <c r="LE242" s="92"/>
      <c r="LF242" s="92"/>
    </row>
    <row r="243" spans="1:318" x14ac:dyDescent="0.25">
      <c r="A243" t="s">
        <v>2443</v>
      </c>
      <c r="B243" t="s">
        <v>2444</v>
      </c>
      <c r="C243" t="s">
        <v>1304</v>
      </c>
      <c r="D243" t="s">
        <v>1429</v>
      </c>
      <c r="E243" t="s">
        <v>1306</v>
      </c>
      <c r="G243" t="s">
        <v>1307</v>
      </c>
      <c r="H243">
        <v>2</v>
      </c>
      <c r="I243" t="s">
        <v>1307</v>
      </c>
      <c r="J243" t="s">
        <v>1430</v>
      </c>
      <c r="K243" t="s">
        <v>1309</v>
      </c>
      <c r="L243" t="s">
        <v>1309</v>
      </c>
      <c r="M243" t="s">
        <v>1310</v>
      </c>
      <c r="N243" t="s">
        <v>1309</v>
      </c>
      <c r="O243" t="s">
        <v>1309</v>
      </c>
      <c r="P243" t="s">
        <v>1309</v>
      </c>
      <c r="Q243" t="s">
        <v>1309</v>
      </c>
      <c r="R243" t="s">
        <v>1309</v>
      </c>
      <c r="T243">
        <v>1</v>
      </c>
      <c r="U243" t="s">
        <v>1311</v>
      </c>
      <c r="V243" t="s">
        <v>1311</v>
      </c>
      <c r="W243" t="s">
        <v>1311</v>
      </c>
      <c r="X243" t="s">
        <v>1311</v>
      </c>
      <c r="Y243" t="s">
        <v>1312</v>
      </c>
      <c r="Z243" t="s">
        <v>1312</v>
      </c>
      <c r="AC243">
        <v>2</v>
      </c>
      <c r="AE243">
        <v>10000</v>
      </c>
      <c r="AF243" t="s">
        <v>1351</v>
      </c>
      <c r="AH243" t="s">
        <v>1314</v>
      </c>
      <c r="AJ243" t="s">
        <v>1353</v>
      </c>
      <c r="AL243" t="s">
        <v>1316</v>
      </c>
      <c r="BA243" t="s">
        <v>1316</v>
      </c>
      <c r="BS243" t="s">
        <v>1307</v>
      </c>
      <c r="CE243" t="s">
        <v>1355</v>
      </c>
      <c r="CF243" t="s">
        <v>1309</v>
      </c>
      <c r="CG243" t="s">
        <v>1309</v>
      </c>
      <c r="CH243" t="s">
        <v>1309</v>
      </c>
      <c r="CI243" t="s">
        <v>1309</v>
      </c>
      <c r="CJ243" t="s">
        <v>1309</v>
      </c>
      <c r="CK243" t="s">
        <v>1309</v>
      </c>
      <c r="CL243" t="s">
        <v>1309</v>
      </c>
      <c r="CM243" t="s">
        <v>1309</v>
      </c>
      <c r="CN243" t="s">
        <v>1310</v>
      </c>
      <c r="CO243" t="s">
        <v>1309</v>
      </c>
      <c r="CP243" t="s">
        <v>1309</v>
      </c>
      <c r="CQ243" t="s">
        <v>1309</v>
      </c>
      <c r="CR243" t="s">
        <v>1309</v>
      </c>
      <c r="CT243" t="s">
        <v>4436</v>
      </c>
      <c r="CV243" t="s">
        <v>1308</v>
      </c>
      <c r="CW243" t="s">
        <v>1310</v>
      </c>
      <c r="CX243" t="s">
        <v>1309</v>
      </c>
      <c r="CY243" t="s">
        <v>1309</v>
      </c>
      <c r="CZ243" t="s">
        <v>1309</v>
      </c>
      <c r="DA243" t="s">
        <v>1309</v>
      </c>
      <c r="DB243" t="s">
        <v>1309</v>
      </c>
      <c r="DC243" t="s">
        <v>1309</v>
      </c>
      <c r="DE243" t="s">
        <v>1318</v>
      </c>
      <c r="DF243" t="s">
        <v>1319</v>
      </c>
      <c r="DG243">
        <v>500</v>
      </c>
      <c r="DI243">
        <v>500</v>
      </c>
      <c r="DJ243" t="s">
        <v>1318</v>
      </c>
      <c r="DM243">
        <v>800</v>
      </c>
      <c r="DN243" t="s">
        <v>1320</v>
      </c>
      <c r="DO243" t="s">
        <v>1310</v>
      </c>
      <c r="DP243" t="s">
        <v>1309</v>
      </c>
      <c r="DQ243" t="s">
        <v>1309</v>
      </c>
      <c r="DR243" t="s">
        <v>1309</v>
      </c>
      <c r="DS243" t="s">
        <v>1309</v>
      </c>
      <c r="DT243" t="s">
        <v>1310</v>
      </c>
      <c r="DU243" t="s">
        <v>1309</v>
      </c>
      <c r="DV243" t="s">
        <v>1309</v>
      </c>
      <c r="DW243" t="s">
        <v>1309</v>
      </c>
      <c r="DY243" t="s">
        <v>1420</v>
      </c>
      <c r="DZ243">
        <v>300</v>
      </c>
      <c r="EA243" t="s">
        <v>1386</v>
      </c>
      <c r="EC243" t="s">
        <v>1991</v>
      </c>
      <c r="ED243">
        <v>800</v>
      </c>
      <c r="EE243" t="s">
        <v>1319</v>
      </c>
      <c r="EG243" t="s">
        <v>5356</v>
      </c>
      <c r="EI243" t="s">
        <v>1307</v>
      </c>
      <c r="ET243" t="s">
        <v>1544</v>
      </c>
      <c r="EV243" t="s">
        <v>1319</v>
      </c>
      <c r="EW243" t="s">
        <v>1409</v>
      </c>
      <c r="EX243" t="s">
        <v>1319</v>
      </c>
      <c r="EY243" t="s">
        <v>1307</v>
      </c>
      <c r="EZ243" t="s">
        <v>1319</v>
      </c>
      <c r="FA243" t="s">
        <v>2100</v>
      </c>
      <c r="FB243" t="s">
        <v>1310</v>
      </c>
      <c r="FC243" t="s">
        <v>1309</v>
      </c>
      <c r="FD243" t="s">
        <v>1309</v>
      </c>
      <c r="FE243" t="s">
        <v>1309</v>
      </c>
      <c r="FF243" t="s">
        <v>1309</v>
      </c>
      <c r="FG243" t="s">
        <v>1309</v>
      </c>
      <c r="FH243" t="s">
        <v>1309</v>
      </c>
      <c r="FI243" t="s">
        <v>1310</v>
      </c>
      <c r="FJ243" t="s">
        <v>1309</v>
      </c>
      <c r="FK243" t="s">
        <v>1309</v>
      </c>
      <c r="FL243" t="s">
        <v>1309</v>
      </c>
      <c r="FM243" t="s">
        <v>1309</v>
      </c>
      <c r="FN243" t="s">
        <v>1309</v>
      </c>
      <c r="FO243" t="s">
        <v>1309</v>
      </c>
      <c r="FP243" t="s">
        <v>1309</v>
      </c>
      <c r="FQ243" t="s">
        <v>1309</v>
      </c>
      <c r="FR243" t="s">
        <v>1309</v>
      </c>
      <c r="FT243" t="s">
        <v>1319</v>
      </c>
      <c r="FU243" t="s">
        <v>1626</v>
      </c>
      <c r="FV243" t="s">
        <v>1309</v>
      </c>
      <c r="FW243" t="s">
        <v>1310</v>
      </c>
      <c r="FX243" t="s">
        <v>1309</v>
      </c>
      <c r="FY243" t="s">
        <v>1309</v>
      </c>
      <c r="FZ243" t="s">
        <v>1309</v>
      </c>
      <c r="GA243" t="s">
        <v>1309</v>
      </c>
      <c r="GB243" t="s">
        <v>1309</v>
      </c>
      <c r="GC243" t="s">
        <v>1309</v>
      </c>
      <c r="GD243" t="s">
        <v>1309</v>
      </c>
      <c r="GE243" t="s">
        <v>1309</v>
      </c>
      <c r="GF243" t="s">
        <v>1309</v>
      </c>
      <c r="GG243" t="s">
        <v>1309</v>
      </c>
      <c r="GI243" t="s">
        <v>1436</v>
      </c>
      <c r="GJ243" t="s">
        <v>1436</v>
      </c>
      <c r="GK243" t="s">
        <v>1307</v>
      </c>
      <c r="GT243" t="s">
        <v>1325</v>
      </c>
      <c r="GU243" t="s">
        <v>1310</v>
      </c>
      <c r="GV243" t="s">
        <v>1309</v>
      </c>
      <c r="GW243" t="s">
        <v>1309</v>
      </c>
      <c r="GX243" t="s">
        <v>1309</v>
      </c>
      <c r="GY243" t="s">
        <v>1309</v>
      </c>
      <c r="GZ243" t="s">
        <v>1309</v>
      </c>
      <c r="HA243" t="s">
        <v>1309</v>
      </c>
      <c r="HB243" t="s">
        <v>1309</v>
      </c>
      <c r="HC243" t="s">
        <v>1309</v>
      </c>
      <c r="HD243" t="s">
        <v>1309</v>
      </c>
      <c r="HE243" t="s">
        <v>1309</v>
      </c>
      <c r="HF243" t="s">
        <v>1309</v>
      </c>
      <c r="HH243" t="s">
        <v>1390</v>
      </c>
      <c r="HI243" t="s">
        <v>1326</v>
      </c>
      <c r="HJ243" t="s">
        <v>1326</v>
      </c>
      <c r="HK243" t="s">
        <v>1327</v>
      </c>
      <c r="HL243" t="s">
        <v>1437</v>
      </c>
      <c r="HM243" t="s">
        <v>1390</v>
      </c>
      <c r="HN243" t="s">
        <v>1550</v>
      </c>
      <c r="HO243" t="s">
        <v>1310</v>
      </c>
      <c r="HP243" t="s">
        <v>1309</v>
      </c>
      <c r="HQ243" t="s">
        <v>1309</v>
      </c>
      <c r="HR243" t="s">
        <v>1310</v>
      </c>
      <c r="HS243" t="s">
        <v>1309</v>
      </c>
      <c r="HT243" t="s">
        <v>1309</v>
      </c>
      <c r="HU243" t="s">
        <v>1309</v>
      </c>
      <c r="HV243" t="s">
        <v>1309</v>
      </c>
      <c r="HW243" t="s">
        <v>1309</v>
      </c>
      <c r="HX243" t="s">
        <v>1309</v>
      </c>
      <c r="HY243" t="s">
        <v>1309</v>
      </c>
      <c r="IA243" t="s">
        <v>1414</v>
      </c>
      <c r="IQ243" t="s">
        <v>1330</v>
      </c>
      <c r="IS243" t="s">
        <v>1316</v>
      </c>
      <c r="JF243" t="s">
        <v>1331</v>
      </c>
      <c r="JG243" t="s">
        <v>1414</v>
      </c>
      <c r="JH243" t="s">
        <v>1309</v>
      </c>
      <c r="JI243" t="s">
        <v>1309</v>
      </c>
      <c r="JJ243" t="s">
        <v>1309</v>
      </c>
      <c r="JK243" t="s">
        <v>1309</v>
      </c>
      <c r="JL243" t="s">
        <v>1309</v>
      </c>
      <c r="JM243" t="s">
        <v>1309</v>
      </c>
      <c r="JN243" t="s">
        <v>1310</v>
      </c>
      <c r="JO243" t="s">
        <v>1309</v>
      </c>
      <c r="JQ243" s="92" t="s">
        <v>1333</v>
      </c>
      <c r="JR243" s="92" t="s">
        <v>1493</v>
      </c>
      <c r="JS243" s="92">
        <v>75</v>
      </c>
      <c r="JT243" s="92" t="s">
        <v>1319</v>
      </c>
      <c r="JU243" s="92" t="s">
        <v>1335</v>
      </c>
      <c r="JV243" s="92" t="s">
        <v>1336</v>
      </c>
      <c r="JW243" s="92" t="s">
        <v>1296</v>
      </c>
      <c r="JX243" s="92" t="s">
        <v>71</v>
      </c>
      <c r="JY243" s="92" t="s">
        <v>5549</v>
      </c>
      <c r="JZ243" s="92" t="s">
        <v>1369</v>
      </c>
      <c r="KA243" s="92" t="s">
        <v>4845</v>
      </c>
      <c r="KB243" s="92" t="s">
        <v>1476</v>
      </c>
      <c r="KC243" s="92" t="s">
        <v>109</v>
      </c>
      <c r="KD243" s="92" t="s">
        <v>4847</v>
      </c>
      <c r="KE243" s="92" t="s">
        <v>1340</v>
      </c>
      <c r="KF243" s="92">
        <v>1000</v>
      </c>
      <c r="KG243" s="92" t="s">
        <v>1340</v>
      </c>
      <c r="KH243" s="92" t="s">
        <v>192</v>
      </c>
      <c r="KI243" s="92" t="s">
        <v>109</v>
      </c>
      <c r="KJ243" s="92" t="s">
        <v>109</v>
      </c>
      <c r="KK243" s="92" t="s">
        <v>109</v>
      </c>
      <c r="KL243" s="92" t="s">
        <v>1374</v>
      </c>
      <c r="KM243" s="92">
        <v>800</v>
      </c>
      <c r="KN243" s="92" t="s">
        <v>1340</v>
      </c>
      <c r="KO243" s="92" t="s">
        <v>1374</v>
      </c>
      <c r="KP243" s="92" t="s">
        <v>1401</v>
      </c>
      <c r="KQ243" s="92" t="s">
        <v>192</v>
      </c>
      <c r="KR243" s="92"/>
      <c r="KS243" s="92" t="s">
        <v>1343</v>
      </c>
      <c r="KT243" s="92" t="s">
        <v>1402</v>
      </c>
      <c r="KU243" s="92"/>
      <c r="KV243" s="92" t="s">
        <v>1441</v>
      </c>
      <c r="KW243" s="92" t="s">
        <v>1344</v>
      </c>
      <c r="KX243" s="92" t="s">
        <v>1799</v>
      </c>
      <c r="KY243" s="92" t="s">
        <v>1347</v>
      </c>
      <c r="KZ243" s="92" t="s">
        <v>5795</v>
      </c>
      <c r="LA243" s="92" t="s">
        <v>109</v>
      </c>
      <c r="LB243" s="92" t="s">
        <v>109</v>
      </c>
      <c r="LC243" s="92" t="s">
        <v>5566</v>
      </c>
      <c r="LD243" s="92" t="s">
        <v>5566</v>
      </c>
      <c r="LE243" s="92"/>
      <c r="LF243" s="92"/>
    </row>
    <row r="244" spans="1:318" x14ac:dyDescent="0.25">
      <c r="A244" t="s">
        <v>2445</v>
      </c>
      <c r="B244" t="s">
        <v>2446</v>
      </c>
      <c r="C244" t="s">
        <v>1304</v>
      </c>
      <c r="D244" t="s">
        <v>1305</v>
      </c>
      <c r="E244" t="s">
        <v>1306</v>
      </c>
      <c r="G244" t="s">
        <v>1307</v>
      </c>
      <c r="H244">
        <v>1</v>
      </c>
      <c r="J244" t="s">
        <v>1430</v>
      </c>
      <c r="K244" t="s">
        <v>1309</v>
      </c>
      <c r="L244" t="s">
        <v>1309</v>
      </c>
      <c r="M244" t="s">
        <v>1310</v>
      </c>
      <c r="N244" t="s">
        <v>1309</v>
      </c>
      <c r="O244" t="s">
        <v>1309</v>
      </c>
      <c r="P244" t="s">
        <v>1309</v>
      </c>
      <c r="Q244" t="s">
        <v>1309</v>
      </c>
      <c r="R244" t="s">
        <v>1309</v>
      </c>
      <c r="T244">
        <v>1</v>
      </c>
      <c r="U244" t="s">
        <v>1312</v>
      </c>
      <c r="V244" t="s">
        <v>1312</v>
      </c>
      <c r="W244" t="s">
        <v>1311</v>
      </c>
      <c r="X244" t="s">
        <v>1312</v>
      </c>
      <c r="Y244" t="s">
        <v>1312</v>
      </c>
      <c r="Z244" t="s">
        <v>1312</v>
      </c>
      <c r="AC244">
        <v>1</v>
      </c>
      <c r="AD244">
        <v>7000</v>
      </c>
      <c r="AE244">
        <v>7000</v>
      </c>
      <c r="AF244" t="s">
        <v>1351</v>
      </c>
      <c r="AH244" t="s">
        <v>1314</v>
      </c>
      <c r="AJ244" t="s">
        <v>1315</v>
      </c>
      <c r="AL244" t="s">
        <v>1316</v>
      </c>
      <c r="BS244" t="s">
        <v>1307</v>
      </c>
      <c r="CE244" t="s">
        <v>1695</v>
      </c>
      <c r="CF244" t="s">
        <v>1309</v>
      </c>
      <c r="CG244" t="s">
        <v>1309</v>
      </c>
      <c r="CH244" t="s">
        <v>1309</v>
      </c>
      <c r="CI244" t="s">
        <v>1309</v>
      </c>
      <c r="CJ244" t="s">
        <v>1309</v>
      </c>
      <c r="CK244" t="s">
        <v>1309</v>
      </c>
      <c r="CL244" t="s">
        <v>1310</v>
      </c>
      <c r="CM244" t="s">
        <v>1309</v>
      </c>
      <c r="CN244" t="s">
        <v>1310</v>
      </c>
      <c r="CO244" t="s">
        <v>1309</v>
      </c>
      <c r="CP244" t="s">
        <v>1309</v>
      </c>
      <c r="CQ244" t="s">
        <v>1309</v>
      </c>
      <c r="CR244" t="s">
        <v>1309</v>
      </c>
      <c r="CT244" t="s">
        <v>4434</v>
      </c>
      <c r="CV244" t="s">
        <v>1356</v>
      </c>
      <c r="CW244" t="s">
        <v>1309</v>
      </c>
      <c r="CX244" t="s">
        <v>1309</v>
      </c>
      <c r="CY244" t="s">
        <v>1309</v>
      </c>
      <c r="CZ244" t="s">
        <v>1310</v>
      </c>
      <c r="DA244" t="s">
        <v>1309</v>
      </c>
      <c r="DB244" t="s">
        <v>1309</v>
      </c>
      <c r="DC244" t="s">
        <v>1309</v>
      </c>
      <c r="DE244" t="s">
        <v>1358</v>
      </c>
      <c r="DG244">
        <v>1600</v>
      </c>
      <c r="DI244">
        <v>500</v>
      </c>
      <c r="DJ244" t="s">
        <v>1358</v>
      </c>
      <c r="DK244">
        <v>2200</v>
      </c>
      <c r="DM244">
        <v>500</v>
      </c>
      <c r="DN244" t="s">
        <v>1432</v>
      </c>
      <c r="DO244" t="s">
        <v>1310</v>
      </c>
      <c r="DP244" t="s">
        <v>1309</v>
      </c>
      <c r="DQ244" t="s">
        <v>1309</v>
      </c>
      <c r="DR244" t="s">
        <v>1310</v>
      </c>
      <c r="DS244" t="s">
        <v>1309</v>
      </c>
      <c r="DT244" t="s">
        <v>1310</v>
      </c>
      <c r="DU244" t="s">
        <v>1309</v>
      </c>
      <c r="DV244" t="s">
        <v>1309</v>
      </c>
      <c r="DW244" t="s">
        <v>1309</v>
      </c>
      <c r="DY244" t="s">
        <v>1481</v>
      </c>
      <c r="DZ244">
        <v>400</v>
      </c>
      <c r="EA244" t="s">
        <v>1386</v>
      </c>
      <c r="EC244" t="s">
        <v>1387</v>
      </c>
      <c r="ED244">
        <v>1000</v>
      </c>
      <c r="EE244" t="s">
        <v>1386</v>
      </c>
      <c r="EG244" t="s">
        <v>5356</v>
      </c>
      <c r="EI244" t="s">
        <v>1319</v>
      </c>
      <c r="EJ244" t="s">
        <v>2185</v>
      </c>
      <c r="EK244" t="s">
        <v>1310</v>
      </c>
      <c r="EL244" t="s">
        <v>1309</v>
      </c>
      <c r="EM244" t="s">
        <v>1309</v>
      </c>
      <c r="EN244" t="s">
        <v>1309</v>
      </c>
      <c r="EO244" t="s">
        <v>1309</v>
      </c>
      <c r="EP244" t="s">
        <v>1309</v>
      </c>
      <c r="EQ244" t="s">
        <v>1309</v>
      </c>
      <c r="ER244" t="s">
        <v>1309</v>
      </c>
      <c r="ET244" t="s">
        <v>1414</v>
      </c>
      <c r="EV244" t="s">
        <v>1319</v>
      </c>
      <c r="EW244" t="s">
        <v>1361</v>
      </c>
      <c r="EX244" t="s">
        <v>1319</v>
      </c>
      <c r="EY244" t="s">
        <v>1319</v>
      </c>
      <c r="EZ244" t="s">
        <v>1319</v>
      </c>
      <c r="FA244" t="s">
        <v>2447</v>
      </c>
      <c r="FB244" t="s">
        <v>1310</v>
      </c>
      <c r="FC244" t="s">
        <v>1310</v>
      </c>
      <c r="FD244" t="s">
        <v>1310</v>
      </c>
      <c r="FE244" t="s">
        <v>1310</v>
      </c>
      <c r="FF244" t="s">
        <v>1310</v>
      </c>
      <c r="FG244" t="s">
        <v>1309</v>
      </c>
      <c r="FH244" t="s">
        <v>1309</v>
      </c>
      <c r="FI244" t="s">
        <v>1310</v>
      </c>
      <c r="FJ244" t="s">
        <v>1309</v>
      </c>
      <c r="FK244" t="s">
        <v>1309</v>
      </c>
      <c r="FL244" t="s">
        <v>1309</v>
      </c>
      <c r="FM244" t="s">
        <v>1310</v>
      </c>
      <c r="FN244" t="s">
        <v>1309</v>
      </c>
      <c r="FO244" t="s">
        <v>1310</v>
      </c>
      <c r="FP244" t="s">
        <v>1309</v>
      </c>
      <c r="FQ244" t="s">
        <v>1309</v>
      </c>
      <c r="FR244" t="s">
        <v>1309</v>
      </c>
      <c r="FT244" t="s">
        <v>1319</v>
      </c>
      <c r="FU244" t="s">
        <v>2448</v>
      </c>
      <c r="FV244" t="s">
        <v>1310</v>
      </c>
      <c r="FW244" t="s">
        <v>1310</v>
      </c>
      <c r="FX244" t="s">
        <v>1309</v>
      </c>
      <c r="FY244" t="s">
        <v>1309</v>
      </c>
      <c r="FZ244" t="s">
        <v>1309</v>
      </c>
      <c r="GA244" t="s">
        <v>1310</v>
      </c>
      <c r="GB244" t="s">
        <v>1309</v>
      </c>
      <c r="GC244" t="s">
        <v>1309</v>
      </c>
      <c r="GD244" t="s">
        <v>1309</v>
      </c>
      <c r="GE244" t="s">
        <v>1309</v>
      </c>
      <c r="GF244" t="s">
        <v>1309</v>
      </c>
      <c r="GG244" t="s">
        <v>1309</v>
      </c>
      <c r="GI244" t="s">
        <v>1436</v>
      </c>
      <c r="GJ244" t="s">
        <v>1436</v>
      </c>
      <c r="GK244" t="s">
        <v>1319</v>
      </c>
      <c r="GL244" t="s">
        <v>2449</v>
      </c>
      <c r="GM244" t="s">
        <v>1310</v>
      </c>
      <c r="GN244" t="s">
        <v>1310</v>
      </c>
      <c r="GO244" t="s">
        <v>1309</v>
      </c>
      <c r="GP244" t="s">
        <v>1309</v>
      </c>
      <c r="GQ244" t="s">
        <v>1309</v>
      </c>
      <c r="GR244" t="s">
        <v>1309</v>
      </c>
      <c r="GT244" t="s">
        <v>1325</v>
      </c>
      <c r="GU244" t="s">
        <v>1310</v>
      </c>
      <c r="GV244" t="s">
        <v>1309</v>
      </c>
      <c r="GW244" t="s">
        <v>1309</v>
      </c>
      <c r="GX244" t="s">
        <v>1309</v>
      </c>
      <c r="GY244" t="s">
        <v>1309</v>
      </c>
      <c r="GZ244" t="s">
        <v>1309</v>
      </c>
      <c r="HA244" t="s">
        <v>1309</v>
      </c>
      <c r="HB244" t="s">
        <v>1309</v>
      </c>
      <c r="HC244" t="s">
        <v>1309</v>
      </c>
      <c r="HD244" t="s">
        <v>1309</v>
      </c>
      <c r="HE244" t="s">
        <v>1309</v>
      </c>
      <c r="HF244" t="s">
        <v>1309</v>
      </c>
      <c r="HH244" t="s">
        <v>1326</v>
      </c>
      <c r="HI244" t="s">
        <v>1327</v>
      </c>
      <c r="HJ244" t="s">
        <v>1390</v>
      </c>
      <c r="HK244" t="s">
        <v>1327</v>
      </c>
      <c r="HL244" t="s">
        <v>1437</v>
      </c>
      <c r="HM244" t="s">
        <v>1326</v>
      </c>
      <c r="HN244" t="s">
        <v>1698</v>
      </c>
      <c r="HO244" t="s">
        <v>1309</v>
      </c>
      <c r="HP244" t="s">
        <v>1309</v>
      </c>
      <c r="HQ244" t="s">
        <v>1309</v>
      </c>
      <c r="HR244" t="s">
        <v>1309</v>
      </c>
      <c r="HS244" t="s">
        <v>1309</v>
      </c>
      <c r="HT244" t="s">
        <v>1309</v>
      </c>
      <c r="HU244" t="s">
        <v>1309</v>
      </c>
      <c r="HV244" t="s">
        <v>1309</v>
      </c>
      <c r="HW244" t="s">
        <v>1310</v>
      </c>
      <c r="HX244" t="s">
        <v>1309</v>
      </c>
      <c r="HY244" t="s">
        <v>1309</v>
      </c>
      <c r="HZ244" t="s">
        <v>2041</v>
      </c>
      <c r="IA244" t="s">
        <v>1307</v>
      </c>
      <c r="IQ244" t="s">
        <v>1308</v>
      </c>
      <c r="IS244" t="s">
        <v>1331</v>
      </c>
      <c r="JF244" t="s">
        <v>1316</v>
      </c>
      <c r="JG244" t="s">
        <v>1414</v>
      </c>
      <c r="JH244" t="s">
        <v>1309</v>
      </c>
      <c r="JI244" t="s">
        <v>1309</v>
      </c>
      <c r="JJ244" t="s">
        <v>1309</v>
      </c>
      <c r="JK244" t="s">
        <v>1309</v>
      </c>
      <c r="JL244" t="s">
        <v>1309</v>
      </c>
      <c r="JM244" t="s">
        <v>1309</v>
      </c>
      <c r="JN244" t="s">
        <v>1310</v>
      </c>
      <c r="JO244" t="s">
        <v>1309</v>
      </c>
      <c r="JQ244" s="92" t="s">
        <v>1333</v>
      </c>
      <c r="JR244" s="92" t="s">
        <v>2048</v>
      </c>
      <c r="JS244" s="92">
        <v>67</v>
      </c>
      <c r="JT244" s="92" t="s">
        <v>1319</v>
      </c>
      <c r="JU244" s="92" t="s">
        <v>1335</v>
      </c>
      <c r="JV244" s="92" t="s">
        <v>1336</v>
      </c>
      <c r="JW244" s="92" t="s">
        <v>1296</v>
      </c>
      <c r="JX244" s="92" t="s">
        <v>70</v>
      </c>
      <c r="JY244" s="92" t="s">
        <v>5549</v>
      </c>
      <c r="JZ244" s="92" t="s">
        <v>1369</v>
      </c>
      <c r="KA244" s="92" t="s">
        <v>4844</v>
      </c>
      <c r="KB244" s="92" t="s">
        <v>1476</v>
      </c>
      <c r="KC244" s="92" t="s">
        <v>109</v>
      </c>
      <c r="KD244" s="92" t="s">
        <v>4844</v>
      </c>
      <c r="KE244" s="92" t="s">
        <v>1424</v>
      </c>
      <c r="KF244" s="92">
        <v>2100</v>
      </c>
      <c r="KG244" s="92" t="s">
        <v>4439</v>
      </c>
      <c r="KH244" s="92" t="s">
        <v>192</v>
      </c>
      <c r="KI244" s="92" t="s">
        <v>109</v>
      </c>
      <c r="KJ244" s="92" t="s">
        <v>192</v>
      </c>
      <c r="KK244" s="92" t="s">
        <v>109</v>
      </c>
      <c r="KL244" s="92" t="s">
        <v>1425</v>
      </c>
      <c r="KM244" s="92">
        <v>2700</v>
      </c>
      <c r="KN244" s="92" t="s">
        <v>4439</v>
      </c>
      <c r="KO244" s="92" t="s">
        <v>1425</v>
      </c>
      <c r="KP244" s="92" t="s">
        <v>1375</v>
      </c>
      <c r="KQ244" s="92" t="s">
        <v>192</v>
      </c>
      <c r="KR244" s="92">
        <v>19</v>
      </c>
      <c r="KS244" s="92" t="s">
        <v>1343</v>
      </c>
      <c r="KT244" s="92" t="s">
        <v>1402</v>
      </c>
      <c r="KU244" s="92">
        <v>37</v>
      </c>
      <c r="KV244" s="92" t="s">
        <v>1461</v>
      </c>
      <c r="KW244" s="92" t="s">
        <v>1402</v>
      </c>
      <c r="KX244" s="92" t="s">
        <v>1376</v>
      </c>
      <c r="KY244" s="92" t="s">
        <v>1347</v>
      </c>
      <c r="KZ244" s="92" t="s">
        <v>5795</v>
      </c>
      <c r="LA244" s="92" t="s">
        <v>109</v>
      </c>
      <c r="LB244" s="92" t="s">
        <v>109</v>
      </c>
      <c r="LC244" s="92" t="s">
        <v>4438</v>
      </c>
      <c r="LD244" s="92" t="s">
        <v>4439</v>
      </c>
      <c r="LE244" s="92" t="s">
        <v>192</v>
      </c>
      <c r="LF244" s="92" t="s">
        <v>192</v>
      </c>
    </row>
    <row r="245" spans="1:318" x14ac:dyDescent="0.25">
      <c r="A245" t="s">
        <v>2450</v>
      </c>
      <c r="B245" t="s">
        <v>2451</v>
      </c>
      <c r="C245" t="s">
        <v>1304</v>
      </c>
      <c r="D245" t="s">
        <v>1429</v>
      </c>
      <c r="E245" t="s">
        <v>1306</v>
      </c>
      <c r="G245" t="s">
        <v>1307</v>
      </c>
      <c r="H245">
        <v>2</v>
      </c>
      <c r="I245" t="s">
        <v>1307</v>
      </c>
      <c r="J245" t="s">
        <v>1308</v>
      </c>
      <c r="K245" t="s">
        <v>1309</v>
      </c>
      <c r="L245" t="s">
        <v>1309</v>
      </c>
      <c r="M245" t="s">
        <v>1309</v>
      </c>
      <c r="N245" t="s">
        <v>1309</v>
      </c>
      <c r="O245" t="s">
        <v>1309</v>
      </c>
      <c r="P245" t="s">
        <v>1309</v>
      </c>
      <c r="Q245" t="s">
        <v>1310</v>
      </c>
      <c r="R245" t="s">
        <v>1309</v>
      </c>
      <c r="U245" t="s">
        <v>1312</v>
      </c>
      <c r="V245" t="s">
        <v>1312</v>
      </c>
      <c r="W245" t="s">
        <v>1312</v>
      </c>
      <c r="X245" t="s">
        <v>1312</v>
      </c>
      <c r="Y245" t="s">
        <v>1312</v>
      </c>
      <c r="Z245" t="s">
        <v>1312</v>
      </c>
      <c r="AC245">
        <v>2</v>
      </c>
      <c r="AD245">
        <v>30000</v>
      </c>
      <c r="AE245">
        <v>25000</v>
      </c>
      <c r="AF245" t="s">
        <v>1313</v>
      </c>
      <c r="AH245" t="s">
        <v>1314</v>
      </c>
      <c r="AJ245" t="s">
        <v>1315</v>
      </c>
      <c r="AL245" t="s">
        <v>1316</v>
      </c>
      <c r="BS245" t="s">
        <v>1307</v>
      </c>
      <c r="CE245" t="s">
        <v>2452</v>
      </c>
      <c r="CF245" t="s">
        <v>1310</v>
      </c>
      <c r="CG245" t="s">
        <v>1309</v>
      </c>
      <c r="CH245" t="s">
        <v>1309</v>
      </c>
      <c r="CI245" t="s">
        <v>1309</v>
      </c>
      <c r="CJ245" t="s">
        <v>1310</v>
      </c>
      <c r="CK245" t="s">
        <v>1309</v>
      </c>
      <c r="CL245" t="s">
        <v>1309</v>
      </c>
      <c r="CM245" t="s">
        <v>1310</v>
      </c>
      <c r="CN245" t="s">
        <v>1310</v>
      </c>
      <c r="CO245" t="s">
        <v>1310</v>
      </c>
      <c r="CP245" t="s">
        <v>1309</v>
      </c>
      <c r="CQ245" t="s">
        <v>1309</v>
      </c>
      <c r="CR245" t="s">
        <v>1309</v>
      </c>
      <c r="CT245" t="s">
        <v>4435</v>
      </c>
      <c r="CV245" t="s">
        <v>1308</v>
      </c>
      <c r="CW245" t="s">
        <v>1310</v>
      </c>
      <c r="CX245" t="s">
        <v>1309</v>
      </c>
      <c r="CY245" t="s">
        <v>1309</v>
      </c>
      <c r="CZ245" t="s">
        <v>1309</v>
      </c>
      <c r="DA245" t="s">
        <v>1309</v>
      </c>
      <c r="DB245" t="s">
        <v>1309</v>
      </c>
      <c r="DC245" t="s">
        <v>1309</v>
      </c>
      <c r="DE245" t="s">
        <v>1358</v>
      </c>
      <c r="DF245" t="s">
        <v>1307</v>
      </c>
      <c r="DH245">
        <v>2000</v>
      </c>
      <c r="DI245">
        <v>800</v>
      </c>
      <c r="DJ245" t="s">
        <v>1358</v>
      </c>
      <c r="DL245">
        <v>2900</v>
      </c>
      <c r="DM245">
        <v>900</v>
      </c>
      <c r="DN245" t="s">
        <v>1320</v>
      </c>
      <c r="DO245" t="s">
        <v>1310</v>
      </c>
      <c r="DP245" t="s">
        <v>1309</v>
      </c>
      <c r="DQ245" t="s">
        <v>1309</v>
      </c>
      <c r="DR245" t="s">
        <v>1309</v>
      </c>
      <c r="DS245" t="s">
        <v>1309</v>
      </c>
      <c r="DT245" t="s">
        <v>1310</v>
      </c>
      <c r="DU245" t="s">
        <v>1309</v>
      </c>
      <c r="DV245" t="s">
        <v>1309</v>
      </c>
      <c r="DW245" t="s">
        <v>1309</v>
      </c>
      <c r="DY245" t="s">
        <v>1456</v>
      </c>
      <c r="DZ245">
        <v>300</v>
      </c>
      <c r="EA245" t="s">
        <v>1319</v>
      </c>
      <c r="EC245" t="s">
        <v>1457</v>
      </c>
      <c r="ED245">
        <v>800</v>
      </c>
      <c r="EE245" t="s">
        <v>1319</v>
      </c>
      <c r="EG245" t="s">
        <v>5357</v>
      </c>
      <c r="ET245" t="s">
        <v>1307</v>
      </c>
      <c r="EV245" t="s">
        <v>1319</v>
      </c>
      <c r="EW245" t="s">
        <v>1421</v>
      </c>
      <c r="EX245" t="s">
        <v>1319</v>
      </c>
      <c r="FA245" t="s">
        <v>2039</v>
      </c>
      <c r="FB245" t="s">
        <v>1309</v>
      </c>
      <c r="FC245" t="s">
        <v>1309</v>
      </c>
      <c r="FD245" t="s">
        <v>1309</v>
      </c>
      <c r="FE245" t="s">
        <v>1309</v>
      </c>
      <c r="FF245" t="s">
        <v>1309</v>
      </c>
      <c r="FG245" t="s">
        <v>1309</v>
      </c>
      <c r="FH245" t="s">
        <v>1309</v>
      </c>
      <c r="FI245" t="s">
        <v>1309</v>
      </c>
      <c r="FJ245" t="s">
        <v>1309</v>
      </c>
      <c r="FK245" t="s">
        <v>1309</v>
      </c>
      <c r="FL245" t="s">
        <v>1309</v>
      </c>
      <c r="FM245" t="s">
        <v>1310</v>
      </c>
      <c r="FN245" t="s">
        <v>1309</v>
      </c>
      <c r="FO245" t="s">
        <v>1309</v>
      </c>
      <c r="FP245" t="s">
        <v>1309</v>
      </c>
      <c r="FQ245" t="s">
        <v>1309</v>
      </c>
      <c r="FR245" t="s">
        <v>1309</v>
      </c>
      <c r="FT245" t="s">
        <v>1307</v>
      </c>
      <c r="GI245" t="s">
        <v>1324</v>
      </c>
      <c r="GJ245" t="s">
        <v>1448</v>
      </c>
      <c r="GT245" t="s">
        <v>1325</v>
      </c>
      <c r="GU245" t="s">
        <v>1310</v>
      </c>
      <c r="GV245" t="s">
        <v>1309</v>
      </c>
      <c r="GW245" t="s">
        <v>1309</v>
      </c>
      <c r="GX245" t="s">
        <v>1309</v>
      </c>
      <c r="GY245" t="s">
        <v>1309</v>
      </c>
      <c r="GZ245" t="s">
        <v>1309</v>
      </c>
      <c r="HA245" t="s">
        <v>1309</v>
      </c>
      <c r="HB245" t="s">
        <v>1309</v>
      </c>
      <c r="HC245" t="s">
        <v>1309</v>
      </c>
      <c r="HD245" t="s">
        <v>1309</v>
      </c>
      <c r="HE245" t="s">
        <v>1309</v>
      </c>
      <c r="HF245" t="s">
        <v>1309</v>
      </c>
      <c r="HH245" t="s">
        <v>1326</v>
      </c>
      <c r="HI245" t="s">
        <v>1390</v>
      </c>
      <c r="HJ245" t="s">
        <v>1326</v>
      </c>
      <c r="HK245" t="s">
        <v>1327</v>
      </c>
      <c r="HL245" t="s">
        <v>1364</v>
      </c>
      <c r="HM245" t="s">
        <v>1326</v>
      </c>
      <c r="IA245" t="s">
        <v>1319</v>
      </c>
      <c r="IB245" t="s">
        <v>2453</v>
      </c>
      <c r="IC245" t="s">
        <v>1309</v>
      </c>
      <c r="ID245" t="s">
        <v>1309</v>
      </c>
      <c r="IE245" t="s">
        <v>1310</v>
      </c>
      <c r="IF245" t="s">
        <v>1309</v>
      </c>
      <c r="IG245" t="s">
        <v>1310</v>
      </c>
      <c r="IH245" t="s">
        <v>1309</v>
      </c>
      <c r="II245" t="s">
        <v>1309</v>
      </c>
      <c r="IJ245" t="s">
        <v>1309</v>
      </c>
      <c r="IK245" t="s">
        <v>1309</v>
      </c>
      <c r="IL245" t="s">
        <v>1309</v>
      </c>
      <c r="IM245" t="s">
        <v>1309</v>
      </c>
      <c r="IN245" t="s">
        <v>1309</v>
      </c>
      <c r="IO245" t="s">
        <v>1309</v>
      </c>
      <c r="IQ245" t="s">
        <v>1330</v>
      </c>
      <c r="IS245" t="s">
        <v>1354</v>
      </c>
      <c r="JF245" t="s">
        <v>1316</v>
      </c>
      <c r="JG245" t="s">
        <v>1580</v>
      </c>
      <c r="JH245" t="s">
        <v>1309</v>
      </c>
      <c r="JI245" t="s">
        <v>1309</v>
      </c>
      <c r="JJ245" t="s">
        <v>1310</v>
      </c>
      <c r="JK245" t="s">
        <v>1310</v>
      </c>
      <c r="JL245" t="s">
        <v>1309</v>
      </c>
      <c r="JM245" t="s">
        <v>1309</v>
      </c>
      <c r="JN245" t="s">
        <v>1309</v>
      </c>
      <c r="JO245" t="s">
        <v>1309</v>
      </c>
      <c r="JQ245" s="92" t="s">
        <v>1333</v>
      </c>
      <c r="JR245" s="92" t="s">
        <v>1334</v>
      </c>
      <c r="JS245" s="92">
        <v>29</v>
      </c>
      <c r="JT245" s="92" t="s">
        <v>1319</v>
      </c>
      <c r="JU245" s="92" t="s">
        <v>1396</v>
      </c>
      <c r="JV245" s="92" t="s">
        <v>1336</v>
      </c>
      <c r="JW245" s="92" t="s">
        <v>1296</v>
      </c>
      <c r="JX245" s="92" t="s">
        <v>71</v>
      </c>
      <c r="JY245" s="92" t="s">
        <v>5549</v>
      </c>
      <c r="JZ245" s="92" t="s">
        <v>1398</v>
      </c>
      <c r="KA245" s="92" t="s">
        <v>4845</v>
      </c>
      <c r="KB245" s="92" t="s">
        <v>1338</v>
      </c>
      <c r="KC245" s="92" t="s">
        <v>109</v>
      </c>
      <c r="KD245" s="92" t="s">
        <v>4847</v>
      </c>
      <c r="KE245" s="92" t="s">
        <v>1416</v>
      </c>
      <c r="KF245" s="92">
        <v>2800</v>
      </c>
      <c r="KG245" s="92" t="s">
        <v>1372</v>
      </c>
      <c r="KH245" s="92" t="s">
        <v>109</v>
      </c>
      <c r="KI245" s="92" t="s">
        <v>192</v>
      </c>
      <c r="KJ245" s="92" t="s">
        <v>109</v>
      </c>
      <c r="KK245" s="92" t="s">
        <v>192</v>
      </c>
      <c r="KL245" s="92" t="s">
        <v>1425</v>
      </c>
      <c r="KM245" s="92">
        <v>3800</v>
      </c>
      <c r="KN245" s="92" t="s">
        <v>4438</v>
      </c>
      <c r="KO245" s="92" t="s">
        <v>1341</v>
      </c>
      <c r="KP245" s="92" t="s">
        <v>1342</v>
      </c>
      <c r="KQ245" s="92" t="s">
        <v>109</v>
      </c>
      <c r="KR245" s="92">
        <v>11</v>
      </c>
      <c r="KS245" s="92" t="s">
        <v>1343</v>
      </c>
      <c r="KT245" s="92" t="s">
        <v>1344</v>
      </c>
      <c r="KU245" s="92">
        <v>21</v>
      </c>
      <c r="KV245" s="92" t="s">
        <v>1441</v>
      </c>
      <c r="KW245" s="92" t="s">
        <v>1344</v>
      </c>
      <c r="KX245" s="92" t="s">
        <v>1376</v>
      </c>
      <c r="KY245" s="92" t="s">
        <v>1377</v>
      </c>
      <c r="KZ245" s="92" t="s">
        <v>5795</v>
      </c>
      <c r="LA245" s="92" t="s">
        <v>109</v>
      </c>
      <c r="LB245" s="92" t="s">
        <v>109</v>
      </c>
      <c r="LC245" s="92" t="s">
        <v>1372</v>
      </c>
      <c r="LD245" s="92" t="s">
        <v>4438</v>
      </c>
      <c r="LE245" s="92" t="s">
        <v>109</v>
      </c>
      <c r="LF245" s="92" t="s">
        <v>109</v>
      </c>
    </row>
    <row r="246" spans="1:318" x14ac:dyDescent="0.25">
      <c r="A246" t="s">
        <v>2454</v>
      </c>
      <c r="B246" t="s">
        <v>2455</v>
      </c>
      <c r="C246" t="s">
        <v>1304</v>
      </c>
      <c r="D246" t="s">
        <v>1305</v>
      </c>
      <c r="E246" t="s">
        <v>1306</v>
      </c>
      <c r="G246" t="s">
        <v>1307</v>
      </c>
      <c r="H246">
        <v>5</v>
      </c>
      <c r="I246" t="s">
        <v>1307</v>
      </c>
      <c r="J246" t="s">
        <v>1406</v>
      </c>
      <c r="K246" t="s">
        <v>1309</v>
      </c>
      <c r="L246" t="s">
        <v>1310</v>
      </c>
      <c r="M246" t="s">
        <v>1309</v>
      </c>
      <c r="N246" t="s">
        <v>1309</v>
      </c>
      <c r="O246" t="s">
        <v>1309</v>
      </c>
      <c r="P246" t="s">
        <v>1309</v>
      </c>
      <c r="Q246" t="s">
        <v>1309</v>
      </c>
      <c r="R246" t="s">
        <v>1309</v>
      </c>
      <c r="S246">
        <v>2</v>
      </c>
      <c r="U246" t="s">
        <v>1312</v>
      </c>
      <c r="V246" t="s">
        <v>1312</v>
      </c>
      <c r="W246" t="s">
        <v>1312</v>
      </c>
      <c r="X246" t="s">
        <v>1312</v>
      </c>
      <c r="Y246" t="s">
        <v>1312</v>
      </c>
      <c r="Z246" t="s">
        <v>1312</v>
      </c>
      <c r="AC246">
        <v>2</v>
      </c>
      <c r="AD246">
        <v>19000</v>
      </c>
      <c r="AE246">
        <v>18000</v>
      </c>
      <c r="AF246" t="s">
        <v>1351</v>
      </c>
      <c r="AH246" t="s">
        <v>1383</v>
      </c>
      <c r="AJ246" t="s">
        <v>1315</v>
      </c>
      <c r="AL246" t="s">
        <v>1316</v>
      </c>
      <c r="BS246" t="s">
        <v>1307</v>
      </c>
      <c r="CE246" t="s">
        <v>2384</v>
      </c>
      <c r="CF246" t="s">
        <v>1309</v>
      </c>
      <c r="CG246" t="s">
        <v>1309</v>
      </c>
      <c r="CH246" t="s">
        <v>1309</v>
      </c>
      <c r="CI246" t="s">
        <v>1309</v>
      </c>
      <c r="CJ246" t="s">
        <v>1309</v>
      </c>
      <c r="CK246" t="s">
        <v>1309</v>
      </c>
      <c r="CL246" t="s">
        <v>1309</v>
      </c>
      <c r="CM246" t="s">
        <v>1309</v>
      </c>
      <c r="CN246" t="s">
        <v>1310</v>
      </c>
      <c r="CO246" t="s">
        <v>1310</v>
      </c>
      <c r="CP246" t="s">
        <v>1309</v>
      </c>
      <c r="CQ246" t="s">
        <v>1309</v>
      </c>
      <c r="CR246" t="s">
        <v>1309</v>
      </c>
      <c r="CT246" t="s">
        <v>4434</v>
      </c>
      <c r="CV246" t="s">
        <v>1357</v>
      </c>
      <c r="CW246" t="s">
        <v>1309</v>
      </c>
      <c r="CX246" t="s">
        <v>1309</v>
      </c>
      <c r="CY246" t="s">
        <v>1309</v>
      </c>
      <c r="CZ246" t="s">
        <v>1309</v>
      </c>
      <c r="DA246" t="s">
        <v>1310</v>
      </c>
      <c r="DB246" t="s">
        <v>1309</v>
      </c>
      <c r="DC246" t="s">
        <v>1309</v>
      </c>
      <c r="DE246" t="s">
        <v>1358</v>
      </c>
      <c r="DG246">
        <v>3500</v>
      </c>
      <c r="DI246">
        <v>800</v>
      </c>
      <c r="DJ246" t="s">
        <v>1358</v>
      </c>
      <c r="DK246">
        <v>4200</v>
      </c>
      <c r="DM246">
        <v>900</v>
      </c>
      <c r="DN246" t="s">
        <v>1320</v>
      </c>
      <c r="DO246" t="s">
        <v>1310</v>
      </c>
      <c r="DP246" t="s">
        <v>1309</v>
      </c>
      <c r="DQ246" t="s">
        <v>1309</v>
      </c>
      <c r="DR246" t="s">
        <v>1309</v>
      </c>
      <c r="DS246" t="s">
        <v>1309</v>
      </c>
      <c r="DT246" t="s">
        <v>1310</v>
      </c>
      <c r="DU246" t="s">
        <v>1309</v>
      </c>
      <c r="DV246" t="s">
        <v>1309</v>
      </c>
      <c r="DW246" t="s">
        <v>1309</v>
      </c>
      <c r="DY246" t="s">
        <v>1446</v>
      </c>
      <c r="DZ246">
        <v>500</v>
      </c>
      <c r="EA246" t="s">
        <v>1319</v>
      </c>
      <c r="EC246" t="s">
        <v>1420</v>
      </c>
      <c r="ED246">
        <v>550</v>
      </c>
      <c r="EE246" t="s">
        <v>1319</v>
      </c>
      <c r="EG246" t="s">
        <v>5357</v>
      </c>
      <c r="ET246" t="s">
        <v>1307</v>
      </c>
      <c r="EV246" t="s">
        <v>1307</v>
      </c>
      <c r="EX246" t="s">
        <v>1319</v>
      </c>
      <c r="EY246" t="s">
        <v>1319</v>
      </c>
      <c r="FA246" t="s">
        <v>2414</v>
      </c>
      <c r="FB246" t="s">
        <v>1310</v>
      </c>
      <c r="FC246" t="s">
        <v>1309</v>
      </c>
      <c r="FD246" t="s">
        <v>1310</v>
      </c>
      <c r="FE246" t="s">
        <v>1309</v>
      </c>
      <c r="FF246" t="s">
        <v>1309</v>
      </c>
      <c r="FG246" t="s">
        <v>1309</v>
      </c>
      <c r="FH246" t="s">
        <v>1309</v>
      </c>
      <c r="FI246" t="s">
        <v>1310</v>
      </c>
      <c r="FJ246" t="s">
        <v>1309</v>
      </c>
      <c r="FK246" t="s">
        <v>1309</v>
      </c>
      <c r="FL246" t="s">
        <v>1309</v>
      </c>
      <c r="FM246" t="s">
        <v>1309</v>
      </c>
      <c r="FN246" t="s">
        <v>1309</v>
      </c>
      <c r="FO246" t="s">
        <v>1309</v>
      </c>
      <c r="FP246" t="s">
        <v>1309</v>
      </c>
      <c r="FQ246" t="s">
        <v>1309</v>
      </c>
      <c r="FR246" t="s">
        <v>1309</v>
      </c>
      <c r="FT246" t="s">
        <v>1307</v>
      </c>
      <c r="GI246" t="s">
        <v>1324</v>
      </c>
      <c r="GJ246" t="s">
        <v>1324</v>
      </c>
      <c r="GT246" t="s">
        <v>1325</v>
      </c>
      <c r="GU246" t="s">
        <v>1310</v>
      </c>
      <c r="GV246" t="s">
        <v>1309</v>
      </c>
      <c r="GW246" t="s">
        <v>1309</v>
      </c>
      <c r="GX246" t="s">
        <v>1309</v>
      </c>
      <c r="GY246" t="s">
        <v>1309</v>
      </c>
      <c r="GZ246" t="s">
        <v>1309</v>
      </c>
      <c r="HA246" t="s">
        <v>1309</v>
      </c>
      <c r="HB246" t="s">
        <v>1309</v>
      </c>
      <c r="HC246" t="s">
        <v>1309</v>
      </c>
      <c r="HD246" t="s">
        <v>1309</v>
      </c>
      <c r="HE246" t="s">
        <v>1309</v>
      </c>
      <c r="HF246" t="s">
        <v>1309</v>
      </c>
      <c r="HH246" t="s">
        <v>1326</v>
      </c>
      <c r="HI246" t="s">
        <v>1326</v>
      </c>
      <c r="HJ246" t="s">
        <v>1326</v>
      </c>
      <c r="HK246" t="s">
        <v>1327</v>
      </c>
      <c r="HL246" t="s">
        <v>1328</v>
      </c>
      <c r="HM246" t="s">
        <v>1326</v>
      </c>
      <c r="HN246" t="s">
        <v>1329</v>
      </c>
      <c r="HO246" t="s">
        <v>1309</v>
      </c>
      <c r="HP246" t="s">
        <v>1309</v>
      </c>
      <c r="HQ246" t="s">
        <v>1309</v>
      </c>
      <c r="HR246" t="s">
        <v>1310</v>
      </c>
      <c r="HS246" t="s">
        <v>1309</v>
      </c>
      <c r="HT246" t="s">
        <v>1309</v>
      </c>
      <c r="HU246" t="s">
        <v>1309</v>
      </c>
      <c r="HV246" t="s">
        <v>1309</v>
      </c>
      <c r="HW246" t="s">
        <v>1309</v>
      </c>
      <c r="HX246" t="s">
        <v>1309</v>
      </c>
      <c r="HY246" t="s">
        <v>1309</v>
      </c>
      <c r="IA246" t="s">
        <v>1319</v>
      </c>
      <c r="IB246" t="s">
        <v>1963</v>
      </c>
      <c r="IC246" t="s">
        <v>1310</v>
      </c>
      <c r="ID246" t="s">
        <v>1309</v>
      </c>
      <c r="IE246" t="s">
        <v>1309</v>
      </c>
      <c r="IF246" t="s">
        <v>1309</v>
      </c>
      <c r="IG246" t="s">
        <v>1310</v>
      </c>
      <c r="IH246" t="s">
        <v>1309</v>
      </c>
      <c r="II246" t="s">
        <v>1309</v>
      </c>
      <c r="IJ246" t="s">
        <v>1309</v>
      </c>
      <c r="IK246" t="s">
        <v>1309</v>
      </c>
      <c r="IL246" t="s">
        <v>1309</v>
      </c>
      <c r="IM246" t="s">
        <v>1309</v>
      </c>
      <c r="IN246" t="s">
        <v>1309</v>
      </c>
      <c r="IO246" t="s">
        <v>1309</v>
      </c>
      <c r="IQ246" t="s">
        <v>1330</v>
      </c>
      <c r="IS246" t="s">
        <v>1316</v>
      </c>
      <c r="JF246" t="s">
        <v>1331</v>
      </c>
      <c r="JG246" t="s">
        <v>1698</v>
      </c>
      <c r="JH246" t="s">
        <v>1309</v>
      </c>
      <c r="JI246" t="s">
        <v>1309</v>
      </c>
      <c r="JJ246" t="s">
        <v>1309</v>
      </c>
      <c r="JK246" t="s">
        <v>1309</v>
      </c>
      <c r="JL246" t="s">
        <v>1309</v>
      </c>
      <c r="JM246" t="s">
        <v>1310</v>
      </c>
      <c r="JN246" t="s">
        <v>1309</v>
      </c>
      <c r="JO246" t="s">
        <v>1309</v>
      </c>
      <c r="JP246" t="s">
        <v>2285</v>
      </c>
      <c r="JQ246" s="92" t="s">
        <v>1333</v>
      </c>
      <c r="JR246" s="92" t="s">
        <v>2456</v>
      </c>
      <c r="JS246" s="92">
        <v>43</v>
      </c>
      <c r="JT246" s="92" t="s">
        <v>1319</v>
      </c>
      <c r="JU246" s="92" t="s">
        <v>1335</v>
      </c>
      <c r="JV246" s="92" t="s">
        <v>1336</v>
      </c>
      <c r="JW246" s="92" t="s">
        <v>1296</v>
      </c>
      <c r="JX246" s="92" t="s">
        <v>70</v>
      </c>
      <c r="JY246" s="92" t="s">
        <v>5549</v>
      </c>
      <c r="JZ246" s="92" t="s">
        <v>1337</v>
      </c>
      <c r="KA246" s="92" t="s">
        <v>4846</v>
      </c>
      <c r="KB246" s="92" t="s">
        <v>1415</v>
      </c>
      <c r="KC246" s="92" t="s">
        <v>109</v>
      </c>
      <c r="KD246" s="92" t="s">
        <v>4847</v>
      </c>
      <c r="KE246" s="92" t="s">
        <v>1452</v>
      </c>
      <c r="KF246" s="92">
        <v>4300</v>
      </c>
      <c r="KG246" s="92" t="s">
        <v>4438</v>
      </c>
      <c r="KH246" s="92" t="s">
        <v>192</v>
      </c>
      <c r="KI246" s="92" t="s">
        <v>109</v>
      </c>
      <c r="KJ246" s="92" t="s">
        <v>192</v>
      </c>
      <c r="KK246" s="92" t="s">
        <v>109</v>
      </c>
      <c r="KL246" s="92" t="s">
        <v>1341</v>
      </c>
      <c r="KM246" s="92">
        <v>5100</v>
      </c>
      <c r="KN246" s="92" t="s">
        <v>4439</v>
      </c>
      <c r="KO246" s="92" t="s">
        <v>1341</v>
      </c>
      <c r="KP246" s="92" t="s">
        <v>1375</v>
      </c>
      <c r="KQ246" s="92" t="s">
        <v>192</v>
      </c>
      <c r="KR246" s="92">
        <v>12</v>
      </c>
      <c r="KS246" s="92" t="s">
        <v>1345</v>
      </c>
      <c r="KT246" s="92" t="s">
        <v>1344</v>
      </c>
      <c r="KU246" s="92">
        <v>11</v>
      </c>
      <c r="KV246" s="92" t="s">
        <v>1345</v>
      </c>
      <c r="KW246" s="92" t="s">
        <v>1344</v>
      </c>
      <c r="KX246" s="92" t="s">
        <v>1376</v>
      </c>
      <c r="KY246" s="92" t="s">
        <v>1377</v>
      </c>
      <c r="KZ246" s="92" t="s">
        <v>5795</v>
      </c>
      <c r="LA246" s="92" t="s">
        <v>109</v>
      </c>
      <c r="LB246" s="92" t="s">
        <v>109</v>
      </c>
      <c r="LC246" s="92" t="s">
        <v>4438</v>
      </c>
      <c r="LD246" s="92" t="s">
        <v>4438</v>
      </c>
      <c r="LE246" s="92" t="s">
        <v>192</v>
      </c>
      <c r="LF246" s="92" t="s">
        <v>192</v>
      </c>
    </row>
    <row r="247" spans="1:318" x14ac:dyDescent="0.25">
      <c r="A247" t="s">
        <v>2457</v>
      </c>
      <c r="B247" t="s">
        <v>2458</v>
      </c>
      <c r="C247" t="s">
        <v>1304</v>
      </c>
      <c r="D247" t="s">
        <v>1305</v>
      </c>
      <c r="E247" t="s">
        <v>1306</v>
      </c>
      <c r="G247" t="s">
        <v>1307</v>
      </c>
      <c r="H247">
        <v>5</v>
      </c>
      <c r="I247" t="s">
        <v>1318</v>
      </c>
      <c r="J247" t="s">
        <v>2459</v>
      </c>
      <c r="K247" t="s">
        <v>1309</v>
      </c>
      <c r="L247" t="s">
        <v>1310</v>
      </c>
      <c r="M247" t="s">
        <v>1310</v>
      </c>
      <c r="N247" t="s">
        <v>1309</v>
      </c>
      <c r="O247" t="s">
        <v>1310</v>
      </c>
      <c r="P247" t="s">
        <v>1310</v>
      </c>
      <c r="Q247" t="s">
        <v>1309</v>
      </c>
      <c r="R247" t="s">
        <v>1309</v>
      </c>
      <c r="S247">
        <v>2</v>
      </c>
      <c r="T247">
        <v>2</v>
      </c>
      <c r="U247" t="s">
        <v>1311</v>
      </c>
      <c r="V247" t="s">
        <v>1312</v>
      </c>
      <c r="W247" t="s">
        <v>1311</v>
      </c>
      <c r="X247" t="s">
        <v>1312</v>
      </c>
      <c r="Y247" t="s">
        <v>1312</v>
      </c>
      <c r="Z247" t="s">
        <v>1312</v>
      </c>
      <c r="AC247">
        <v>2</v>
      </c>
      <c r="AD247">
        <v>7000</v>
      </c>
      <c r="AE247">
        <v>5000</v>
      </c>
      <c r="AF247" t="s">
        <v>1313</v>
      </c>
      <c r="AH247" t="s">
        <v>1314</v>
      </c>
      <c r="AJ247" t="s">
        <v>1315</v>
      </c>
      <c r="AL247" t="s">
        <v>1354</v>
      </c>
      <c r="BS247" t="s">
        <v>1307</v>
      </c>
      <c r="CE247" t="s">
        <v>1355</v>
      </c>
      <c r="CF247" t="s">
        <v>1309</v>
      </c>
      <c r="CG247" t="s">
        <v>1309</v>
      </c>
      <c r="CH247" t="s">
        <v>1309</v>
      </c>
      <c r="CI247" t="s">
        <v>1309</v>
      </c>
      <c r="CJ247" t="s">
        <v>1309</v>
      </c>
      <c r="CK247" t="s">
        <v>1309</v>
      </c>
      <c r="CL247" t="s">
        <v>1309</v>
      </c>
      <c r="CM247" t="s">
        <v>1309</v>
      </c>
      <c r="CN247" t="s">
        <v>1310</v>
      </c>
      <c r="CO247" t="s">
        <v>1309</v>
      </c>
      <c r="CP247" t="s">
        <v>1309</v>
      </c>
      <c r="CQ247" t="s">
        <v>1309</v>
      </c>
      <c r="CR247" t="s">
        <v>1309</v>
      </c>
      <c r="CT247" t="s">
        <v>4435</v>
      </c>
      <c r="CV247" t="s">
        <v>1308</v>
      </c>
      <c r="CW247" t="s">
        <v>1310</v>
      </c>
      <c r="CX247" t="s">
        <v>1309</v>
      </c>
      <c r="CY247" t="s">
        <v>1309</v>
      </c>
      <c r="CZ247" t="s">
        <v>1309</v>
      </c>
      <c r="DA247" t="s">
        <v>1309</v>
      </c>
      <c r="DB247" t="s">
        <v>1309</v>
      </c>
      <c r="DC247" t="s">
        <v>1309</v>
      </c>
      <c r="DE247" t="s">
        <v>1358</v>
      </c>
      <c r="DF247" t="s">
        <v>1319</v>
      </c>
      <c r="DG247">
        <v>250</v>
      </c>
      <c r="DH247">
        <v>3000</v>
      </c>
      <c r="DI247">
        <v>300</v>
      </c>
      <c r="DJ247" t="s">
        <v>1318</v>
      </c>
      <c r="DK247">
        <v>300</v>
      </c>
      <c r="DL247">
        <v>3500</v>
      </c>
      <c r="DM247">
        <v>400</v>
      </c>
      <c r="DN247" t="s">
        <v>1320</v>
      </c>
      <c r="DO247" t="s">
        <v>1310</v>
      </c>
      <c r="DP247" t="s">
        <v>1309</v>
      </c>
      <c r="DQ247" t="s">
        <v>1309</v>
      </c>
      <c r="DR247" t="s">
        <v>1309</v>
      </c>
      <c r="DS247" t="s">
        <v>1309</v>
      </c>
      <c r="DT247" t="s">
        <v>1310</v>
      </c>
      <c r="DU247" t="s">
        <v>1309</v>
      </c>
      <c r="DV247" t="s">
        <v>1309</v>
      </c>
      <c r="DW247" t="s">
        <v>1309</v>
      </c>
      <c r="DY247" t="s">
        <v>1456</v>
      </c>
      <c r="DZ247">
        <v>350</v>
      </c>
      <c r="EA247" t="s">
        <v>1319</v>
      </c>
      <c r="EC247" t="s">
        <v>1360</v>
      </c>
      <c r="ED247">
        <v>1000</v>
      </c>
      <c r="EE247" t="s">
        <v>1319</v>
      </c>
      <c r="EG247" t="s">
        <v>5356</v>
      </c>
      <c r="EI247" t="s">
        <v>1307</v>
      </c>
      <c r="ET247" t="s">
        <v>1307</v>
      </c>
      <c r="EV247" t="s">
        <v>1319</v>
      </c>
      <c r="EW247" t="s">
        <v>1409</v>
      </c>
      <c r="EX247" t="s">
        <v>1319</v>
      </c>
      <c r="EY247" t="s">
        <v>1307</v>
      </c>
      <c r="FA247" t="s">
        <v>2460</v>
      </c>
      <c r="FB247" t="s">
        <v>1309</v>
      </c>
      <c r="FC247" t="s">
        <v>1309</v>
      </c>
      <c r="FD247" t="s">
        <v>1309</v>
      </c>
      <c r="FE247" t="s">
        <v>1310</v>
      </c>
      <c r="FF247" t="s">
        <v>1309</v>
      </c>
      <c r="FG247" t="s">
        <v>1309</v>
      </c>
      <c r="FH247" t="s">
        <v>1310</v>
      </c>
      <c r="FI247" t="s">
        <v>1310</v>
      </c>
      <c r="FJ247" t="s">
        <v>1309</v>
      </c>
      <c r="FK247" t="s">
        <v>1309</v>
      </c>
      <c r="FL247" t="s">
        <v>1309</v>
      </c>
      <c r="FM247" t="s">
        <v>1310</v>
      </c>
      <c r="FN247" t="s">
        <v>1310</v>
      </c>
      <c r="FO247" t="s">
        <v>1310</v>
      </c>
      <c r="FP247" t="s">
        <v>1309</v>
      </c>
      <c r="FQ247" t="s">
        <v>1309</v>
      </c>
      <c r="FR247" t="s">
        <v>1309</v>
      </c>
      <c r="FT247" t="s">
        <v>1319</v>
      </c>
      <c r="FU247" t="s">
        <v>1435</v>
      </c>
      <c r="FV247" t="s">
        <v>1310</v>
      </c>
      <c r="FW247" t="s">
        <v>1309</v>
      </c>
      <c r="FX247" t="s">
        <v>1309</v>
      </c>
      <c r="FY247" t="s">
        <v>1309</v>
      </c>
      <c r="FZ247" t="s">
        <v>1309</v>
      </c>
      <c r="GA247" t="s">
        <v>1309</v>
      </c>
      <c r="GB247" t="s">
        <v>1309</v>
      </c>
      <c r="GC247" t="s">
        <v>1309</v>
      </c>
      <c r="GD247" t="s">
        <v>1309</v>
      </c>
      <c r="GE247" t="s">
        <v>1309</v>
      </c>
      <c r="GF247" t="s">
        <v>1309</v>
      </c>
      <c r="GG247" t="s">
        <v>1309</v>
      </c>
      <c r="GI247" t="s">
        <v>1324</v>
      </c>
      <c r="GJ247" t="s">
        <v>1324</v>
      </c>
      <c r="GT247" t="s">
        <v>1325</v>
      </c>
      <c r="GU247" t="s">
        <v>1310</v>
      </c>
      <c r="GV247" t="s">
        <v>1309</v>
      </c>
      <c r="GW247" t="s">
        <v>1309</v>
      </c>
      <c r="GX247" t="s">
        <v>1309</v>
      </c>
      <c r="GY247" t="s">
        <v>1309</v>
      </c>
      <c r="GZ247" t="s">
        <v>1309</v>
      </c>
      <c r="HA247" t="s">
        <v>1309</v>
      </c>
      <c r="HB247" t="s">
        <v>1309</v>
      </c>
      <c r="HC247" t="s">
        <v>1309</v>
      </c>
      <c r="HD247" t="s">
        <v>1309</v>
      </c>
      <c r="HE247" t="s">
        <v>1309</v>
      </c>
      <c r="HF247" t="s">
        <v>1309</v>
      </c>
      <c r="HH247" t="s">
        <v>1363</v>
      </c>
      <c r="HI247" t="s">
        <v>1363</v>
      </c>
      <c r="HJ247" t="s">
        <v>1363</v>
      </c>
      <c r="HK247" t="s">
        <v>1363</v>
      </c>
      <c r="HL247" t="s">
        <v>1328</v>
      </c>
      <c r="HM247" t="s">
        <v>1363</v>
      </c>
      <c r="HN247" t="s">
        <v>1626</v>
      </c>
      <c r="HO247" t="s">
        <v>1310</v>
      </c>
      <c r="HP247" t="s">
        <v>1309</v>
      </c>
      <c r="HQ247" t="s">
        <v>1309</v>
      </c>
      <c r="HR247" t="s">
        <v>1309</v>
      </c>
      <c r="HS247" t="s">
        <v>1309</v>
      </c>
      <c r="HT247" t="s">
        <v>1309</v>
      </c>
      <c r="HU247" t="s">
        <v>1309</v>
      </c>
      <c r="HV247" t="s">
        <v>1309</v>
      </c>
      <c r="HW247" t="s">
        <v>1309</v>
      </c>
      <c r="HX247" t="s">
        <v>1309</v>
      </c>
      <c r="HY247" t="s">
        <v>1309</v>
      </c>
      <c r="IA247" t="s">
        <v>1307</v>
      </c>
      <c r="IQ247" t="s">
        <v>1365</v>
      </c>
      <c r="IS247" t="s">
        <v>1316</v>
      </c>
      <c r="JF247" t="s">
        <v>1316</v>
      </c>
      <c r="JG247" t="s">
        <v>1414</v>
      </c>
      <c r="JH247" t="s">
        <v>1309</v>
      </c>
      <c r="JI247" t="s">
        <v>1309</v>
      </c>
      <c r="JJ247" t="s">
        <v>1309</v>
      </c>
      <c r="JK247" t="s">
        <v>1309</v>
      </c>
      <c r="JL247" t="s">
        <v>1309</v>
      </c>
      <c r="JM247" t="s">
        <v>1309</v>
      </c>
      <c r="JN247" t="s">
        <v>1310</v>
      </c>
      <c r="JO247" t="s">
        <v>1309</v>
      </c>
      <c r="JQ247" s="92" t="s">
        <v>1333</v>
      </c>
      <c r="JR247" s="92" t="s">
        <v>1334</v>
      </c>
      <c r="JS247" s="92">
        <v>73</v>
      </c>
      <c r="JT247" s="92" t="s">
        <v>1319</v>
      </c>
      <c r="JU247" s="92" t="s">
        <v>1335</v>
      </c>
      <c r="JV247" s="92" t="s">
        <v>1336</v>
      </c>
      <c r="JW247" s="92" t="s">
        <v>1296</v>
      </c>
      <c r="JX247" s="92" t="s">
        <v>71</v>
      </c>
      <c r="JY247" s="92" t="s">
        <v>5549</v>
      </c>
      <c r="JZ247" s="92" t="s">
        <v>1369</v>
      </c>
      <c r="KA247" s="92" t="s">
        <v>4846</v>
      </c>
      <c r="KB247" s="92" t="s">
        <v>1370</v>
      </c>
      <c r="KC247" s="92" t="s">
        <v>109</v>
      </c>
      <c r="KD247" s="92" t="s">
        <v>4847</v>
      </c>
      <c r="KE247" s="92" t="s">
        <v>1424</v>
      </c>
      <c r="KF247" s="92">
        <v>3550</v>
      </c>
      <c r="KG247" s="92" t="s">
        <v>1400</v>
      </c>
      <c r="KH247" s="92" t="s">
        <v>192</v>
      </c>
      <c r="KI247" s="92" t="s">
        <v>192</v>
      </c>
      <c r="KJ247" s="92" t="s">
        <v>192</v>
      </c>
      <c r="KK247" s="92" t="s">
        <v>192</v>
      </c>
      <c r="KL247" s="92" t="s">
        <v>1341</v>
      </c>
      <c r="KM247" s="92">
        <v>4200</v>
      </c>
      <c r="KN247" s="92" t="s">
        <v>1400</v>
      </c>
      <c r="KO247" s="92" t="s">
        <v>1341</v>
      </c>
      <c r="KP247" s="92" t="s">
        <v>1342</v>
      </c>
      <c r="KQ247" s="92" t="s">
        <v>192</v>
      </c>
      <c r="KR247" s="92">
        <v>10</v>
      </c>
      <c r="KS247" s="92" t="s">
        <v>1343</v>
      </c>
      <c r="KT247" s="92" t="s">
        <v>1344</v>
      </c>
      <c r="KU247" s="92">
        <v>24</v>
      </c>
      <c r="KV247" s="92" t="s">
        <v>1461</v>
      </c>
      <c r="KW247" s="92" t="s">
        <v>1344</v>
      </c>
      <c r="KX247" s="92" t="s">
        <v>1376</v>
      </c>
      <c r="KY247" s="92" t="s">
        <v>1377</v>
      </c>
      <c r="KZ247" s="92" t="s">
        <v>1378</v>
      </c>
      <c r="LA247" s="92" t="s">
        <v>109</v>
      </c>
      <c r="LB247" s="92" t="s">
        <v>109</v>
      </c>
      <c r="LC247" s="92" t="s">
        <v>4439</v>
      </c>
      <c r="LD247" s="92" t="s">
        <v>4439</v>
      </c>
      <c r="LE247" s="92" t="s">
        <v>192</v>
      </c>
      <c r="LF247" s="92" t="s">
        <v>192</v>
      </c>
    </row>
    <row r="248" spans="1:318" x14ac:dyDescent="0.25">
      <c r="A248" t="s">
        <v>2461</v>
      </c>
      <c r="B248" t="s">
        <v>2462</v>
      </c>
      <c r="C248" t="s">
        <v>1304</v>
      </c>
      <c r="D248" t="s">
        <v>1305</v>
      </c>
      <c r="E248" t="s">
        <v>1381</v>
      </c>
      <c r="G248" t="s">
        <v>1319</v>
      </c>
      <c r="H248">
        <v>3</v>
      </c>
      <c r="I248" t="s">
        <v>1358</v>
      </c>
      <c r="J248" t="s">
        <v>1663</v>
      </c>
      <c r="K248" t="s">
        <v>1309</v>
      </c>
      <c r="L248" t="s">
        <v>1310</v>
      </c>
      <c r="M248" t="s">
        <v>1310</v>
      </c>
      <c r="N248" t="s">
        <v>1309</v>
      </c>
      <c r="O248" t="s">
        <v>1309</v>
      </c>
      <c r="P248" t="s">
        <v>1309</v>
      </c>
      <c r="Q248" t="s">
        <v>1309</v>
      </c>
      <c r="R248" t="s">
        <v>1309</v>
      </c>
      <c r="S248">
        <v>1</v>
      </c>
      <c r="T248">
        <v>1</v>
      </c>
      <c r="U248" t="s">
        <v>1312</v>
      </c>
      <c r="V248" t="s">
        <v>1312</v>
      </c>
      <c r="W248" t="s">
        <v>1312</v>
      </c>
      <c r="X248" t="s">
        <v>1312</v>
      </c>
      <c r="Y248" t="s">
        <v>1312</v>
      </c>
      <c r="Z248" t="s">
        <v>1312</v>
      </c>
      <c r="AC248">
        <v>2</v>
      </c>
      <c r="AD248">
        <v>8000</v>
      </c>
      <c r="AE248">
        <v>5000</v>
      </c>
      <c r="AF248" t="s">
        <v>1313</v>
      </c>
      <c r="AH248" t="s">
        <v>1383</v>
      </c>
      <c r="AJ248" t="s">
        <v>1315</v>
      </c>
      <c r="AL248" t="s">
        <v>1354</v>
      </c>
      <c r="BS248" t="s">
        <v>1307</v>
      </c>
      <c r="CE248" t="s">
        <v>2180</v>
      </c>
      <c r="CF248" t="s">
        <v>1309</v>
      </c>
      <c r="CG248" t="s">
        <v>1309</v>
      </c>
      <c r="CH248" t="s">
        <v>1309</v>
      </c>
      <c r="CI248" t="s">
        <v>1310</v>
      </c>
      <c r="CJ248" t="s">
        <v>1309</v>
      </c>
      <c r="CK248" t="s">
        <v>1309</v>
      </c>
      <c r="CL248" t="s">
        <v>1309</v>
      </c>
      <c r="CM248" t="s">
        <v>1309</v>
      </c>
      <c r="CN248" t="s">
        <v>1309</v>
      </c>
      <c r="CO248" t="s">
        <v>1309</v>
      </c>
      <c r="CP248" t="s">
        <v>1309</v>
      </c>
      <c r="CQ248" t="s">
        <v>1309</v>
      </c>
      <c r="CR248" t="s">
        <v>1309</v>
      </c>
      <c r="CT248" t="s">
        <v>4435</v>
      </c>
      <c r="CV248" t="s">
        <v>1308</v>
      </c>
      <c r="CW248" t="s">
        <v>1310</v>
      </c>
      <c r="CX248" t="s">
        <v>1309</v>
      </c>
      <c r="CY248" t="s">
        <v>1309</v>
      </c>
      <c r="CZ248" t="s">
        <v>1309</v>
      </c>
      <c r="DA248" t="s">
        <v>1309</v>
      </c>
      <c r="DB248" t="s">
        <v>1309</v>
      </c>
      <c r="DC248" t="s">
        <v>1309</v>
      </c>
      <c r="DE248" t="s">
        <v>1358</v>
      </c>
      <c r="DF248" t="s">
        <v>1307</v>
      </c>
      <c r="DH248">
        <v>1800</v>
      </c>
      <c r="DI248">
        <v>450</v>
      </c>
      <c r="DJ248" t="s">
        <v>1358</v>
      </c>
      <c r="DL248">
        <v>2300</v>
      </c>
      <c r="DM248">
        <v>500</v>
      </c>
      <c r="DN248" t="s">
        <v>1584</v>
      </c>
      <c r="DO248" t="s">
        <v>1310</v>
      </c>
      <c r="DP248" t="s">
        <v>1309</v>
      </c>
      <c r="DQ248" t="s">
        <v>1309</v>
      </c>
      <c r="DR248" t="s">
        <v>1309</v>
      </c>
      <c r="DS248" t="s">
        <v>1310</v>
      </c>
      <c r="DT248" t="s">
        <v>1310</v>
      </c>
      <c r="DU248" t="s">
        <v>1309</v>
      </c>
      <c r="DV248" t="s">
        <v>1309</v>
      </c>
      <c r="DW248" t="s">
        <v>1309</v>
      </c>
      <c r="DY248" t="s">
        <v>1419</v>
      </c>
      <c r="DZ248">
        <v>350</v>
      </c>
      <c r="EA248" t="s">
        <v>1319</v>
      </c>
      <c r="EC248" t="s">
        <v>1420</v>
      </c>
      <c r="ED248">
        <v>800</v>
      </c>
      <c r="EE248" t="s">
        <v>1319</v>
      </c>
      <c r="EG248" t="s">
        <v>5356</v>
      </c>
      <c r="EI248" t="s">
        <v>1307</v>
      </c>
      <c r="ET248" t="s">
        <v>1307</v>
      </c>
      <c r="EV248" t="s">
        <v>1319</v>
      </c>
      <c r="EW248" t="s">
        <v>1409</v>
      </c>
      <c r="EX248" t="s">
        <v>1319</v>
      </c>
      <c r="FA248" t="s">
        <v>2251</v>
      </c>
      <c r="FB248" t="s">
        <v>1309</v>
      </c>
      <c r="FC248" t="s">
        <v>1309</v>
      </c>
      <c r="FD248" t="s">
        <v>1309</v>
      </c>
      <c r="FE248" t="s">
        <v>1310</v>
      </c>
      <c r="FF248" t="s">
        <v>1309</v>
      </c>
      <c r="FG248" t="s">
        <v>1309</v>
      </c>
      <c r="FH248" t="s">
        <v>1309</v>
      </c>
      <c r="FI248" t="s">
        <v>1310</v>
      </c>
      <c r="FJ248" t="s">
        <v>1309</v>
      </c>
      <c r="FK248" t="s">
        <v>1309</v>
      </c>
      <c r="FL248" t="s">
        <v>1309</v>
      </c>
      <c r="FM248" t="s">
        <v>1310</v>
      </c>
      <c r="FN248" t="s">
        <v>1309</v>
      </c>
      <c r="FO248" t="s">
        <v>1309</v>
      </c>
      <c r="FP248" t="s">
        <v>1309</v>
      </c>
      <c r="FQ248" t="s">
        <v>1309</v>
      </c>
      <c r="FR248" t="s">
        <v>1309</v>
      </c>
      <c r="FT248" t="s">
        <v>1319</v>
      </c>
      <c r="FU248" t="s">
        <v>2463</v>
      </c>
      <c r="FV248" t="s">
        <v>1309</v>
      </c>
      <c r="FW248" t="s">
        <v>1309</v>
      </c>
      <c r="FX248" t="s">
        <v>1309</v>
      </c>
      <c r="FY248" t="s">
        <v>1309</v>
      </c>
      <c r="FZ248" t="s">
        <v>1309</v>
      </c>
      <c r="GA248" t="s">
        <v>1310</v>
      </c>
      <c r="GB248" t="s">
        <v>1309</v>
      </c>
      <c r="GC248" t="s">
        <v>1309</v>
      </c>
      <c r="GD248" t="s">
        <v>1310</v>
      </c>
      <c r="GE248" t="s">
        <v>1309</v>
      </c>
      <c r="GF248" t="s">
        <v>1309</v>
      </c>
      <c r="GG248" t="s">
        <v>1309</v>
      </c>
      <c r="GI248" t="s">
        <v>1324</v>
      </c>
      <c r="GJ248" t="s">
        <v>1324</v>
      </c>
      <c r="GT248" t="s">
        <v>1325</v>
      </c>
      <c r="GU248" t="s">
        <v>1310</v>
      </c>
      <c r="GV248" t="s">
        <v>1309</v>
      </c>
      <c r="GW248" t="s">
        <v>1309</v>
      </c>
      <c r="GX248" t="s">
        <v>1309</v>
      </c>
      <c r="GY248" t="s">
        <v>1309</v>
      </c>
      <c r="GZ248" t="s">
        <v>1309</v>
      </c>
      <c r="HA248" t="s">
        <v>1309</v>
      </c>
      <c r="HB248" t="s">
        <v>1309</v>
      </c>
      <c r="HC248" t="s">
        <v>1309</v>
      </c>
      <c r="HD248" t="s">
        <v>1309</v>
      </c>
      <c r="HE248" t="s">
        <v>1309</v>
      </c>
      <c r="HF248" t="s">
        <v>1309</v>
      </c>
      <c r="HH248" t="s">
        <v>1363</v>
      </c>
      <c r="HI248" t="s">
        <v>1363</v>
      </c>
      <c r="HJ248" t="s">
        <v>1363</v>
      </c>
      <c r="HK248" t="s">
        <v>1327</v>
      </c>
      <c r="HL248" t="s">
        <v>1364</v>
      </c>
      <c r="HM248" t="s">
        <v>1363</v>
      </c>
      <c r="IA248" t="s">
        <v>1307</v>
      </c>
      <c r="IQ248" t="s">
        <v>1365</v>
      </c>
      <c r="IS248" t="s">
        <v>1354</v>
      </c>
      <c r="JF248" t="s">
        <v>1316</v>
      </c>
      <c r="JG248" t="s">
        <v>1414</v>
      </c>
      <c r="JH248" t="s">
        <v>1309</v>
      </c>
      <c r="JI248" t="s">
        <v>1309</v>
      </c>
      <c r="JJ248" t="s">
        <v>1309</v>
      </c>
      <c r="JK248" t="s">
        <v>1309</v>
      </c>
      <c r="JL248" t="s">
        <v>1309</v>
      </c>
      <c r="JM248" t="s">
        <v>1309</v>
      </c>
      <c r="JN248" t="s">
        <v>1310</v>
      </c>
      <c r="JO248" t="s">
        <v>1309</v>
      </c>
      <c r="JQ248" s="92" t="s">
        <v>1333</v>
      </c>
      <c r="JR248" s="92" t="s">
        <v>1334</v>
      </c>
      <c r="JS248" s="92">
        <v>36</v>
      </c>
      <c r="JT248" s="92" t="s">
        <v>1319</v>
      </c>
      <c r="JU248" s="92" t="s">
        <v>1396</v>
      </c>
      <c r="JV248" s="92" t="s">
        <v>1336</v>
      </c>
      <c r="JW248" s="92" t="s">
        <v>1296</v>
      </c>
      <c r="JX248" s="92" t="s">
        <v>71</v>
      </c>
      <c r="JY248" s="92" t="s">
        <v>1397</v>
      </c>
      <c r="JZ248" s="92" t="s">
        <v>1337</v>
      </c>
      <c r="KA248" s="92" t="s">
        <v>4845</v>
      </c>
      <c r="KB248" s="92" t="s">
        <v>1370</v>
      </c>
      <c r="KC248" s="92" t="s">
        <v>109</v>
      </c>
      <c r="KD248" s="92" t="s">
        <v>4847</v>
      </c>
      <c r="KE248" s="92" t="s">
        <v>1424</v>
      </c>
      <c r="KF248" s="92">
        <v>2250</v>
      </c>
      <c r="KG248" s="92" t="s">
        <v>4439</v>
      </c>
      <c r="KH248" s="92" t="s">
        <v>109</v>
      </c>
      <c r="KI248" s="92" t="s">
        <v>192</v>
      </c>
      <c r="KJ248" s="92" t="s">
        <v>109</v>
      </c>
      <c r="KK248" s="92" t="s">
        <v>192</v>
      </c>
      <c r="KL248" s="92" t="s">
        <v>1425</v>
      </c>
      <c r="KM248" s="92">
        <v>2800</v>
      </c>
      <c r="KN248" s="92" t="s">
        <v>4439</v>
      </c>
      <c r="KO248" s="92" t="s">
        <v>1425</v>
      </c>
      <c r="KP248" s="92" t="s">
        <v>1342</v>
      </c>
      <c r="KQ248" s="92" t="s">
        <v>109</v>
      </c>
      <c r="KR248" s="92">
        <v>16</v>
      </c>
      <c r="KS248" s="92" t="s">
        <v>1343</v>
      </c>
      <c r="KT248" s="92" t="s">
        <v>1344</v>
      </c>
      <c r="KU248" s="92">
        <v>29</v>
      </c>
      <c r="KV248" s="92" t="s">
        <v>1441</v>
      </c>
      <c r="KW248" s="92" t="s">
        <v>1344</v>
      </c>
      <c r="KX248" s="92" t="s">
        <v>1376</v>
      </c>
      <c r="KY248" s="92" t="s">
        <v>1377</v>
      </c>
      <c r="KZ248" s="92" t="s">
        <v>1403</v>
      </c>
      <c r="LA248" s="92" t="s">
        <v>109</v>
      </c>
      <c r="LB248" s="92" t="s">
        <v>109</v>
      </c>
      <c r="LC248" s="92" t="s">
        <v>4439</v>
      </c>
      <c r="LD248" s="92" t="s">
        <v>4439</v>
      </c>
      <c r="LE248" s="92" t="s">
        <v>109</v>
      </c>
      <c r="LF248" s="92" t="s">
        <v>109</v>
      </c>
    </row>
    <row r="249" spans="1:318" x14ac:dyDescent="0.25">
      <c r="A249" t="s">
        <v>2464</v>
      </c>
      <c r="B249" t="s">
        <v>2465</v>
      </c>
      <c r="C249" t="s">
        <v>1304</v>
      </c>
      <c r="D249" t="s">
        <v>1305</v>
      </c>
      <c r="E249" t="s">
        <v>1306</v>
      </c>
      <c r="G249" t="s">
        <v>1307</v>
      </c>
      <c r="H249">
        <v>2</v>
      </c>
      <c r="I249" t="s">
        <v>1307</v>
      </c>
      <c r="J249" t="s">
        <v>1548</v>
      </c>
      <c r="K249" t="s">
        <v>1309</v>
      </c>
      <c r="L249" t="s">
        <v>1309</v>
      </c>
      <c r="M249" t="s">
        <v>1310</v>
      </c>
      <c r="N249" t="s">
        <v>1310</v>
      </c>
      <c r="O249" t="s">
        <v>1309</v>
      </c>
      <c r="P249" t="s">
        <v>1309</v>
      </c>
      <c r="Q249" t="s">
        <v>1309</v>
      </c>
      <c r="R249" t="s">
        <v>1309</v>
      </c>
      <c r="T249">
        <v>1</v>
      </c>
      <c r="U249" t="s">
        <v>1311</v>
      </c>
      <c r="V249" t="s">
        <v>1311</v>
      </c>
      <c r="W249" t="s">
        <v>1486</v>
      </c>
      <c r="X249" t="s">
        <v>1312</v>
      </c>
      <c r="Y249" t="s">
        <v>1312</v>
      </c>
      <c r="Z249" t="s">
        <v>1312</v>
      </c>
      <c r="AA249">
        <v>1</v>
      </c>
      <c r="AB249">
        <v>1</v>
      </c>
      <c r="AC249">
        <v>2</v>
      </c>
      <c r="AD249">
        <v>6500</v>
      </c>
      <c r="AE249">
        <v>10000</v>
      </c>
      <c r="AF249" t="s">
        <v>1313</v>
      </c>
      <c r="AH249" t="s">
        <v>1314</v>
      </c>
      <c r="AJ249" t="s">
        <v>1315</v>
      </c>
      <c r="AL249" t="s">
        <v>1316</v>
      </c>
      <c r="BS249" t="s">
        <v>1307</v>
      </c>
      <c r="CE249" t="s">
        <v>1355</v>
      </c>
      <c r="CF249" t="s">
        <v>1309</v>
      </c>
      <c r="CG249" t="s">
        <v>1309</v>
      </c>
      <c r="CH249" t="s">
        <v>1309</v>
      </c>
      <c r="CI249" t="s">
        <v>1309</v>
      </c>
      <c r="CJ249" t="s">
        <v>1309</v>
      </c>
      <c r="CK249" t="s">
        <v>1309</v>
      </c>
      <c r="CL249" t="s">
        <v>1309</v>
      </c>
      <c r="CM249" t="s">
        <v>1309</v>
      </c>
      <c r="CN249" t="s">
        <v>1310</v>
      </c>
      <c r="CO249" t="s">
        <v>1309</v>
      </c>
      <c r="CP249" t="s">
        <v>1309</v>
      </c>
      <c r="CQ249" t="s">
        <v>1309</v>
      </c>
      <c r="CR249" t="s">
        <v>1309</v>
      </c>
      <c r="CT249" t="s">
        <v>4435</v>
      </c>
      <c r="CV249" t="s">
        <v>1308</v>
      </c>
      <c r="CW249" t="s">
        <v>1310</v>
      </c>
      <c r="CX249" t="s">
        <v>1309</v>
      </c>
      <c r="CY249" t="s">
        <v>1309</v>
      </c>
      <c r="CZ249" t="s">
        <v>1309</v>
      </c>
      <c r="DA249" t="s">
        <v>1309</v>
      </c>
      <c r="DB249" t="s">
        <v>1309</v>
      </c>
      <c r="DC249" t="s">
        <v>1309</v>
      </c>
      <c r="DE249" t="s">
        <v>1318</v>
      </c>
      <c r="DF249" t="s">
        <v>1319</v>
      </c>
      <c r="DG249">
        <v>900</v>
      </c>
      <c r="DH249">
        <v>2800</v>
      </c>
      <c r="DI249">
        <v>600</v>
      </c>
      <c r="DJ249" t="s">
        <v>1318</v>
      </c>
      <c r="DK249">
        <v>1200</v>
      </c>
      <c r="DL249">
        <v>3500</v>
      </c>
      <c r="DM249">
        <v>1200</v>
      </c>
      <c r="DN249" t="s">
        <v>1647</v>
      </c>
      <c r="DO249" t="s">
        <v>1310</v>
      </c>
      <c r="DP249" t="s">
        <v>1309</v>
      </c>
      <c r="DQ249" t="s">
        <v>1309</v>
      </c>
      <c r="DR249" t="s">
        <v>1310</v>
      </c>
      <c r="DS249" t="s">
        <v>1309</v>
      </c>
      <c r="DT249" t="s">
        <v>1310</v>
      </c>
      <c r="DU249" t="s">
        <v>1309</v>
      </c>
      <c r="DV249" t="s">
        <v>1309</v>
      </c>
      <c r="DW249" t="s">
        <v>1309</v>
      </c>
      <c r="DY249" t="s">
        <v>1481</v>
      </c>
      <c r="DZ249">
        <v>800</v>
      </c>
      <c r="EA249" t="s">
        <v>1319</v>
      </c>
      <c r="EC249" t="s">
        <v>1387</v>
      </c>
      <c r="ED249">
        <v>1000</v>
      </c>
      <c r="EE249" t="s">
        <v>1319</v>
      </c>
      <c r="EG249" t="s">
        <v>5357</v>
      </c>
      <c r="ET249" t="s">
        <v>1319</v>
      </c>
      <c r="EU249" t="s">
        <v>2466</v>
      </c>
      <c r="EV249" t="s">
        <v>1319</v>
      </c>
      <c r="EW249" t="s">
        <v>1409</v>
      </c>
      <c r="EX249" t="s">
        <v>1307</v>
      </c>
      <c r="EY249" t="s">
        <v>1307</v>
      </c>
      <c r="FT249" t="s">
        <v>1319</v>
      </c>
      <c r="FU249" t="s">
        <v>1649</v>
      </c>
      <c r="FV249" t="s">
        <v>1310</v>
      </c>
      <c r="FW249" t="s">
        <v>1310</v>
      </c>
      <c r="FX249" t="s">
        <v>1309</v>
      </c>
      <c r="FY249" t="s">
        <v>1309</v>
      </c>
      <c r="FZ249" t="s">
        <v>1309</v>
      </c>
      <c r="GA249" t="s">
        <v>1309</v>
      </c>
      <c r="GB249" t="s">
        <v>1309</v>
      </c>
      <c r="GC249" t="s">
        <v>1309</v>
      </c>
      <c r="GD249" t="s">
        <v>1309</v>
      </c>
      <c r="GE249" t="s">
        <v>1309</v>
      </c>
      <c r="GF249" t="s">
        <v>1309</v>
      </c>
      <c r="GG249" t="s">
        <v>1309</v>
      </c>
      <c r="GI249" t="s">
        <v>1324</v>
      </c>
      <c r="GJ249" t="s">
        <v>1324</v>
      </c>
      <c r="GT249" t="s">
        <v>1325</v>
      </c>
      <c r="GU249" t="s">
        <v>1310</v>
      </c>
      <c r="GV249" t="s">
        <v>1309</v>
      </c>
      <c r="GW249" t="s">
        <v>1309</v>
      </c>
      <c r="GX249" t="s">
        <v>1309</v>
      </c>
      <c r="GY249" t="s">
        <v>1309</v>
      </c>
      <c r="GZ249" t="s">
        <v>1309</v>
      </c>
      <c r="HA249" t="s">
        <v>1309</v>
      </c>
      <c r="HB249" t="s">
        <v>1309</v>
      </c>
      <c r="HC249" t="s">
        <v>1309</v>
      </c>
      <c r="HD249" t="s">
        <v>1309</v>
      </c>
      <c r="HE249" t="s">
        <v>1309</v>
      </c>
      <c r="HF249" t="s">
        <v>1309</v>
      </c>
      <c r="HH249" t="s">
        <v>1390</v>
      </c>
      <c r="HI249" t="s">
        <v>1390</v>
      </c>
      <c r="HJ249" t="s">
        <v>1390</v>
      </c>
      <c r="HK249" t="s">
        <v>1327</v>
      </c>
      <c r="HL249" t="s">
        <v>1437</v>
      </c>
      <c r="HM249" t="s">
        <v>1390</v>
      </c>
      <c r="HN249" t="s">
        <v>1550</v>
      </c>
      <c r="HO249" t="s">
        <v>1310</v>
      </c>
      <c r="HP249" t="s">
        <v>1309</v>
      </c>
      <c r="HQ249" t="s">
        <v>1309</v>
      </c>
      <c r="HR249" t="s">
        <v>1310</v>
      </c>
      <c r="HS249" t="s">
        <v>1309</v>
      </c>
      <c r="HT249" t="s">
        <v>1309</v>
      </c>
      <c r="HU249" t="s">
        <v>1309</v>
      </c>
      <c r="HV249" t="s">
        <v>1309</v>
      </c>
      <c r="HW249" t="s">
        <v>1309</v>
      </c>
      <c r="HX249" t="s">
        <v>1309</v>
      </c>
      <c r="HY249" t="s">
        <v>1309</v>
      </c>
      <c r="IA249" t="s">
        <v>1319</v>
      </c>
      <c r="IB249" t="s">
        <v>1423</v>
      </c>
      <c r="IC249" t="s">
        <v>1309</v>
      </c>
      <c r="ID249" t="s">
        <v>1309</v>
      </c>
      <c r="IE249" t="s">
        <v>1309</v>
      </c>
      <c r="IF249" t="s">
        <v>1309</v>
      </c>
      <c r="IG249" t="s">
        <v>1310</v>
      </c>
      <c r="IH249" t="s">
        <v>1309</v>
      </c>
      <c r="II249" t="s">
        <v>1309</v>
      </c>
      <c r="IJ249" t="s">
        <v>1309</v>
      </c>
      <c r="IK249" t="s">
        <v>1309</v>
      </c>
      <c r="IL249" t="s">
        <v>1309</v>
      </c>
      <c r="IM249" t="s">
        <v>1309</v>
      </c>
      <c r="IN249" t="s">
        <v>1309</v>
      </c>
      <c r="IO249" t="s">
        <v>1309</v>
      </c>
      <c r="IQ249" t="s">
        <v>1365</v>
      </c>
      <c r="IS249" t="s">
        <v>1316</v>
      </c>
      <c r="JF249" t="s">
        <v>1316</v>
      </c>
      <c r="JG249" t="s">
        <v>1414</v>
      </c>
      <c r="JH249" t="s">
        <v>1309</v>
      </c>
      <c r="JI249" t="s">
        <v>1309</v>
      </c>
      <c r="JJ249" t="s">
        <v>1309</v>
      </c>
      <c r="JK249" t="s">
        <v>1309</v>
      </c>
      <c r="JL249" t="s">
        <v>1309</v>
      </c>
      <c r="JM249" t="s">
        <v>1309</v>
      </c>
      <c r="JN249" t="s">
        <v>1310</v>
      </c>
      <c r="JO249" t="s">
        <v>1309</v>
      </c>
      <c r="JQ249" s="92" t="s">
        <v>1333</v>
      </c>
      <c r="JR249" s="92" t="s">
        <v>1334</v>
      </c>
      <c r="JS249" s="92">
        <v>54</v>
      </c>
      <c r="JT249" s="92" t="s">
        <v>1319</v>
      </c>
      <c r="JU249" s="92" t="s">
        <v>1335</v>
      </c>
      <c r="JV249" s="92" t="s">
        <v>1336</v>
      </c>
      <c r="JW249" s="92" t="s">
        <v>1296</v>
      </c>
      <c r="JX249" s="92" t="s">
        <v>71</v>
      </c>
      <c r="JY249" s="92" t="s">
        <v>5549</v>
      </c>
      <c r="JZ249" s="92" t="s">
        <v>1337</v>
      </c>
      <c r="KA249" s="92" t="s">
        <v>4845</v>
      </c>
      <c r="KB249" s="92" t="s">
        <v>1439</v>
      </c>
      <c r="KC249" s="92" t="s">
        <v>192</v>
      </c>
      <c r="KD249" s="92" t="s">
        <v>4847</v>
      </c>
      <c r="KE249" s="92" t="s">
        <v>1424</v>
      </c>
      <c r="KF249" s="92">
        <v>4300</v>
      </c>
      <c r="KG249" s="92" t="s">
        <v>1400</v>
      </c>
      <c r="KH249" s="92" t="s">
        <v>192</v>
      </c>
      <c r="KI249" s="92" t="s">
        <v>192</v>
      </c>
      <c r="KJ249" s="92" t="s">
        <v>192</v>
      </c>
      <c r="KK249" s="92" t="s">
        <v>192</v>
      </c>
      <c r="KL249" s="92" t="s">
        <v>1341</v>
      </c>
      <c r="KM249" s="92">
        <v>5900</v>
      </c>
      <c r="KN249" s="92" t="s">
        <v>1426</v>
      </c>
      <c r="KO249" s="92" t="s">
        <v>1341</v>
      </c>
      <c r="KP249" s="92" t="s">
        <v>1342</v>
      </c>
      <c r="KQ249" s="92" t="s">
        <v>192</v>
      </c>
      <c r="KR249" s="92">
        <v>19</v>
      </c>
      <c r="KS249" s="92" t="s">
        <v>1466</v>
      </c>
      <c r="KT249" s="92" t="s">
        <v>1344</v>
      </c>
      <c r="KU249" s="92">
        <v>17</v>
      </c>
      <c r="KV249" s="92" t="s">
        <v>1461</v>
      </c>
      <c r="KW249" s="92" t="s">
        <v>1344</v>
      </c>
      <c r="KX249" s="92" t="s">
        <v>1376</v>
      </c>
      <c r="KY249" s="92" t="s">
        <v>1347</v>
      </c>
      <c r="KZ249" s="92" t="s">
        <v>5795</v>
      </c>
      <c r="LA249" s="92" t="s">
        <v>192</v>
      </c>
      <c r="LB249" s="92" t="s">
        <v>192</v>
      </c>
      <c r="LC249" s="92" t="s">
        <v>4439</v>
      </c>
      <c r="LD249" s="92" t="s">
        <v>4439</v>
      </c>
      <c r="LE249" s="92" t="s">
        <v>192</v>
      </c>
      <c r="LF249" s="92" t="s">
        <v>192</v>
      </c>
    </row>
    <row r="250" spans="1:318" x14ac:dyDescent="0.25">
      <c r="A250" t="s">
        <v>2467</v>
      </c>
      <c r="B250" t="s">
        <v>2468</v>
      </c>
      <c r="C250" t="s">
        <v>1304</v>
      </c>
      <c r="D250" t="s">
        <v>1305</v>
      </c>
      <c r="E250" t="s">
        <v>1381</v>
      </c>
      <c r="G250" t="s">
        <v>1319</v>
      </c>
      <c r="H250">
        <v>3</v>
      </c>
      <c r="I250" t="s">
        <v>1358</v>
      </c>
      <c r="J250" t="s">
        <v>1813</v>
      </c>
      <c r="K250" t="s">
        <v>1309</v>
      </c>
      <c r="L250" t="s">
        <v>1310</v>
      </c>
      <c r="M250" t="s">
        <v>1309</v>
      </c>
      <c r="N250" t="s">
        <v>1309</v>
      </c>
      <c r="O250" t="s">
        <v>1310</v>
      </c>
      <c r="P250" t="s">
        <v>1310</v>
      </c>
      <c r="Q250" t="s">
        <v>1309</v>
      </c>
      <c r="R250" t="s">
        <v>1309</v>
      </c>
      <c r="S250">
        <v>2</v>
      </c>
      <c r="U250" t="s">
        <v>1311</v>
      </c>
      <c r="V250" t="s">
        <v>1312</v>
      </c>
      <c r="W250" t="s">
        <v>1312</v>
      </c>
      <c r="X250" t="s">
        <v>1311</v>
      </c>
      <c r="Y250" t="s">
        <v>1312</v>
      </c>
      <c r="Z250" t="s">
        <v>1311</v>
      </c>
      <c r="AC250">
        <v>3</v>
      </c>
      <c r="AD250">
        <v>7000</v>
      </c>
      <c r="AE250">
        <v>4000</v>
      </c>
      <c r="AF250" t="s">
        <v>1313</v>
      </c>
      <c r="AH250" t="s">
        <v>1383</v>
      </c>
      <c r="AJ250" t="s">
        <v>1315</v>
      </c>
      <c r="AL250" t="s">
        <v>1316</v>
      </c>
      <c r="BS250" t="s">
        <v>1307</v>
      </c>
      <c r="CE250" t="s">
        <v>2091</v>
      </c>
      <c r="CF250" t="s">
        <v>1310</v>
      </c>
      <c r="CG250" t="s">
        <v>1309</v>
      </c>
      <c r="CH250" t="s">
        <v>1309</v>
      </c>
      <c r="CI250" t="s">
        <v>1309</v>
      </c>
      <c r="CJ250" t="s">
        <v>1309</v>
      </c>
      <c r="CK250" t="s">
        <v>1309</v>
      </c>
      <c r="CL250" t="s">
        <v>1309</v>
      </c>
      <c r="CM250" t="s">
        <v>1309</v>
      </c>
      <c r="CN250" t="s">
        <v>1310</v>
      </c>
      <c r="CO250" t="s">
        <v>1309</v>
      </c>
      <c r="CP250" t="s">
        <v>1309</v>
      </c>
      <c r="CQ250" t="s">
        <v>1309</v>
      </c>
      <c r="CR250" t="s">
        <v>1309</v>
      </c>
      <c r="CT250" t="s">
        <v>4435</v>
      </c>
      <c r="CV250" t="s">
        <v>1308</v>
      </c>
      <c r="CW250" t="s">
        <v>1310</v>
      </c>
      <c r="CX250" t="s">
        <v>1309</v>
      </c>
      <c r="CY250" t="s">
        <v>1309</v>
      </c>
      <c r="CZ250" t="s">
        <v>1309</v>
      </c>
      <c r="DA250" t="s">
        <v>1309</v>
      </c>
      <c r="DB250" t="s">
        <v>1309</v>
      </c>
      <c r="DC250" t="s">
        <v>1309</v>
      </c>
      <c r="DE250" t="s">
        <v>1358</v>
      </c>
      <c r="DF250" t="s">
        <v>1319</v>
      </c>
      <c r="DG250">
        <v>200</v>
      </c>
      <c r="DH250">
        <v>1200</v>
      </c>
      <c r="DI250">
        <v>250</v>
      </c>
      <c r="DJ250" t="s">
        <v>1358</v>
      </c>
      <c r="DK250">
        <v>200</v>
      </c>
      <c r="DL250">
        <v>1800</v>
      </c>
      <c r="DM250">
        <v>300</v>
      </c>
      <c r="DN250" t="s">
        <v>2202</v>
      </c>
      <c r="DO250" t="s">
        <v>1309</v>
      </c>
      <c r="DP250" t="s">
        <v>1309</v>
      </c>
      <c r="DQ250" t="s">
        <v>1309</v>
      </c>
      <c r="DR250" t="s">
        <v>1309</v>
      </c>
      <c r="DS250" t="s">
        <v>1310</v>
      </c>
      <c r="DT250" t="s">
        <v>1310</v>
      </c>
      <c r="DU250" t="s">
        <v>1309</v>
      </c>
      <c r="DV250" t="s">
        <v>1309</v>
      </c>
      <c r="DW250" t="s">
        <v>1309</v>
      </c>
      <c r="DY250" t="s">
        <v>1359</v>
      </c>
      <c r="DZ250">
        <v>350</v>
      </c>
      <c r="EA250" t="s">
        <v>1319</v>
      </c>
      <c r="EC250" t="s">
        <v>1360</v>
      </c>
      <c r="ED250">
        <v>650</v>
      </c>
      <c r="EE250" t="s">
        <v>1319</v>
      </c>
      <c r="EG250" t="s">
        <v>5356</v>
      </c>
      <c r="EI250" t="s">
        <v>1307</v>
      </c>
      <c r="ET250" t="s">
        <v>1307</v>
      </c>
      <c r="EV250" t="s">
        <v>1319</v>
      </c>
      <c r="EW250" t="s">
        <v>1421</v>
      </c>
      <c r="EX250" t="s">
        <v>1319</v>
      </c>
      <c r="EY250" t="s">
        <v>1307</v>
      </c>
      <c r="FA250" t="s">
        <v>2199</v>
      </c>
      <c r="FB250" t="s">
        <v>1309</v>
      </c>
      <c r="FC250" t="s">
        <v>1309</v>
      </c>
      <c r="FD250" t="s">
        <v>1309</v>
      </c>
      <c r="FE250" t="s">
        <v>1310</v>
      </c>
      <c r="FF250" t="s">
        <v>1309</v>
      </c>
      <c r="FG250" t="s">
        <v>1309</v>
      </c>
      <c r="FH250" t="s">
        <v>1309</v>
      </c>
      <c r="FI250" t="s">
        <v>1310</v>
      </c>
      <c r="FJ250" t="s">
        <v>1309</v>
      </c>
      <c r="FK250" t="s">
        <v>1309</v>
      </c>
      <c r="FL250" t="s">
        <v>1309</v>
      </c>
      <c r="FM250" t="s">
        <v>1309</v>
      </c>
      <c r="FN250" t="s">
        <v>1309</v>
      </c>
      <c r="FO250" t="s">
        <v>1309</v>
      </c>
      <c r="FP250" t="s">
        <v>1309</v>
      </c>
      <c r="FQ250" t="s">
        <v>1309</v>
      </c>
      <c r="FR250" t="s">
        <v>1309</v>
      </c>
      <c r="FT250" t="s">
        <v>1319</v>
      </c>
      <c r="FU250" t="s">
        <v>2469</v>
      </c>
      <c r="FV250" t="s">
        <v>1309</v>
      </c>
      <c r="FW250" t="s">
        <v>1309</v>
      </c>
      <c r="FX250" t="s">
        <v>1309</v>
      </c>
      <c r="FY250" t="s">
        <v>1309</v>
      </c>
      <c r="FZ250" t="s">
        <v>1309</v>
      </c>
      <c r="GA250" t="s">
        <v>1309</v>
      </c>
      <c r="GB250" t="s">
        <v>1309</v>
      </c>
      <c r="GC250" t="s">
        <v>1309</v>
      </c>
      <c r="GD250" t="s">
        <v>1310</v>
      </c>
      <c r="GE250" t="s">
        <v>1309</v>
      </c>
      <c r="GF250" t="s">
        <v>1309</v>
      </c>
      <c r="GG250" t="s">
        <v>1309</v>
      </c>
      <c r="GI250" t="s">
        <v>1324</v>
      </c>
      <c r="GJ250" t="s">
        <v>1324</v>
      </c>
      <c r="GT250" t="s">
        <v>1325</v>
      </c>
      <c r="GU250" t="s">
        <v>1310</v>
      </c>
      <c r="GV250" t="s">
        <v>1309</v>
      </c>
      <c r="GW250" t="s">
        <v>1309</v>
      </c>
      <c r="GX250" t="s">
        <v>1309</v>
      </c>
      <c r="GY250" t="s">
        <v>1309</v>
      </c>
      <c r="GZ250" t="s">
        <v>1309</v>
      </c>
      <c r="HA250" t="s">
        <v>1309</v>
      </c>
      <c r="HB250" t="s">
        <v>1309</v>
      </c>
      <c r="HC250" t="s">
        <v>1309</v>
      </c>
      <c r="HD250" t="s">
        <v>1309</v>
      </c>
      <c r="HE250" t="s">
        <v>1309</v>
      </c>
      <c r="HF250" t="s">
        <v>1309</v>
      </c>
      <c r="HH250" t="s">
        <v>1363</v>
      </c>
      <c r="HI250" t="s">
        <v>1363</v>
      </c>
      <c r="HJ250" t="s">
        <v>1363</v>
      </c>
      <c r="HK250" t="s">
        <v>1327</v>
      </c>
      <c r="HL250" t="s">
        <v>1364</v>
      </c>
      <c r="HM250" t="s">
        <v>1390</v>
      </c>
      <c r="IA250" t="s">
        <v>1319</v>
      </c>
      <c r="IB250" t="s">
        <v>1423</v>
      </c>
      <c r="IC250" t="s">
        <v>1309</v>
      </c>
      <c r="ID250" t="s">
        <v>1309</v>
      </c>
      <c r="IE250" t="s">
        <v>1309</v>
      </c>
      <c r="IF250" t="s">
        <v>1309</v>
      </c>
      <c r="IG250" t="s">
        <v>1310</v>
      </c>
      <c r="IH250" t="s">
        <v>1309</v>
      </c>
      <c r="II250" t="s">
        <v>1309</v>
      </c>
      <c r="IJ250" t="s">
        <v>1309</v>
      </c>
      <c r="IK250" t="s">
        <v>1309</v>
      </c>
      <c r="IL250" t="s">
        <v>1309</v>
      </c>
      <c r="IM250" t="s">
        <v>1309</v>
      </c>
      <c r="IN250" t="s">
        <v>1309</v>
      </c>
      <c r="IO250" t="s">
        <v>1309</v>
      </c>
      <c r="IQ250" t="s">
        <v>1365</v>
      </c>
      <c r="IS250" t="s">
        <v>1316</v>
      </c>
      <c r="JF250" t="s">
        <v>1316</v>
      </c>
      <c r="JG250" t="s">
        <v>1393</v>
      </c>
      <c r="JH250" t="s">
        <v>1310</v>
      </c>
      <c r="JI250" t="s">
        <v>1309</v>
      </c>
      <c r="JJ250" t="s">
        <v>1309</v>
      </c>
      <c r="JK250" t="s">
        <v>1309</v>
      </c>
      <c r="JL250" t="s">
        <v>1309</v>
      </c>
      <c r="JM250" t="s">
        <v>1309</v>
      </c>
      <c r="JN250" t="s">
        <v>1309</v>
      </c>
      <c r="JO250" t="s">
        <v>1309</v>
      </c>
      <c r="JQ250" s="92" t="s">
        <v>1333</v>
      </c>
      <c r="JR250" s="92" t="s">
        <v>1334</v>
      </c>
      <c r="JS250" s="92">
        <v>37</v>
      </c>
      <c r="JT250" s="92" t="s">
        <v>1319</v>
      </c>
      <c r="JU250" s="92" t="s">
        <v>1396</v>
      </c>
      <c r="JV250" s="92" t="s">
        <v>1336</v>
      </c>
      <c r="JW250" s="92" t="s">
        <v>1296</v>
      </c>
      <c r="JX250" s="92" t="s">
        <v>71</v>
      </c>
      <c r="JY250" s="92" t="s">
        <v>1397</v>
      </c>
      <c r="JZ250" s="92" t="s">
        <v>1337</v>
      </c>
      <c r="KA250" s="92" t="s">
        <v>4845</v>
      </c>
      <c r="KB250" s="92" t="s">
        <v>1399</v>
      </c>
      <c r="KC250" s="92" t="s">
        <v>109</v>
      </c>
      <c r="KD250" s="92" t="s">
        <v>4848</v>
      </c>
      <c r="KE250" s="92" t="s">
        <v>1424</v>
      </c>
      <c r="KF250" s="92">
        <v>1650</v>
      </c>
      <c r="KG250" s="92" t="s">
        <v>4438</v>
      </c>
      <c r="KH250" s="92" t="s">
        <v>192</v>
      </c>
      <c r="KI250" s="92" t="s">
        <v>192</v>
      </c>
      <c r="KJ250" s="92" t="s">
        <v>192</v>
      </c>
      <c r="KK250" s="92" t="s">
        <v>192</v>
      </c>
      <c r="KL250" s="92" t="s">
        <v>1440</v>
      </c>
      <c r="KM250" s="92">
        <v>2300</v>
      </c>
      <c r="KN250" s="92" t="s">
        <v>4439</v>
      </c>
      <c r="KO250" s="92" t="s">
        <v>1425</v>
      </c>
      <c r="KP250" s="92" t="s">
        <v>1342</v>
      </c>
      <c r="KQ250" s="92" t="s">
        <v>192</v>
      </c>
      <c r="KR250" s="92">
        <v>21</v>
      </c>
      <c r="KS250" s="92" t="s">
        <v>1343</v>
      </c>
      <c r="KT250" s="92" t="s">
        <v>1344</v>
      </c>
      <c r="KU250" s="92">
        <v>28</v>
      </c>
      <c r="KV250" s="92" t="s">
        <v>1345</v>
      </c>
      <c r="KW250" s="92" t="s">
        <v>1344</v>
      </c>
      <c r="KX250" s="92" t="s">
        <v>1376</v>
      </c>
      <c r="KY250" s="92" t="s">
        <v>1377</v>
      </c>
      <c r="KZ250" s="92" t="s">
        <v>1403</v>
      </c>
      <c r="LA250" s="92" t="s">
        <v>109</v>
      </c>
      <c r="LB250" s="92" t="s">
        <v>109</v>
      </c>
      <c r="LC250" s="92" t="s">
        <v>4439</v>
      </c>
      <c r="LD250" s="92" t="s">
        <v>4439</v>
      </c>
      <c r="LE250" s="92" t="s">
        <v>109</v>
      </c>
      <c r="LF250" s="92" t="s">
        <v>109</v>
      </c>
    </row>
    <row r="251" spans="1:318" x14ac:dyDescent="0.25">
      <c r="A251" t="s">
        <v>2470</v>
      </c>
      <c r="B251" t="s">
        <v>2471</v>
      </c>
      <c r="C251" t="s">
        <v>1304</v>
      </c>
      <c r="D251" t="s">
        <v>1429</v>
      </c>
      <c r="E251" t="s">
        <v>1306</v>
      </c>
      <c r="G251" t="s">
        <v>1319</v>
      </c>
      <c r="H251">
        <v>1</v>
      </c>
      <c r="J251" t="s">
        <v>1430</v>
      </c>
      <c r="K251" t="s">
        <v>1309</v>
      </c>
      <c r="L251" t="s">
        <v>1309</v>
      </c>
      <c r="M251" t="s">
        <v>1310</v>
      </c>
      <c r="N251" t="s">
        <v>1309</v>
      </c>
      <c r="O251" t="s">
        <v>1309</v>
      </c>
      <c r="P251" t="s">
        <v>1309</v>
      </c>
      <c r="Q251" t="s">
        <v>1309</v>
      </c>
      <c r="R251" t="s">
        <v>1309</v>
      </c>
      <c r="T251">
        <v>1</v>
      </c>
      <c r="U251" t="s">
        <v>1312</v>
      </c>
      <c r="V251" t="s">
        <v>1312</v>
      </c>
      <c r="W251" t="s">
        <v>1312</v>
      </c>
      <c r="X251" t="s">
        <v>1312</v>
      </c>
      <c r="Y251" t="s">
        <v>1312</v>
      </c>
      <c r="Z251" t="s">
        <v>1312</v>
      </c>
      <c r="AC251">
        <v>1</v>
      </c>
      <c r="AD251">
        <v>3000</v>
      </c>
      <c r="AE251">
        <v>2000</v>
      </c>
      <c r="AF251" t="s">
        <v>1313</v>
      </c>
      <c r="AH251" t="s">
        <v>1536</v>
      </c>
      <c r="AJ251" t="s">
        <v>1315</v>
      </c>
      <c r="AL251" t="s">
        <v>1316</v>
      </c>
      <c r="BS251" t="s">
        <v>1307</v>
      </c>
      <c r="CE251" t="s">
        <v>1776</v>
      </c>
      <c r="CF251" t="s">
        <v>1309</v>
      </c>
      <c r="CG251" t="s">
        <v>1309</v>
      </c>
      <c r="CH251" t="s">
        <v>1309</v>
      </c>
      <c r="CI251" t="s">
        <v>1309</v>
      </c>
      <c r="CJ251" t="s">
        <v>1310</v>
      </c>
      <c r="CK251" t="s">
        <v>1309</v>
      </c>
      <c r="CL251" t="s">
        <v>1309</v>
      </c>
      <c r="CM251" t="s">
        <v>1309</v>
      </c>
      <c r="CN251" t="s">
        <v>1310</v>
      </c>
      <c r="CO251" t="s">
        <v>1309</v>
      </c>
      <c r="CP251" t="s">
        <v>1309</v>
      </c>
      <c r="CQ251" t="s">
        <v>1309</v>
      </c>
      <c r="CR251" t="s">
        <v>1309</v>
      </c>
      <c r="CT251" t="s">
        <v>4435</v>
      </c>
      <c r="CV251" t="s">
        <v>1308</v>
      </c>
      <c r="CW251" t="s">
        <v>1310</v>
      </c>
      <c r="CX251" t="s">
        <v>1309</v>
      </c>
      <c r="CY251" t="s">
        <v>1309</v>
      </c>
      <c r="CZ251" t="s">
        <v>1309</v>
      </c>
      <c r="DA251" t="s">
        <v>1309</v>
      </c>
      <c r="DB251" t="s">
        <v>1309</v>
      </c>
      <c r="DC251" t="s">
        <v>1309</v>
      </c>
      <c r="DE251" t="s">
        <v>1358</v>
      </c>
      <c r="DF251" t="s">
        <v>1319</v>
      </c>
      <c r="DG251">
        <v>250</v>
      </c>
      <c r="DH251">
        <v>800</v>
      </c>
      <c r="DI251">
        <v>250</v>
      </c>
      <c r="DJ251" t="s">
        <v>1358</v>
      </c>
      <c r="DK251">
        <v>250</v>
      </c>
      <c r="DL251">
        <v>1200</v>
      </c>
      <c r="DM251">
        <v>250</v>
      </c>
      <c r="DN251" t="s">
        <v>1320</v>
      </c>
      <c r="DO251" t="s">
        <v>1310</v>
      </c>
      <c r="DP251" t="s">
        <v>1309</v>
      </c>
      <c r="DQ251" t="s">
        <v>1309</v>
      </c>
      <c r="DR251" t="s">
        <v>1309</v>
      </c>
      <c r="DS251" t="s">
        <v>1309</v>
      </c>
      <c r="DT251" t="s">
        <v>1310</v>
      </c>
      <c r="DU251" t="s">
        <v>1309</v>
      </c>
      <c r="DV251" t="s">
        <v>1309</v>
      </c>
      <c r="DW251" t="s">
        <v>1309</v>
      </c>
      <c r="DY251" t="s">
        <v>1433</v>
      </c>
      <c r="DZ251">
        <v>420</v>
      </c>
      <c r="EA251" t="s">
        <v>1386</v>
      </c>
      <c r="EC251" t="s">
        <v>1738</v>
      </c>
      <c r="ED251">
        <v>800</v>
      </c>
      <c r="EE251" t="s">
        <v>1386</v>
      </c>
      <c r="EG251" t="s">
        <v>5356</v>
      </c>
      <c r="EI251" t="s">
        <v>1307</v>
      </c>
      <c r="ET251" t="s">
        <v>1434</v>
      </c>
      <c r="EV251" t="s">
        <v>1319</v>
      </c>
      <c r="EW251" t="s">
        <v>1361</v>
      </c>
      <c r="EX251" t="s">
        <v>1307</v>
      </c>
      <c r="EY251" t="s">
        <v>1307</v>
      </c>
      <c r="FT251" t="s">
        <v>1307</v>
      </c>
      <c r="GI251" t="s">
        <v>1324</v>
      </c>
      <c r="GJ251" t="s">
        <v>1324</v>
      </c>
      <c r="GT251" t="s">
        <v>1325</v>
      </c>
      <c r="GU251" t="s">
        <v>1310</v>
      </c>
      <c r="GV251" t="s">
        <v>1309</v>
      </c>
      <c r="GW251" t="s">
        <v>1309</v>
      </c>
      <c r="GX251" t="s">
        <v>1309</v>
      </c>
      <c r="GY251" t="s">
        <v>1309</v>
      </c>
      <c r="GZ251" t="s">
        <v>1309</v>
      </c>
      <c r="HA251" t="s">
        <v>1309</v>
      </c>
      <c r="HB251" t="s">
        <v>1309</v>
      </c>
      <c r="HC251" t="s">
        <v>1309</v>
      </c>
      <c r="HD251" t="s">
        <v>1309</v>
      </c>
      <c r="HE251" t="s">
        <v>1309</v>
      </c>
      <c r="HF251" t="s">
        <v>1309</v>
      </c>
      <c r="HH251" t="s">
        <v>1390</v>
      </c>
      <c r="HI251" t="s">
        <v>1390</v>
      </c>
      <c r="HJ251" t="s">
        <v>1390</v>
      </c>
      <c r="HK251" t="s">
        <v>1327</v>
      </c>
      <c r="HL251" t="s">
        <v>1364</v>
      </c>
      <c r="HM251" t="s">
        <v>1390</v>
      </c>
      <c r="IA251" t="s">
        <v>1319</v>
      </c>
      <c r="IB251" t="s">
        <v>1870</v>
      </c>
      <c r="IC251" t="s">
        <v>1309</v>
      </c>
      <c r="ID251" t="s">
        <v>1309</v>
      </c>
      <c r="IE251" t="s">
        <v>1309</v>
      </c>
      <c r="IF251" t="s">
        <v>1310</v>
      </c>
      <c r="IG251" t="s">
        <v>1310</v>
      </c>
      <c r="IH251" t="s">
        <v>1309</v>
      </c>
      <c r="II251" t="s">
        <v>1309</v>
      </c>
      <c r="IJ251" t="s">
        <v>1309</v>
      </c>
      <c r="IK251" t="s">
        <v>1309</v>
      </c>
      <c r="IL251" t="s">
        <v>1309</v>
      </c>
      <c r="IM251" t="s">
        <v>1309</v>
      </c>
      <c r="IN251" t="s">
        <v>1309</v>
      </c>
      <c r="IO251" t="s">
        <v>1309</v>
      </c>
      <c r="IQ251" t="s">
        <v>1330</v>
      </c>
      <c r="IS251" t="s">
        <v>1316</v>
      </c>
      <c r="JF251" t="s">
        <v>1316</v>
      </c>
      <c r="JG251" t="s">
        <v>1523</v>
      </c>
      <c r="JH251" t="s">
        <v>1309</v>
      </c>
      <c r="JI251" t="s">
        <v>1309</v>
      </c>
      <c r="JJ251" t="s">
        <v>1309</v>
      </c>
      <c r="JK251" t="s">
        <v>1310</v>
      </c>
      <c r="JL251" t="s">
        <v>1309</v>
      </c>
      <c r="JM251" t="s">
        <v>1309</v>
      </c>
      <c r="JN251" t="s">
        <v>1309</v>
      </c>
      <c r="JO251" t="s">
        <v>1309</v>
      </c>
      <c r="JQ251" s="92" t="s">
        <v>1333</v>
      </c>
      <c r="JR251" s="92" t="s">
        <v>1334</v>
      </c>
      <c r="JS251" s="92">
        <v>66</v>
      </c>
      <c r="JT251" s="92" t="s">
        <v>1319</v>
      </c>
      <c r="JU251" s="92" t="s">
        <v>1335</v>
      </c>
      <c r="JV251" s="92" t="s">
        <v>1336</v>
      </c>
      <c r="JW251" s="92" t="s">
        <v>1296</v>
      </c>
      <c r="JX251" s="92" t="s">
        <v>71</v>
      </c>
      <c r="JY251" s="92" t="s">
        <v>1397</v>
      </c>
      <c r="JZ251" s="92" t="s">
        <v>1369</v>
      </c>
      <c r="KA251" s="92" t="s">
        <v>4844</v>
      </c>
      <c r="KB251" s="92" t="s">
        <v>1476</v>
      </c>
      <c r="KC251" s="92" t="s">
        <v>109</v>
      </c>
      <c r="KD251" s="92" t="s">
        <v>4844</v>
      </c>
      <c r="KE251" s="92" t="s">
        <v>5560</v>
      </c>
      <c r="KF251" s="92">
        <v>1300</v>
      </c>
      <c r="KG251" s="92" t="s">
        <v>4439</v>
      </c>
      <c r="KH251" s="92" t="s">
        <v>192</v>
      </c>
      <c r="KI251" s="92" t="s">
        <v>192</v>
      </c>
      <c r="KJ251" s="92" t="s">
        <v>192</v>
      </c>
      <c r="KK251" s="92" t="s">
        <v>192</v>
      </c>
      <c r="KL251" s="92" t="s">
        <v>1440</v>
      </c>
      <c r="KM251" s="92">
        <v>1700</v>
      </c>
      <c r="KN251" s="92" t="s">
        <v>1400</v>
      </c>
      <c r="KO251" s="92" t="s">
        <v>1440</v>
      </c>
      <c r="KP251" s="92" t="s">
        <v>1342</v>
      </c>
      <c r="KQ251" s="92" t="s">
        <v>192</v>
      </c>
      <c r="KR251" s="92">
        <v>32</v>
      </c>
      <c r="KS251" s="92" t="s">
        <v>1343</v>
      </c>
      <c r="KT251" s="92" t="s">
        <v>1402</v>
      </c>
      <c r="KU251" s="92">
        <v>47</v>
      </c>
      <c r="KV251" s="92" t="s">
        <v>1441</v>
      </c>
      <c r="KW251" s="92" t="s">
        <v>1402</v>
      </c>
      <c r="KX251" s="92" t="s">
        <v>1346</v>
      </c>
      <c r="KY251" s="92" t="s">
        <v>1347</v>
      </c>
      <c r="KZ251" s="92" t="s">
        <v>1403</v>
      </c>
      <c r="LA251" s="92" t="s">
        <v>109</v>
      </c>
      <c r="LB251" s="92" t="s">
        <v>109</v>
      </c>
      <c r="LC251" s="92" t="s">
        <v>4439</v>
      </c>
      <c r="LD251" s="92" t="s">
        <v>4439</v>
      </c>
      <c r="LE251" s="92" t="s">
        <v>192</v>
      </c>
      <c r="LF251" s="92" t="s">
        <v>192</v>
      </c>
    </row>
    <row r="252" spans="1:318" x14ac:dyDescent="0.25">
      <c r="A252" t="s">
        <v>2472</v>
      </c>
      <c r="B252" t="s">
        <v>2473</v>
      </c>
      <c r="C252" t="s">
        <v>1304</v>
      </c>
      <c r="D252" t="s">
        <v>1305</v>
      </c>
      <c r="E252" t="s">
        <v>1306</v>
      </c>
      <c r="G252" t="s">
        <v>1307</v>
      </c>
      <c r="H252">
        <v>1</v>
      </c>
      <c r="J252" t="s">
        <v>1430</v>
      </c>
      <c r="K252" t="s">
        <v>1309</v>
      </c>
      <c r="L252" t="s">
        <v>1309</v>
      </c>
      <c r="M252" t="s">
        <v>1310</v>
      </c>
      <c r="N252" t="s">
        <v>1309</v>
      </c>
      <c r="O252" t="s">
        <v>1309</v>
      </c>
      <c r="P252" t="s">
        <v>1309</v>
      </c>
      <c r="Q252" t="s">
        <v>1309</v>
      </c>
      <c r="R252" t="s">
        <v>1309</v>
      </c>
      <c r="T252">
        <v>1</v>
      </c>
      <c r="U252" t="s">
        <v>1311</v>
      </c>
      <c r="V252" t="s">
        <v>1312</v>
      </c>
      <c r="W252" t="s">
        <v>1311</v>
      </c>
      <c r="X252" t="s">
        <v>1312</v>
      </c>
      <c r="Y252" t="s">
        <v>1312</v>
      </c>
      <c r="Z252" t="s">
        <v>1312</v>
      </c>
      <c r="AC252">
        <v>1</v>
      </c>
      <c r="AD252">
        <v>5000</v>
      </c>
      <c r="AE252">
        <v>4000</v>
      </c>
      <c r="AF252" t="s">
        <v>1351</v>
      </c>
      <c r="AH252" t="s">
        <v>1536</v>
      </c>
      <c r="AJ252" t="s">
        <v>1353</v>
      </c>
      <c r="AL252" t="s">
        <v>1316</v>
      </c>
      <c r="BA252" t="s">
        <v>1316</v>
      </c>
      <c r="BS252" t="s">
        <v>1307</v>
      </c>
      <c r="CE252" t="s">
        <v>1695</v>
      </c>
      <c r="CF252" t="s">
        <v>1309</v>
      </c>
      <c r="CG252" t="s">
        <v>1309</v>
      </c>
      <c r="CH252" t="s">
        <v>1309</v>
      </c>
      <c r="CI252" t="s">
        <v>1309</v>
      </c>
      <c r="CJ252" t="s">
        <v>1309</v>
      </c>
      <c r="CK252" t="s">
        <v>1309</v>
      </c>
      <c r="CL252" t="s">
        <v>1310</v>
      </c>
      <c r="CM252" t="s">
        <v>1309</v>
      </c>
      <c r="CN252" t="s">
        <v>1310</v>
      </c>
      <c r="CO252" t="s">
        <v>1309</v>
      </c>
      <c r="CP252" t="s">
        <v>1309</v>
      </c>
      <c r="CQ252" t="s">
        <v>1309</v>
      </c>
      <c r="CR252" t="s">
        <v>1309</v>
      </c>
      <c r="CT252" t="s">
        <v>4436</v>
      </c>
      <c r="CV252" t="s">
        <v>1308</v>
      </c>
      <c r="CW252" t="s">
        <v>1310</v>
      </c>
      <c r="CX252" t="s">
        <v>1309</v>
      </c>
      <c r="CY252" t="s">
        <v>1309</v>
      </c>
      <c r="CZ252" t="s">
        <v>1309</v>
      </c>
      <c r="DA252" t="s">
        <v>1309</v>
      </c>
      <c r="DB252" t="s">
        <v>1309</v>
      </c>
      <c r="DC252" t="s">
        <v>1309</v>
      </c>
      <c r="DE252" t="s">
        <v>1358</v>
      </c>
      <c r="DF252" t="s">
        <v>1319</v>
      </c>
      <c r="DG252">
        <v>150</v>
      </c>
      <c r="DH252">
        <v>800</v>
      </c>
      <c r="DI252">
        <v>150</v>
      </c>
      <c r="DJ252" t="s">
        <v>1358</v>
      </c>
      <c r="DK252">
        <v>150</v>
      </c>
      <c r="DL252">
        <v>1000</v>
      </c>
      <c r="DM252">
        <v>200</v>
      </c>
      <c r="DN252" t="s">
        <v>1320</v>
      </c>
      <c r="DO252" t="s">
        <v>1310</v>
      </c>
      <c r="DP252" t="s">
        <v>1309</v>
      </c>
      <c r="DQ252" t="s">
        <v>1309</v>
      </c>
      <c r="DR252" t="s">
        <v>1309</v>
      </c>
      <c r="DS252" t="s">
        <v>1309</v>
      </c>
      <c r="DT252" t="s">
        <v>1310</v>
      </c>
      <c r="DU252" t="s">
        <v>1309</v>
      </c>
      <c r="DV252" t="s">
        <v>1309</v>
      </c>
      <c r="DW252" t="s">
        <v>1309</v>
      </c>
      <c r="DY252" t="s">
        <v>1696</v>
      </c>
      <c r="DZ252">
        <v>450</v>
      </c>
      <c r="EA252" t="s">
        <v>1386</v>
      </c>
      <c r="EC252" t="s">
        <v>1322</v>
      </c>
      <c r="ED252">
        <v>800</v>
      </c>
      <c r="EE252" t="s">
        <v>1386</v>
      </c>
      <c r="EG252" t="s">
        <v>5356</v>
      </c>
      <c r="EI252" t="s">
        <v>1307</v>
      </c>
      <c r="ET252" t="s">
        <v>1434</v>
      </c>
      <c r="EV252" t="s">
        <v>1319</v>
      </c>
      <c r="EW252" t="s">
        <v>1361</v>
      </c>
      <c r="EX252" t="s">
        <v>1319</v>
      </c>
      <c r="EY252" t="s">
        <v>1307</v>
      </c>
      <c r="EZ252" t="s">
        <v>1319</v>
      </c>
      <c r="FA252" t="s">
        <v>2474</v>
      </c>
      <c r="FB252" t="s">
        <v>1310</v>
      </c>
      <c r="FC252" t="s">
        <v>1310</v>
      </c>
      <c r="FD252" t="s">
        <v>1309</v>
      </c>
      <c r="FE252" t="s">
        <v>1309</v>
      </c>
      <c r="FF252" t="s">
        <v>1309</v>
      </c>
      <c r="FG252" t="s">
        <v>1309</v>
      </c>
      <c r="FH252" t="s">
        <v>1309</v>
      </c>
      <c r="FI252" t="s">
        <v>1310</v>
      </c>
      <c r="FJ252" t="s">
        <v>1309</v>
      </c>
      <c r="FK252" t="s">
        <v>1309</v>
      </c>
      <c r="FL252" t="s">
        <v>1309</v>
      </c>
      <c r="FM252" t="s">
        <v>1309</v>
      </c>
      <c r="FN252" t="s">
        <v>1310</v>
      </c>
      <c r="FO252" t="s">
        <v>1309</v>
      </c>
      <c r="FP252" t="s">
        <v>1309</v>
      </c>
      <c r="FQ252" t="s">
        <v>1309</v>
      </c>
      <c r="FR252" t="s">
        <v>1309</v>
      </c>
      <c r="FT252" t="s">
        <v>1307</v>
      </c>
      <c r="GI252" t="s">
        <v>1324</v>
      </c>
      <c r="GJ252" t="s">
        <v>1324</v>
      </c>
      <c r="GT252" t="s">
        <v>1325</v>
      </c>
      <c r="GU252" t="s">
        <v>1310</v>
      </c>
      <c r="GV252" t="s">
        <v>1309</v>
      </c>
      <c r="GW252" t="s">
        <v>1309</v>
      </c>
      <c r="GX252" t="s">
        <v>1309</v>
      </c>
      <c r="GY252" t="s">
        <v>1309</v>
      </c>
      <c r="GZ252" t="s">
        <v>1309</v>
      </c>
      <c r="HA252" t="s">
        <v>1309</v>
      </c>
      <c r="HB252" t="s">
        <v>1309</v>
      </c>
      <c r="HC252" t="s">
        <v>1309</v>
      </c>
      <c r="HD252" t="s">
        <v>1309</v>
      </c>
      <c r="HE252" t="s">
        <v>1309</v>
      </c>
      <c r="HF252" t="s">
        <v>1309</v>
      </c>
      <c r="HH252" t="s">
        <v>1326</v>
      </c>
      <c r="HI252" t="s">
        <v>1326</v>
      </c>
      <c r="HJ252" t="s">
        <v>1326</v>
      </c>
      <c r="HK252" t="s">
        <v>1327</v>
      </c>
      <c r="HL252" t="s">
        <v>1364</v>
      </c>
      <c r="HM252" t="s">
        <v>1390</v>
      </c>
      <c r="IA252" t="s">
        <v>1319</v>
      </c>
      <c r="IB252" t="s">
        <v>1769</v>
      </c>
      <c r="IC252" t="s">
        <v>1310</v>
      </c>
      <c r="ID252" t="s">
        <v>1309</v>
      </c>
      <c r="IE252" t="s">
        <v>1309</v>
      </c>
      <c r="IF252" t="s">
        <v>1309</v>
      </c>
      <c r="IG252" t="s">
        <v>1310</v>
      </c>
      <c r="IH252" t="s">
        <v>1309</v>
      </c>
      <c r="II252" t="s">
        <v>1310</v>
      </c>
      <c r="IJ252" t="s">
        <v>1309</v>
      </c>
      <c r="IK252" t="s">
        <v>1309</v>
      </c>
      <c r="IL252" t="s">
        <v>1309</v>
      </c>
      <c r="IM252" t="s">
        <v>1309</v>
      </c>
      <c r="IN252" t="s">
        <v>1309</v>
      </c>
      <c r="IO252" t="s">
        <v>1309</v>
      </c>
      <c r="IQ252" t="s">
        <v>1308</v>
      </c>
      <c r="IS252" t="s">
        <v>1316</v>
      </c>
      <c r="JF252" t="s">
        <v>1316</v>
      </c>
      <c r="JG252" t="s">
        <v>1566</v>
      </c>
      <c r="JH252" t="s">
        <v>1310</v>
      </c>
      <c r="JI252" t="s">
        <v>1309</v>
      </c>
      <c r="JJ252" t="s">
        <v>1309</v>
      </c>
      <c r="JK252" t="s">
        <v>1309</v>
      </c>
      <c r="JL252" t="s">
        <v>1310</v>
      </c>
      <c r="JM252" t="s">
        <v>1309</v>
      </c>
      <c r="JN252" t="s">
        <v>1309</v>
      </c>
      <c r="JO252" t="s">
        <v>1309</v>
      </c>
      <c r="JQ252" s="92" t="s">
        <v>1333</v>
      </c>
      <c r="JR252" s="92" t="s">
        <v>1334</v>
      </c>
      <c r="JS252" s="92">
        <v>68</v>
      </c>
      <c r="JT252" s="92" t="s">
        <v>1319</v>
      </c>
      <c r="JU252" s="92" t="s">
        <v>1335</v>
      </c>
      <c r="JV252" s="92" t="s">
        <v>1336</v>
      </c>
      <c r="JW252" s="92" t="s">
        <v>1296</v>
      </c>
      <c r="JX252" s="92" t="s">
        <v>71</v>
      </c>
      <c r="JY252" s="92" t="s">
        <v>5549</v>
      </c>
      <c r="JZ252" s="92" t="s">
        <v>1369</v>
      </c>
      <c r="KA252" s="92" t="s">
        <v>4844</v>
      </c>
      <c r="KB252" s="92" t="s">
        <v>1476</v>
      </c>
      <c r="KC252" s="92" t="s">
        <v>109</v>
      </c>
      <c r="KD252" s="92" t="s">
        <v>4844</v>
      </c>
      <c r="KE252" s="92" t="s">
        <v>5560</v>
      </c>
      <c r="KF252" s="92">
        <v>1100</v>
      </c>
      <c r="KG252" s="92" t="s">
        <v>4438</v>
      </c>
      <c r="KH252" s="92" t="s">
        <v>192</v>
      </c>
      <c r="KI252" s="92" t="s">
        <v>192</v>
      </c>
      <c r="KJ252" s="92" t="s">
        <v>192</v>
      </c>
      <c r="KK252" s="92" t="s">
        <v>192</v>
      </c>
      <c r="KL252" s="92" t="s">
        <v>1440</v>
      </c>
      <c r="KM252" s="92">
        <v>1350</v>
      </c>
      <c r="KN252" s="92" t="s">
        <v>4439</v>
      </c>
      <c r="KO252" s="92" t="s">
        <v>1440</v>
      </c>
      <c r="KP252" s="92" t="s">
        <v>1401</v>
      </c>
      <c r="KQ252" s="92" t="s">
        <v>192</v>
      </c>
      <c r="KR252" s="92"/>
      <c r="KS252" s="92" t="s">
        <v>1343</v>
      </c>
      <c r="KT252" s="92" t="s">
        <v>1402</v>
      </c>
      <c r="KU252" s="92"/>
      <c r="KV252" s="92" t="s">
        <v>1441</v>
      </c>
      <c r="KW252" s="92" t="s">
        <v>1402</v>
      </c>
      <c r="KX252" s="92" t="s">
        <v>1346</v>
      </c>
      <c r="KY252" s="92" t="s">
        <v>1347</v>
      </c>
      <c r="KZ252" s="92" t="s">
        <v>5795</v>
      </c>
      <c r="LA252" s="92" t="s">
        <v>109</v>
      </c>
      <c r="LB252" s="92" t="s">
        <v>109</v>
      </c>
      <c r="LC252" s="92" t="s">
        <v>4438</v>
      </c>
      <c r="LD252" s="92" t="s">
        <v>4438</v>
      </c>
      <c r="LE252" s="92" t="s">
        <v>192</v>
      </c>
      <c r="LF252" s="92" t="s">
        <v>192</v>
      </c>
    </row>
    <row r="253" spans="1:318" x14ac:dyDescent="0.25">
      <c r="A253" t="s">
        <v>2475</v>
      </c>
      <c r="B253" t="s">
        <v>2476</v>
      </c>
      <c r="C253" t="s">
        <v>1304</v>
      </c>
      <c r="D253" t="s">
        <v>1305</v>
      </c>
      <c r="E253" t="s">
        <v>1306</v>
      </c>
      <c r="G253" t="s">
        <v>1307</v>
      </c>
      <c r="H253">
        <v>2</v>
      </c>
      <c r="I253" t="s">
        <v>1307</v>
      </c>
      <c r="J253" t="s">
        <v>1430</v>
      </c>
      <c r="K253" t="s">
        <v>1309</v>
      </c>
      <c r="L253" t="s">
        <v>1309</v>
      </c>
      <c r="M253" t="s">
        <v>1310</v>
      </c>
      <c r="N253" t="s">
        <v>1309</v>
      </c>
      <c r="O253" t="s">
        <v>1309</v>
      </c>
      <c r="P253" t="s">
        <v>1309</v>
      </c>
      <c r="Q253" t="s">
        <v>1309</v>
      </c>
      <c r="R253" t="s">
        <v>1309</v>
      </c>
      <c r="T253">
        <v>2</v>
      </c>
      <c r="U253" t="s">
        <v>1311</v>
      </c>
      <c r="V253" t="s">
        <v>1312</v>
      </c>
      <c r="W253" t="s">
        <v>1311</v>
      </c>
      <c r="X253" t="s">
        <v>1312</v>
      </c>
      <c r="Y253" t="s">
        <v>1311</v>
      </c>
      <c r="Z253" t="s">
        <v>1312</v>
      </c>
      <c r="AC253">
        <v>2</v>
      </c>
      <c r="AD253">
        <v>5000</v>
      </c>
      <c r="AE253">
        <v>5000</v>
      </c>
      <c r="AF253" t="s">
        <v>1313</v>
      </c>
      <c r="AH253" t="s">
        <v>1314</v>
      </c>
      <c r="AJ253" t="s">
        <v>1353</v>
      </c>
      <c r="AL253" t="s">
        <v>1316</v>
      </c>
      <c r="BA253" t="s">
        <v>1316</v>
      </c>
      <c r="BS253" t="s">
        <v>1307</v>
      </c>
      <c r="CE253" t="s">
        <v>1355</v>
      </c>
      <c r="CF253" t="s">
        <v>1309</v>
      </c>
      <c r="CG253" t="s">
        <v>1309</v>
      </c>
      <c r="CH253" t="s">
        <v>1309</v>
      </c>
      <c r="CI253" t="s">
        <v>1309</v>
      </c>
      <c r="CJ253" t="s">
        <v>1309</v>
      </c>
      <c r="CK253" t="s">
        <v>1309</v>
      </c>
      <c r="CL253" t="s">
        <v>1309</v>
      </c>
      <c r="CM253" t="s">
        <v>1309</v>
      </c>
      <c r="CN253" t="s">
        <v>1310</v>
      </c>
      <c r="CO253" t="s">
        <v>1309</v>
      </c>
      <c r="CP253" t="s">
        <v>1309</v>
      </c>
      <c r="CQ253" t="s">
        <v>1309</v>
      </c>
      <c r="CR253" t="s">
        <v>1309</v>
      </c>
      <c r="CT253" t="s">
        <v>4434</v>
      </c>
      <c r="CV253" t="s">
        <v>1308</v>
      </c>
      <c r="CW253" t="s">
        <v>1310</v>
      </c>
      <c r="CX253" t="s">
        <v>1309</v>
      </c>
      <c r="CY253" t="s">
        <v>1309</v>
      </c>
      <c r="CZ253" t="s">
        <v>1309</v>
      </c>
      <c r="DA253" t="s">
        <v>1309</v>
      </c>
      <c r="DB253" t="s">
        <v>1309</v>
      </c>
      <c r="DC253" t="s">
        <v>1309</v>
      </c>
      <c r="DE253" t="s">
        <v>1358</v>
      </c>
      <c r="DG253">
        <v>1200</v>
      </c>
      <c r="DI253">
        <v>500</v>
      </c>
      <c r="DJ253" t="s">
        <v>1358</v>
      </c>
      <c r="DK253">
        <v>1800</v>
      </c>
      <c r="DM253">
        <v>500</v>
      </c>
      <c r="DN253" t="s">
        <v>1320</v>
      </c>
      <c r="DO253" t="s">
        <v>1310</v>
      </c>
      <c r="DP253" t="s">
        <v>1309</v>
      </c>
      <c r="DQ253" t="s">
        <v>1309</v>
      </c>
      <c r="DR253" t="s">
        <v>1309</v>
      </c>
      <c r="DS253" t="s">
        <v>1309</v>
      </c>
      <c r="DT253" t="s">
        <v>1310</v>
      </c>
      <c r="DU253" t="s">
        <v>1309</v>
      </c>
      <c r="DV253" t="s">
        <v>1309</v>
      </c>
      <c r="DW253" t="s">
        <v>1309</v>
      </c>
      <c r="DY253" t="s">
        <v>1456</v>
      </c>
      <c r="DZ253">
        <v>500</v>
      </c>
      <c r="EA253" t="s">
        <v>1319</v>
      </c>
      <c r="EC253" t="s">
        <v>1457</v>
      </c>
      <c r="ED253">
        <v>800</v>
      </c>
      <c r="EE253" t="s">
        <v>1319</v>
      </c>
      <c r="EG253" t="s">
        <v>5356</v>
      </c>
      <c r="EI253" t="s">
        <v>1307</v>
      </c>
      <c r="ET253" t="s">
        <v>1434</v>
      </c>
      <c r="EV253" t="s">
        <v>1319</v>
      </c>
      <c r="EW253" t="s">
        <v>1361</v>
      </c>
      <c r="EX253" t="s">
        <v>1307</v>
      </c>
      <c r="EY253" t="s">
        <v>1307</v>
      </c>
      <c r="FT253" t="s">
        <v>1319</v>
      </c>
      <c r="FU253" t="s">
        <v>2477</v>
      </c>
      <c r="FV253" t="s">
        <v>1309</v>
      </c>
      <c r="FW253" t="s">
        <v>1309</v>
      </c>
      <c r="FX253" t="s">
        <v>1310</v>
      </c>
      <c r="FY253" t="s">
        <v>1309</v>
      </c>
      <c r="FZ253" t="s">
        <v>1309</v>
      </c>
      <c r="GA253" t="s">
        <v>1309</v>
      </c>
      <c r="GB253" t="s">
        <v>1309</v>
      </c>
      <c r="GC253" t="s">
        <v>1309</v>
      </c>
      <c r="GD253" t="s">
        <v>1309</v>
      </c>
      <c r="GE253" t="s">
        <v>1309</v>
      </c>
      <c r="GF253" t="s">
        <v>1309</v>
      </c>
      <c r="GG253" t="s">
        <v>1309</v>
      </c>
      <c r="GI253" t="s">
        <v>1324</v>
      </c>
      <c r="GJ253" t="s">
        <v>1324</v>
      </c>
      <c r="GT253" t="s">
        <v>1325</v>
      </c>
      <c r="GU253" t="s">
        <v>1310</v>
      </c>
      <c r="GV253" t="s">
        <v>1309</v>
      </c>
      <c r="GW253" t="s">
        <v>1309</v>
      </c>
      <c r="GX253" t="s">
        <v>1309</v>
      </c>
      <c r="GY253" t="s">
        <v>1309</v>
      </c>
      <c r="GZ253" t="s">
        <v>1309</v>
      </c>
      <c r="HA253" t="s">
        <v>1309</v>
      </c>
      <c r="HB253" t="s">
        <v>1309</v>
      </c>
      <c r="HC253" t="s">
        <v>1309</v>
      </c>
      <c r="HD253" t="s">
        <v>1309</v>
      </c>
      <c r="HE253" t="s">
        <v>1309</v>
      </c>
      <c r="HF253" t="s">
        <v>1309</v>
      </c>
      <c r="HH253" t="s">
        <v>1390</v>
      </c>
      <c r="HI253" t="s">
        <v>1390</v>
      </c>
      <c r="HJ253" t="s">
        <v>1390</v>
      </c>
      <c r="HK253" t="s">
        <v>1390</v>
      </c>
      <c r="HL253" t="s">
        <v>1364</v>
      </c>
      <c r="HM253" t="s">
        <v>1390</v>
      </c>
      <c r="IA253" t="s">
        <v>1319</v>
      </c>
      <c r="IB253" t="s">
        <v>1423</v>
      </c>
      <c r="IC253" t="s">
        <v>1309</v>
      </c>
      <c r="ID253" t="s">
        <v>1309</v>
      </c>
      <c r="IE253" t="s">
        <v>1309</v>
      </c>
      <c r="IF253" t="s">
        <v>1309</v>
      </c>
      <c r="IG253" t="s">
        <v>1310</v>
      </c>
      <c r="IH253" t="s">
        <v>1309</v>
      </c>
      <c r="II253" t="s">
        <v>1309</v>
      </c>
      <c r="IJ253" t="s">
        <v>1309</v>
      </c>
      <c r="IK253" t="s">
        <v>1309</v>
      </c>
      <c r="IL253" t="s">
        <v>1309</v>
      </c>
      <c r="IM253" t="s">
        <v>1309</v>
      </c>
      <c r="IN253" t="s">
        <v>1309</v>
      </c>
      <c r="IO253" t="s">
        <v>1309</v>
      </c>
      <c r="IQ253" t="s">
        <v>1330</v>
      </c>
      <c r="IS253" t="s">
        <v>1316</v>
      </c>
      <c r="JF253" t="s">
        <v>1316</v>
      </c>
      <c r="JG253" t="s">
        <v>1393</v>
      </c>
      <c r="JH253" t="s">
        <v>1310</v>
      </c>
      <c r="JI253" t="s">
        <v>1309</v>
      </c>
      <c r="JJ253" t="s">
        <v>1309</v>
      </c>
      <c r="JK253" t="s">
        <v>1309</v>
      </c>
      <c r="JL253" t="s">
        <v>1309</v>
      </c>
      <c r="JM253" t="s">
        <v>1309</v>
      </c>
      <c r="JN253" t="s">
        <v>1309</v>
      </c>
      <c r="JO253" t="s">
        <v>1309</v>
      </c>
      <c r="JQ253" s="92" t="s">
        <v>1333</v>
      </c>
      <c r="JR253" s="92" t="s">
        <v>1334</v>
      </c>
      <c r="JS253" s="92">
        <v>68</v>
      </c>
      <c r="JT253" s="92" t="s">
        <v>1319</v>
      </c>
      <c r="JU253" s="92" t="s">
        <v>1335</v>
      </c>
      <c r="JV253" s="92" t="s">
        <v>1336</v>
      </c>
      <c r="JW253" s="92" t="s">
        <v>1296</v>
      </c>
      <c r="JX253" s="92" t="s">
        <v>71</v>
      </c>
      <c r="JY253" s="92" t="s">
        <v>5549</v>
      </c>
      <c r="JZ253" s="92" t="s">
        <v>1369</v>
      </c>
      <c r="KA253" s="92" t="s">
        <v>4845</v>
      </c>
      <c r="KB253" s="92" t="s">
        <v>1476</v>
      </c>
      <c r="KC253" s="92" t="s">
        <v>109</v>
      </c>
      <c r="KD253" s="92" t="s">
        <v>4847</v>
      </c>
      <c r="KE253" s="92" t="s">
        <v>5560</v>
      </c>
      <c r="KF253" s="92">
        <v>1700</v>
      </c>
      <c r="KG253" s="92" t="s">
        <v>4439</v>
      </c>
      <c r="KH253" s="92" t="s">
        <v>192</v>
      </c>
      <c r="KI253" s="92" t="s">
        <v>109</v>
      </c>
      <c r="KJ253" s="92" t="s">
        <v>192</v>
      </c>
      <c r="KK253" s="92" t="s">
        <v>109</v>
      </c>
      <c r="KL253" s="92" t="s">
        <v>1440</v>
      </c>
      <c r="KM253" s="92">
        <v>2300</v>
      </c>
      <c r="KN253" s="92" t="s">
        <v>4439</v>
      </c>
      <c r="KO253" s="92" t="s">
        <v>1425</v>
      </c>
      <c r="KP253" s="92" t="s">
        <v>1460</v>
      </c>
      <c r="KQ253" s="92" t="s">
        <v>192</v>
      </c>
      <c r="KR253" s="92">
        <v>29</v>
      </c>
      <c r="KS253" s="92" t="s">
        <v>1345</v>
      </c>
      <c r="KT253" s="92" t="s">
        <v>1344</v>
      </c>
      <c r="KU253" s="92">
        <v>35</v>
      </c>
      <c r="KV253" s="92" t="s">
        <v>1441</v>
      </c>
      <c r="KW253" s="92" t="s">
        <v>1344</v>
      </c>
      <c r="KX253" s="92" t="s">
        <v>1376</v>
      </c>
      <c r="KY253" s="92" t="s">
        <v>1377</v>
      </c>
      <c r="KZ253" s="92" t="s">
        <v>5795</v>
      </c>
      <c r="LA253" s="92" t="s">
        <v>109</v>
      </c>
      <c r="LB253" s="92" t="s">
        <v>109</v>
      </c>
      <c r="LC253" s="92" t="s">
        <v>4438</v>
      </c>
      <c r="LD253" s="92" t="s">
        <v>4439</v>
      </c>
      <c r="LE253" s="92" t="s">
        <v>192</v>
      </c>
      <c r="LF253" s="92" t="s">
        <v>192</v>
      </c>
    </row>
    <row r="254" spans="1:318" x14ac:dyDescent="0.25">
      <c r="A254" t="s">
        <v>2478</v>
      </c>
      <c r="B254" t="s">
        <v>2479</v>
      </c>
      <c r="C254" t="s">
        <v>1304</v>
      </c>
      <c r="D254" t="s">
        <v>1429</v>
      </c>
      <c r="E254" t="s">
        <v>1306</v>
      </c>
      <c r="G254" t="s">
        <v>1307</v>
      </c>
      <c r="H254">
        <v>3</v>
      </c>
      <c r="I254" t="s">
        <v>1307</v>
      </c>
      <c r="J254" t="s">
        <v>1406</v>
      </c>
      <c r="K254" t="s">
        <v>1309</v>
      </c>
      <c r="L254" t="s">
        <v>1310</v>
      </c>
      <c r="M254" t="s">
        <v>1309</v>
      </c>
      <c r="N254" t="s">
        <v>1309</v>
      </c>
      <c r="O254" t="s">
        <v>1309</v>
      </c>
      <c r="P254" t="s">
        <v>1309</v>
      </c>
      <c r="Q254" t="s">
        <v>1309</v>
      </c>
      <c r="R254" t="s">
        <v>1309</v>
      </c>
      <c r="S254">
        <v>1</v>
      </c>
      <c r="U254" t="s">
        <v>1312</v>
      </c>
      <c r="V254" t="s">
        <v>1312</v>
      </c>
      <c r="W254" t="s">
        <v>1312</v>
      </c>
      <c r="X254" t="s">
        <v>1312</v>
      </c>
      <c r="Y254" t="s">
        <v>1312</v>
      </c>
      <c r="Z254" t="s">
        <v>1312</v>
      </c>
      <c r="AC254">
        <v>2</v>
      </c>
      <c r="AD254">
        <v>8000</v>
      </c>
      <c r="AE254">
        <v>8000</v>
      </c>
      <c r="AF254" t="s">
        <v>1351</v>
      </c>
      <c r="AH254" t="s">
        <v>1314</v>
      </c>
      <c r="AJ254" t="s">
        <v>1315</v>
      </c>
      <c r="AL254" t="s">
        <v>1354</v>
      </c>
      <c r="BS254" t="s">
        <v>1307</v>
      </c>
      <c r="CE254" t="s">
        <v>1384</v>
      </c>
      <c r="CF254" t="s">
        <v>1310</v>
      </c>
      <c r="CG254" t="s">
        <v>1309</v>
      </c>
      <c r="CH254" t="s">
        <v>1309</v>
      </c>
      <c r="CI254" t="s">
        <v>1309</v>
      </c>
      <c r="CJ254" t="s">
        <v>1309</v>
      </c>
      <c r="CK254" t="s">
        <v>1309</v>
      </c>
      <c r="CL254" t="s">
        <v>1309</v>
      </c>
      <c r="CM254" t="s">
        <v>1309</v>
      </c>
      <c r="CN254" t="s">
        <v>1309</v>
      </c>
      <c r="CO254" t="s">
        <v>1309</v>
      </c>
      <c r="CP254" t="s">
        <v>1309</v>
      </c>
      <c r="CQ254" t="s">
        <v>1309</v>
      </c>
      <c r="CR254" t="s">
        <v>1309</v>
      </c>
      <c r="CT254" t="s">
        <v>4434</v>
      </c>
      <c r="CV254" t="s">
        <v>1308</v>
      </c>
      <c r="CW254" t="s">
        <v>1310</v>
      </c>
      <c r="CX254" t="s">
        <v>1309</v>
      </c>
      <c r="CY254" t="s">
        <v>1309</v>
      </c>
      <c r="CZ254" t="s">
        <v>1309</v>
      </c>
      <c r="DA254" t="s">
        <v>1309</v>
      </c>
      <c r="DB254" t="s">
        <v>1309</v>
      </c>
      <c r="DC254" t="s">
        <v>1309</v>
      </c>
      <c r="DE254" t="s">
        <v>1358</v>
      </c>
      <c r="DG254">
        <v>1900</v>
      </c>
      <c r="DI254">
        <v>900</v>
      </c>
      <c r="DJ254" t="s">
        <v>1358</v>
      </c>
      <c r="DK254">
        <v>3200</v>
      </c>
      <c r="DM254">
        <v>1200</v>
      </c>
      <c r="DN254" t="s">
        <v>1320</v>
      </c>
      <c r="DO254" t="s">
        <v>1310</v>
      </c>
      <c r="DP254" t="s">
        <v>1309</v>
      </c>
      <c r="DQ254" t="s">
        <v>1309</v>
      </c>
      <c r="DR254" t="s">
        <v>1309</v>
      </c>
      <c r="DS254" t="s">
        <v>1309</v>
      </c>
      <c r="DT254" t="s">
        <v>1310</v>
      </c>
      <c r="DU254" t="s">
        <v>1309</v>
      </c>
      <c r="DV254" t="s">
        <v>1309</v>
      </c>
      <c r="DW254" t="s">
        <v>1309</v>
      </c>
      <c r="DY254" t="s">
        <v>1456</v>
      </c>
      <c r="DZ254">
        <v>500</v>
      </c>
      <c r="EA254" t="s">
        <v>1319</v>
      </c>
      <c r="EC254" t="s">
        <v>1457</v>
      </c>
      <c r="ED254">
        <v>1000</v>
      </c>
      <c r="EE254" t="s">
        <v>1319</v>
      </c>
      <c r="EG254" t="s">
        <v>5357</v>
      </c>
      <c r="ET254" t="s">
        <v>1307</v>
      </c>
      <c r="EV254" t="s">
        <v>1319</v>
      </c>
      <c r="EW254" t="s">
        <v>1421</v>
      </c>
      <c r="EX254" t="s">
        <v>1319</v>
      </c>
      <c r="EY254" t="s">
        <v>1319</v>
      </c>
      <c r="FA254" t="s">
        <v>2480</v>
      </c>
      <c r="FB254" t="s">
        <v>1310</v>
      </c>
      <c r="FC254" t="s">
        <v>1310</v>
      </c>
      <c r="FD254" t="s">
        <v>1310</v>
      </c>
      <c r="FE254" t="s">
        <v>1309</v>
      </c>
      <c r="FF254" t="s">
        <v>1309</v>
      </c>
      <c r="FG254" t="s">
        <v>1309</v>
      </c>
      <c r="FH254" t="s">
        <v>1310</v>
      </c>
      <c r="FI254" t="s">
        <v>1309</v>
      </c>
      <c r="FJ254" t="s">
        <v>1310</v>
      </c>
      <c r="FK254" t="s">
        <v>1309</v>
      </c>
      <c r="FL254" t="s">
        <v>1309</v>
      </c>
      <c r="FM254" t="s">
        <v>1309</v>
      </c>
      <c r="FN254" t="s">
        <v>1310</v>
      </c>
      <c r="FO254" t="s">
        <v>1309</v>
      </c>
      <c r="FP254" t="s">
        <v>1309</v>
      </c>
      <c r="FQ254" t="s">
        <v>1309</v>
      </c>
      <c r="FR254" t="s">
        <v>1309</v>
      </c>
      <c r="FT254" t="s">
        <v>1319</v>
      </c>
      <c r="FU254" t="s">
        <v>2481</v>
      </c>
      <c r="FV254" t="s">
        <v>1310</v>
      </c>
      <c r="FW254" t="s">
        <v>1309</v>
      </c>
      <c r="FX254" t="s">
        <v>1310</v>
      </c>
      <c r="FY254" t="s">
        <v>1310</v>
      </c>
      <c r="FZ254" t="s">
        <v>1310</v>
      </c>
      <c r="GA254" t="s">
        <v>1309</v>
      </c>
      <c r="GB254" t="s">
        <v>1309</v>
      </c>
      <c r="GC254" t="s">
        <v>1309</v>
      </c>
      <c r="GD254" t="s">
        <v>1309</v>
      </c>
      <c r="GE254" t="s">
        <v>1309</v>
      </c>
      <c r="GF254" t="s">
        <v>1309</v>
      </c>
      <c r="GG254" t="s">
        <v>1309</v>
      </c>
      <c r="GI254" t="s">
        <v>1324</v>
      </c>
      <c r="GJ254" t="s">
        <v>1324</v>
      </c>
      <c r="GT254" t="s">
        <v>1325</v>
      </c>
      <c r="GU254" t="s">
        <v>1310</v>
      </c>
      <c r="GV254" t="s">
        <v>1309</v>
      </c>
      <c r="GW254" t="s">
        <v>1309</v>
      </c>
      <c r="GX254" t="s">
        <v>1309</v>
      </c>
      <c r="GY254" t="s">
        <v>1309</v>
      </c>
      <c r="GZ254" t="s">
        <v>1309</v>
      </c>
      <c r="HA254" t="s">
        <v>1309</v>
      </c>
      <c r="HB254" t="s">
        <v>1309</v>
      </c>
      <c r="HC254" t="s">
        <v>1309</v>
      </c>
      <c r="HD254" t="s">
        <v>1309</v>
      </c>
      <c r="HE254" t="s">
        <v>1309</v>
      </c>
      <c r="HF254" t="s">
        <v>1309</v>
      </c>
      <c r="HH254" t="s">
        <v>1326</v>
      </c>
      <c r="HI254" t="s">
        <v>1390</v>
      </c>
      <c r="HJ254" t="s">
        <v>1390</v>
      </c>
      <c r="HK254" t="s">
        <v>1390</v>
      </c>
      <c r="HL254" t="s">
        <v>1328</v>
      </c>
      <c r="HM254" t="s">
        <v>1390</v>
      </c>
      <c r="HN254" t="s">
        <v>2482</v>
      </c>
      <c r="HO254" t="s">
        <v>1309</v>
      </c>
      <c r="HP254" t="s">
        <v>1310</v>
      </c>
      <c r="HQ254" t="s">
        <v>1310</v>
      </c>
      <c r="HR254" t="s">
        <v>1309</v>
      </c>
      <c r="HS254" t="s">
        <v>1309</v>
      </c>
      <c r="HT254" t="s">
        <v>1309</v>
      </c>
      <c r="HU254" t="s">
        <v>1309</v>
      </c>
      <c r="HV254" t="s">
        <v>1309</v>
      </c>
      <c r="HW254" t="s">
        <v>1309</v>
      </c>
      <c r="HX254" t="s">
        <v>1309</v>
      </c>
      <c r="HY254" t="s">
        <v>1309</v>
      </c>
      <c r="IA254" t="s">
        <v>1307</v>
      </c>
      <c r="IQ254" t="s">
        <v>1330</v>
      </c>
      <c r="IS254" t="s">
        <v>1316</v>
      </c>
      <c r="JF254" t="s">
        <v>1316</v>
      </c>
      <c r="JG254" t="s">
        <v>1451</v>
      </c>
      <c r="JH254" t="s">
        <v>1310</v>
      </c>
      <c r="JI254" t="s">
        <v>1309</v>
      </c>
      <c r="JJ254" t="s">
        <v>1309</v>
      </c>
      <c r="JK254" t="s">
        <v>1310</v>
      </c>
      <c r="JL254" t="s">
        <v>1309</v>
      </c>
      <c r="JM254" t="s">
        <v>1309</v>
      </c>
      <c r="JN254" t="s">
        <v>1309</v>
      </c>
      <c r="JO254" t="s">
        <v>1309</v>
      </c>
      <c r="JQ254" s="92" t="s">
        <v>1333</v>
      </c>
      <c r="JR254" s="92" t="s">
        <v>1334</v>
      </c>
      <c r="JS254" s="92">
        <v>44</v>
      </c>
      <c r="JT254" s="92" t="s">
        <v>1319</v>
      </c>
      <c r="JU254" s="92" t="s">
        <v>1335</v>
      </c>
      <c r="JV254" s="92" t="s">
        <v>1336</v>
      </c>
      <c r="JW254" s="92" t="s">
        <v>1296</v>
      </c>
      <c r="JX254" s="92" t="s">
        <v>71</v>
      </c>
      <c r="JY254" s="92" t="s">
        <v>5549</v>
      </c>
      <c r="JZ254" s="92" t="s">
        <v>1337</v>
      </c>
      <c r="KA254" s="92" t="s">
        <v>4845</v>
      </c>
      <c r="KB254" s="92" t="s">
        <v>1415</v>
      </c>
      <c r="KC254" s="92" t="s">
        <v>109</v>
      </c>
      <c r="KD254" s="92" t="s">
        <v>4847</v>
      </c>
      <c r="KE254" s="92" t="s">
        <v>1424</v>
      </c>
      <c r="KF254" s="92">
        <v>2800</v>
      </c>
      <c r="KG254" s="92" t="s">
        <v>4439</v>
      </c>
      <c r="KH254" s="92" t="s">
        <v>192</v>
      </c>
      <c r="KI254" s="92" t="s">
        <v>109</v>
      </c>
      <c r="KJ254" s="92" t="s">
        <v>192</v>
      </c>
      <c r="KK254" s="92" t="s">
        <v>109</v>
      </c>
      <c r="KL254" s="92" t="s">
        <v>1425</v>
      </c>
      <c r="KM254" s="92">
        <v>4400</v>
      </c>
      <c r="KN254" s="92" t="s">
        <v>1400</v>
      </c>
      <c r="KO254" s="92" t="s">
        <v>1341</v>
      </c>
      <c r="KP254" s="92" t="s">
        <v>1460</v>
      </c>
      <c r="KQ254" s="92" t="s">
        <v>192</v>
      </c>
      <c r="KR254" s="92">
        <v>18</v>
      </c>
      <c r="KS254" s="92" t="s">
        <v>1345</v>
      </c>
      <c r="KT254" s="92" t="s">
        <v>1344</v>
      </c>
      <c r="KU254" s="92">
        <v>23</v>
      </c>
      <c r="KV254" s="92" t="s">
        <v>1461</v>
      </c>
      <c r="KW254" s="92" t="s">
        <v>1344</v>
      </c>
      <c r="KX254" s="92" t="s">
        <v>1376</v>
      </c>
      <c r="KY254" s="92" t="s">
        <v>1377</v>
      </c>
      <c r="KZ254" s="92" t="s">
        <v>5795</v>
      </c>
      <c r="LA254" s="92" t="s">
        <v>109</v>
      </c>
      <c r="LB254" s="92" t="s">
        <v>109</v>
      </c>
      <c r="LC254" s="92" t="s">
        <v>4439</v>
      </c>
      <c r="LD254" s="92" t="s">
        <v>4439</v>
      </c>
      <c r="LE254" s="92" t="s">
        <v>192</v>
      </c>
      <c r="LF254" s="92" t="s">
        <v>192</v>
      </c>
    </row>
    <row r="255" spans="1:318" x14ac:dyDescent="0.25">
      <c r="A255" t="s">
        <v>2483</v>
      </c>
      <c r="B255" t="s">
        <v>2484</v>
      </c>
      <c r="C255" t="s">
        <v>1304</v>
      </c>
      <c r="D255" t="s">
        <v>1305</v>
      </c>
      <c r="E255" t="s">
        <v>1306</v>
      </c>
      <c r="G255" t="s">
        <v>1307</v>
      </c>
      <c r="H255">
        <v>1</v>
      </c>
      <c r="J255" t="s">
        <v>1430</v>
      </c>
      <c r="K255" t="s">
        <v>1309</v>
      </c>
      <c r="L255" t="s">
        <v>1309</v>
      </c>
      <c r="M255" t="s">
        <v>1310</v>
      </c>
      <c r="N255" t="s">
        <v>1309</v>
      </c>
      <c r="O255" t="s">
        <v>1309</v>
      </c>
      <c r="P255" t="s">
        <v>1309</v>
      </c>
      <c r="Q255" t="s">
        <v>1309</v>
      </c>
      <c r="R255" t="s">
        <v>1309</v>
      </c>
      <c r="T255">
        <v>1</v>
      </c>
      <c r="U255" t="s">
        <v>1311</v>
      </c>
      <c r="V255" t="s">
        <v>1311</v>
      </c>
      <c r="W255" t="s">
        <v>1311</v>
      </c>
      <c r="X255" t="s">
        <v>1311</v>
      </c>
      <c r="Y255" t="s">
        <v>1312</v>
      </c>
      <c r="Z255" t="s">
        <v>1312</v>
      </c>
      <c r="AC255">
        <v>1</v>
      </c>
      <c r="AD255">
        <v>2500</v>
      </c>
      <c r="AE255">
        <v>2000</v>
      </c>
      <c r="AF255" t="s">
        <v>1313</v>
      </c>
      <c r="AH255" t="s">
        <v>1314</v>
      </c>
      <c r="AJ255" t="s">
        <v>1353</v>
      </c>
      <c r="AL255" t="s">
        <v>1316</v>
      </c>
      <c r="BA255" t="s">
        <v>1354</v>
      </c>
      <c r="BS255" t="s">
        <v>1307</v>
      </c>
      <c r="CE255" t="s">
        <v>1355</v>
      </c>
      <c r="CF255" t="s">
        <v>1309</v>
      </c>
      <c r="CG255" t="s">
        <v>1309</v>
      </c>
      <c r="CH255" t="s">
        <v>1309</v>
      </c>
      <c r="CI255" t="s">
        <v>1309</v>
      </c>
      <c r="CJ255" t="s">
        <v>1309</v>
      </c>
      <c r="CK255" t="s">
        <v>1309</v>
      </c>
      <c r="CL255" t="s">
        <v>1309</v>
      </c>
      <c r="CM255" t="s">
        <v>1309</v>
      </c>
      <c r="CN255" t="s">
        <v>1310</v>
      </c>
      <c r="CO255" t="s">
        <v>1309</v>
      </c>
      <c r="CP255" t="s">
        <v>1309</v>
      </c>
      <c r="CQ255" t="s">
        <v>1309</v>
      </c>
      <c r="CR255" t="s">
        <v>1309</v>
      </c>
      <c r="CT255" t="s">
        <v>4435</v>
      </c>
      <c r="CV255" t="s">
        <v>1308</v>
      </c>
      <c r="CW255" t="s">
        <v>1310</v>
      </c>
      <c r="CX255" t="s">
        <v>1309</v>
      </c>
      <c r="CY255" t="s">
        <v>1309</v>
      </c>
      <c r="CZ255" t="s">
        <v>1309</v>
      </c>
      <c r="DA255" t="s">
        <v>1309</v>
      </c>
      <c r="DB255" t="s">
        <v>1309</v>
      </c>
      <c r="DC255" t="s">
        <v>1309</v>
      </c>
      <c r="DE255" t="s">
        <v>1358</v>
      </c>
      <c r="DF255" t="s">
        <v>1307</v>
      </c>
      <c r="DH255">
        <v>600</v>
      </c>
      <c r="DI255">
        <v>300</v>
      </c>
      <c r="DJ255" t="s">
        <v>1358</v>
      </c>
      <c r="DL255">
        <v>800</v>
      </c>
      <c r="DM255">
        <v>400</v>
      </c>
      <c r="DN255" t="s">
        <v>1320</v>
      </c>
      <c r="DO255" t="s">
        <v>1310</v>
      </c>
      <c r="DP255" t="s">
        <v>1309</v>
      </c>
      <c r="DQ255" t="s">
        <v>1309</v>
      </c>
      <c r="DR255" t="s">
        <v>1309</v>
      </c>
      <c r="DS255" t="s">
        <v>1309</v>
      </c>
      <c r="DT255" t="s">
        <v>1310</v>
      </c>
      <c r="DU255" t="s">
        <v>1309</v>
      </c>
      <c r="DV255" t="s">
        <v>1309</v>
      </c>
      <c r="DW255" t="s">
        <v>1309</v>
      </c>
      <c r="DY255" t="s">
        <v>1446</v>
      </c>
      <c r="DZ255">
        <v>400</v>
      </c>
      <c r="EA255" t="s">
        <v>1319</v>
      </c>
      <c r="EC255" t="s">
        <v>1457</v>
      </c>
      <c r="ED255">
        <v>1000</v>
      </c>
      <c r="EE255" t="s">
        <v>1319</v>
      </c>
      <c r="EG255" t="s">
        <v>5356</v>
      </c>
      <c r="EI255" t="s">
        <v>1307</v>
      </c>
      <c r="ET255" t="s">
        <v>1307</v>
      </c>
      <c r="EV255" t="s">
        <v>1319</v>
      </c>
      <c r="EW255" t="s">
        <v>1361</v>
      </c>
      <c r="EX255" t="s">
        <v>1319</v>
      </c>
      <c r="FA255" t="s">
        <v>2485</v>
      </c>
      <c r="FB255" t="s">
        <v>1309</v>
      </c>
      <c r="FC255" t="s">
        <v>1309</v>
      </c>
      <c r="FD255" t="s">
        <v>1309</v>
      </c>
      <c r="FE255" t="s">
        <v>1309</v>
      </c>
      <c r="FF255" t="s">
        <v>1309</v>
      </c>
      <c r="FG255" t="s">
        <v>1309</v>
      </c>
      <c r="FH255" t="s">
        <v>1309</v>
      </c>
      <c r="FI255" t="s">
        <v>1309</v>
      </c>
      <c r="FJ255" t="s">
        <v>1309</v>
      </c>
      <c r="FK255" t="s">
        <v>1309</v>
      </c>
      <c r="FL255" t="s">
        <v>1310</v>
      </c>
      <c r="FM255" t="s">
        <v>1310</v>
      </c>
      <c r="FN255" t="s">
        <v>1310</v>
      </c>
      <c r="FO255" t="s">
        <v>1310</v>
      </c>
      <c r="FP255" t="s">
        <v>1309</v>
      </c>
      <c r="FQ255" t="s">
        <v>1309</v>
      </c>
      <c r="FR255" t="s">
        <v>1309</v>
      </c>
      <c r="FT255" t="s">
        <v>1319</v>
      </c>
      <c r="FU255" t="s">
        <v>2486</v>
      </c>
      <c r="FV255" t="s">
        <v>1310</v>
      </c>
      <c r="FW255" t="s">
        <v>1309</v>
      </c>
      <c r="FX255" t="s">
        <v>1309</v>
      </c>
      <c r="FY255" t="s">
        <v>1310</v>
      </c>
      <c r="FZ255" t="s">
        <v>1309</v>
      </c>
      <c r="GA255" t="s">
        <v>1310</v>
      </c>
      <c r="GB255" t="s">
        <v>1309</v>
      </c>
      <c r="GC255" t="s">
        <v>1309</v>
      </c>
      <c r="GD255" t="s">
        <v>1309</v>
      </c>
      <c r="GE255" t="s">
        <v>1309</v>
      </c>
      <c r="GF255" t="s">
        <v>1309</v>
      </c>
      <c r="GG255" t="s">
        <v>1309</v>
      </c>
      <c r="GI255" t="s">
        <v>1324</v>
      </c>
      <c r="GJ255" t="s">
        <v>1324</v>
      </c>
      <c r="GT255" t="s">
        <v>2487</v>
      </c>
      <c r="GU255" t="s">
        <v>1310</v>
      </c>
      <c r="GV255" t="s">
        <v>1309</v>
      </c>
      <c r="GW255" t="s">
        <v>1309</v>
      </c>
      <c r="GX255" t="s">
        <v>1309</v>
      </c>
      <c r="GY255" t="s">
        <v>1309</v>
      </c>
      <c r="GZ255" t="s">
        <v>1309</v>
      </c>
      <c r="HA255" t="s">
        <v>1310</v>
      </c>
      <c r="HB255" t="s">
        <v>1309</v>
      </c>
      <c r="HC255" t="s">
        <v>1309</v>
      </c>
      <c r="HD255" t="s">
        <v>1309</v>
      </c>
      <c r="HE255" t="s">
        <v>1309</v>
      </c>
      <c r="HF255" t="s">
        <v>1309</v>
      </c>
      <c r="HH255" t="s">
        <v>1308</v>
      </c>
      <c r="HI255" t="s">
        <v>1327</v>
      </c>
      <c r="HJ255" t="s">
        <v>1308</v>
      </c>
      <c r="HK255" t="s">
        <v>1327</v>
      </c>
      <c r="HL255" t="s">
        <v>1692</v>
      </c>
      <c r="HM255" t="s">
        <v>1326</v>
      </c>
      <c r="HN255" t="s">
        <v>1555</v>
      </c>
      <c r="HO255" t="s">
        <v>1310</v>
      </c>
      <c r="HP255" t="s">
        <v>1310</v>
      </c>
      <c r="HQ255" t="s">
        <v>1309</v>
      </c>
      <c r="HR255" t="s">
        <v>1309</v>
      </c>
      <c r="HS255" t="s">
        <v>1309</v>
      </c>
      <c r="HT255" t="s">
        <v>1310</v>
      </c>
      <c r="HU255" t="s">
        <v>1309</v>
      </c>
      <c r="HV255" t="s">
        <v>1309</v>
      </c>
      <c r="HW255" t="s">
        <v>1309</v>
      </c>
      <c r="HX255" t="s">
        <v>1309</v>
      </c>
      <c r="HY255" t="s">
        <v>1309</v>
      </c>
      <c r="IA255" t="s">
        <v>1307</v>
      </c>
      <c r="IQ255" t="s">
        <v>1365</v>
      </c>
      <c r="IS255" t="s">
        <v>1331</v>
      </c>
      <c r="JF255" t="s">
        <v>1413</v>
      </c>
      <c r="JG255" t="s">
        <v>1523</v>
      </c>
      <c r="JH255" t="s">
        <v>1309</v>
      </c>
      <c r="JI255" t="s">
        <v>1309</v>
      </c>
      <c r="JJ255" t="s">
        <v>1309</v>
      </c>
      <c r="JK255" t="s">
        <v>1310</v>
      </c>
      <c r="JL255" t="s">
        <v>1309</v>
      </c>
      <c r="JM255" t="s">
        <v>1309</v>
      </c>
      <c r="JN255" t="s">
        <v>1309</v>
      </c>
      <c r="JO255" t="s">
        <v>1309</v>
      </c>
      <c r="JQ255" s="92" t="s">
        <v>1333</v>
      </c>
      <c r="JR255" s="92" t="s">
        <v>1334</v>
      </c>
      <c r="JS255" s="92">
        <v>65</v>
      </c>
      <c r="JT255" s="92" t="s">
        <v>1319</v>
      </c>
      <c r="JU255" s="92" t="s">
        <v>1335</v>
      </c>
      <c r="JV255" s="92" t="s">
        <v>1336</v>
      </c>
      <c r="JW255" s="92" t="s">
        <v>1296</v>
      </c>
      <c r="JX255" s="92" t="s">
        <v>71</v>
      </c>
      <c r="JY255" s="92" t="s">
        <v>5549</v>
      </c>
      <c r="JZ255" s="92" t="s">
        <v>1369</v>
      </c>
      <c r="KA255" s="92" t="s">
        <v>4844</v>
      </c>
      <c r="KB255" s="92" t="s">
        <v>1476</v>
      </c>
      <c r="KC255" s="92" t="s">
        <v>109</v>
      </c>
      <c r="KD255" s="92" t="s">
        <v>4844</v>
      </c>
      <c r="KE255" s="92" t="s">
        <v>5561</v>
      </c>
      <c r="KF255" s="92">
        <v>900</v>
      </c>
      <c r="KG255" s="92" t="s">
        <v>4439</v>
      </c>
      <c r="KH255" s="92" t="s">
        <v>109</v>
      </c>
      <c r="KI255" s="92" t="s">
        <v>192</v>
      </c>
      <c r="KJ255" s="92" t="s">
        <v>109</v>
      </c>
      <c r="KK255" s="92" t="s">
        <v>192</v>
      </c>
      <c r="KL255" s="92" t="s">
        <v>1374</v>
      </c>
      <c r="KM255" s="92">
        <v>1200</v>
      </c>
      <c r="KN255" s="92" t="s">
        <v>4439</v>
      </c>
      <c r="KO255" s="92" t="s">
        <v>1440</v>
      </c>
      <c r="KP255" s="92" t="s">
        <v>1342</v>
      </c>
      <c r="KQ255" s="92" t="s">
        <v>109</v>
      </c>
      <c r="KR255" s="92">
        <v>44</v>
      </c>
      <c r="KS255" s="92" t="s">
        <v>1343</v>
      </c>
      <c r="KT255" s="92" t="s">
        <v>1344</v>
      </c>
      <c r="KU255" s="92">
        <v>83</v>
      </c>
      <c r="KV255" s="92" t="s">
        <v>1461</v>
      </c>
      <c r="KW255" s="92" t="s">
        <v>1344</v>
      </c>
      <c r="KX255" s="92" t="s">
        <v>1376</v>
      </c>
      <c r="KY255" s="92" t="s">
        <v>1377</v>
      </c>
      <c r="KZ255" s="92" t="s">
        <v>5795</v>
      </c>
      <c r="LA255" s="92" t="s">
        <v>109</v>
      </c>
      <c r="LB255" s="92" t="s">
        <v>109</v>
      </c>
      <c r="LC255" s="92" t="s">
        <v>4439</v>
      </c>
      <c r="LD255" s="92" t="s">
        <v>4439</v>
      </c>
      <c r="LE255" s="92" t="s">
        <v>192</v>
      </c>
      <c r="LF255" s="92" t="s">
        <v>192</v>
      </c>
    </row>
    <row r="256" spans="1:318" x14ac:dyDescent="0.25">
      <c r="A256" t="s">
        <v>2488</v>
      </c>
      <c r="B256" t="s">
        <v>2489</v>
      </c>
      <c r="C256" t="s">
        <v>1304</v>
      </c>
      <c r="D256" t="s">
        <v>1305</v>
      </c>
      <c r="E256" t="s">
        <v>1306</v>
      </c>
      <c r="G256" t="s">
        <v>1307</v>
      </c>
      <c r="H256">
        <v>3</v>
      </c>
      <c r="I256" t="s">
        <v>1307</v>
      </c>
      <c r="J256" t="s">
        <v>1406</v>
      </c>
      <c r="K256" t="s">
        <v>1309</v>
      </c>
      <c r="L256" t="s">
        <v>1310</v>
      </c>
      <c r="M256" t="s">
        <v>1309</v>
      </c>
      <c r="N256" t="s">
        <v>1309</v>
      </c>
      <c r="O256" t="s">
        <v>1309</v>
      </c>
      <c r="P256" t="s">
        <v>1309</v>
      </c>
      <c r="Q256" t="s">
        <v>1309</v>
      </c>
      <c r="R256" t="s">
        <v>1309</v>
      </c>
      <c r="S256">
        <v>1</v>
      </c>
      <c r="U256" t="s">
        <v>1312</v>
      </c>
      <c r="V256" t="s">
        <v>1312</v>
      </c>
      <c r="W256" t="s">
        <v>1312</v>
      </c>
      <c r="X256" t="s">
        <v>1312</v>
      </c>
      <c r="Y256" t="s">
        <v>1312</v>
      </c>
      <c r="Z256" t="s">
        <v>1312</v>
      </c>
      <c r="AC256">
        <v>2</v>
      </c>
      <c r="AD256">
        <v>10000</v>
      </c>
      <c r="AE256">
        <v>9500</v>
      </c>
      <c r="AF256" t="s">
        <v>1313</v>
      </c>
      <c r="AH256" t="s">
        <v>1314</v>
      </c>
      <c r="AJ256" t="s">
        <v>1315</v>
      </c>
      <c r="AL256" t="s">
        <v>1316</v>
      </c>
      <c r="BS256" t="s">
        <v>1307</v>
      </c>
      <c r="CE256" t="s">
        <v>1355</v>
      </c>
      <c r="CF256" t="s">
        <v>1309</v>
      </c>
      <c r="CG256" t="s">
        <v>1309</v>
      </c>
      <c r="CH256" t="s">
        <v>1309</v>
      </c>
      <c r="CI256" t="s">
        <v>1309</v>
      </c>
      <c r="CJ256" t="s">
        <v>1309</v>
      </c>
      <c r="CK256" t="s">
        <v>1309</v>
      </c>
      <c r="CL256" t="s">
        <v>1309</v>
      </c>
      <c r="CM256" t="s">
        <v>1309</v>
      </c>
      <c r="CN256" t="s">
        <v>1310</v>
      </c>
      <c r="CO256" t="s">
        <v>1309</v>
      </c>
      <c r="CP256" t="s">
        <v>1309</v>
      </c>
      <c r="CQ256" t="s">
        <v>1309</v>
      </c>
      <c r="CR256" t="s">
        <v>1309</v>
      </c>
      <c r="CT256" t="s">
        <v>4435</v>
      </c>
      <c r="CV256" t="s">
        <v>1308</v>
      </c>
      <c r="CW256" t="s">
        <v>1310</v>
      </c>
      <c r="CX256" t="s">
        <v>1309</v>
      </c>
      <c r="CY256" t="s">
        <v>1309</v>
      </c>
      <c r="CZ256" t="s">
        <v>1309</v>
      </c>
      <c r="DA256" t="s">
        <v>1309</v>
      </c>
      <c r="DB256" t="s">
        <v>1309</v>
      </c>
      <c r="DC256" t="s">
        <v>1309</v>
      </c>
      <c r="DE256" t="s">
        <v>1358</v>
      </c>
      <c r="DF256" t="s">
        <v>1307</v>
      </c>
      <c r="DH256">
        <v>1600</v>
      </c>
      <c r="DI256">
        <v>600</v>
      </c>
      <c r="DJ256" t="s">
        <v>1358</v>
      </c>
      <c r="DL256">
        <v>2300</v>
      </c>
      <c r="DM256">
        <v>900</v>
      </c>
      <c r="DN256" t="s">
        <v>1320</v>
      </c>
      <c r="DO256" t="s">
        <v>1310</v>
      </c>
      <c r="DP256" t="s">
        <v>1309</v>
      </c>
      <c r="DQ256" t="s">
        <v>1309</v>
      </c>
      <c r="DR256" t="s">
        <v>1309</v>
      </c>
      <c r="DS256" t="s">
        <v>1309</v>
      </c>
      <c r="DT256" t="s">
        <v>1310</v>
      </c>
      <c r="DU256" t="s">
        <v>1309</v>
      </c>
      <c r="DV256" t="s">
        <v>1309</v>
      </c>
      <c r="DW256" t="s">
        <v>1309</v>
      </c>
      <c r="DY256" t="s">
        <v>1359</v>
      </c>
      <c r="DZ256">
        <v>600</v>
      </c>
      <c r="EA256" t="s">
        <v>1319</v>
      </c>
      <c r="EC256" t="s">
        <v>1457</v>
      </c>
      <c r="ED256">
        <v>800</v>
      </c>
      <c r="EE256" t="s">
        <v>1319</v>
      </c>
      <c r="EG256" t="s">
        <v>5356</v>
      </c>
      <c r="EI256" t="s">
        <v>1307</v>
      </c>
      <c r="ET256" t="s">
        <v>1307</v>
      </c>
      <c r="EV256" t="s">
        <v>1319</v>
      </c>
      <c r="EW256" t="s">
        <v>1409</v>
      </c>
      <c r="EX256" t="s">
        <v>1307</v>
      </c>
      <c r="FT256" t="s">
        <v>1319</v>
      </c>
      <c r="FU256" t="s">
        <v>2490</v>
      </c>
      <c r="FV256" t="s">
        <v>1309</v>
      </c>
      <c r="FW256" t="s">
        <v>1310</v>
      </c>
      <c r="FX256" t="s">
        <v>1309</v>
      </c>
      <c r="FY256" t="s">
        <v>1309</v>
      </c>
      <c r="FZ256" t="s">
        <v>1309</v>
      </c>
      <c r="GA256" t="s">
        <v>1310</v>
      </c>
      <c r="GB256" t="s">
        <v>1309</v>
      </c>
      <c r="GC256" t="s">
        <v>1309</v>
      </c>
      <c r="GD256" t="s">
        <v>1309</v>
      </c>
      <c r="GE256" t="s">
        <v>1309</v>
      </c>
      <c r="GF256" t="s">
        <v>1309</v>
      </c>
      <c r="GG256" t="s">
        <v>1309</v>
      </c>
      <c r="GI256" t="s">
        <v>1324</v>
      </c>
      <c r="GJ256" t="s">
        <v>1324</v>
      </c>
      <c r="GT256" t="s">
        <v>1325</v>
      </c>
      <c r="GU256" t="s">
        <v>1310</v>
      </c>
      <c r="GV256" t="s">
        <v>1309</v>
      </c>
      <c r="GW256" t="s">
        <v>1309</v>
      </c>
      <c r="GX256" t="s">
        <v>1309</v>
      </c>
      <c r="GY256" t="s">
        <v>1309</v>
      </c>
      <c r="GZ256" t="s">
        <v>1309</v>
      </c>
      <c r="HA256" t="s">
        <v>1309</v>
      </c>
      <c r="HB256" t="s">
        <v>1309</v>
      </c>
      <c r="HC256" t="s">
        <v>1309</v>
      </c>
      <c r="HD256" t="s">
        <v>1309</v>
      </c>
      <c r="HE256" t="s">
        <v>1309</v>
      </c>
      <c r="HF256" t="s">
        <v>1309</v>
      </c>
      <c r="HH256" t="s">
        <v>1326</v>
      </c>
      <c r="HI256" t="s">
        <v>1327</v>
      </c>
      <c r="HJ256" t="s">
        <v>1326</v>
      </c>
      <c r="HK256" t="s">
        <v>1327</v>
      </c>
      <c r="HL256" t="s">
        <v>1328</v>
      </c>
      <c r="HM256" t="s">
        <v>1326</v>
      </c>
      <c r="HN256" t="s">
        <v>2491</v>
      </c>
      <c r="HO256" t="s">
        <v>1310</v>
      </c>
      <c r="HP256" t="s">
        <v>1310</v>
      </c>
      <c r="HQ256" t="s">
        <v>1309</v>
      </c>
      <c r="HR256" t="s">
        <v>1309</v>
      </c>
      <c r="HS256" t="s">
        <v>1310</v>
      </c>
      <c r="HT256" t="s">
        <v>1310</v>
      </c>
      <c r="HU256" t="s">
        <v>1309</v>
      </c>
      <c r="HV256" t="s">
        <v>1309</v>
      </c>
      <c r="HW256" t="s">
        <v>1309</v>
      </c>
      <c r="HX256" t="s">
        <v>1309</v>
      </c>
      <c r="HY256" t="s">
        <v>1309</v>
      </c>
      <c r="IA256" t="s">
        <v>1307</v>
      </c>
      <c r="IQ256" t="s">
        <v>1365</v>
      </c>
      <c r="IS256" t="s">
        <v>1331</v>
      </c>
      <c r="JF256" t="s">
        <v>1413</v>
      </c>
      <c r="JG256" t="s">
        <v>1451</v>
      </c>
      <c r="JH256" t="s">
        <v>1310</v>
      </c>
      <c r="JI256" t="s">
        <v>1309</v>
      </c>
      <c r="JJ256" t="s">
        <v>1309</v>
      </c>
      <c r="JK256" t="s">
        <v>1310</v>
      </c>
      <c r="JL256" t="s">
        <v>1309</v>
      </c>
      <c r="JM256" t="s">
        <v>1309</v>
      </c>
      <c r="JN256" t="s">
        <v>1309</v>
      </c>
      <c r="JO256" t="s">
        <v>1309</v>
      </c>
      <c r="JQ256" s="92" t="s">
        <v>1333</v>
      </c>
      <c r="JR256" s="92" t="s">
        <v>1334</v>
      </c>
      <c r="JS256" s="92">
        <v>35</v>
      </c>
      <c r="JT256" s="92" t="s">
        <v>1319</v>
      </c>
      <c r="JU256" s="92" t="s">
        <v>1335</v>
      </c>
      <c r="JV256" s="92" t="s">
        <v>1336</v>
      </c>
      <c r="JW256" s="92" t="s">
        <v>1296</v>
      </c>
      <c r="JX256" s="92" t="s">
        <v>71</v>
      </c>
      <c r="JY256" s="92" t="s">
        <v>5549</v>
      </c>
      <c r="JZ256" s="92" t="s">
        <v>1337</v>
      </c>
      <c r="KA256" s="92" t="s">
        <v>4845</v>
      </c>
      <c r="KB256" s="92" t="s">
        <v>1415</v>
      </c>
      <c r="KC256" s="92" t="s">
        <v>109</v>
      </c>
      <c r="KD256" s="92" t="s">
        <v>4847</v>
      </c>
      <c r="KE256" s="92" t="s">
        <v>1424</v>
      </c>
      <c r="KF256" s="92">
        <v>2200</v>
      </c>
      <c r="KG256" s="92" t="s">
        <v>4438</v>
      </c>
      <c r="KH256" s="92" t="s">
        <v>109</v>
      </c>
      <c r="KI256" s="92" t="s">
        <v>192</v>
      </c>
      <c r="KJ256" s="92" t="s">
        <v>109</v>
      </c>
      <c r="KK256" s="92" t="s">
        <v>192</v>
      </c>
      <c r="KL256" s="92" t="s">
        <v>1425</v>
      </c>
      <c r="KM256" s="92">
        <v>3200</v>
      </c>
      <c r="KN256" s="92" t="s">
        <v>4439</v>
      </c>
      <c r="KO256" s="92" t="s">
        <v>1341</v>
      </c>
      <c r="KP256" s="92" t="s">
        <v>1342</v>
      </c>
      <c r="KQ256" s="92" t="s">
        <v>109</v>
      </c>
      <c r="KR256" s="92">
        <v>27</v>
      </c>
      <c r="KS256" s="92" t="s">
        <v>1345</v>
      </c>
      <c r="KT256" s="92" t="s">
        <v>1344</v>
      </c>
      <c r="KU256" s="92">
        <v>25</v>
      </c>
      <c r="KV256" s="92" t="s">
        <v>1441</v>
      </c>
      <c r="KW256" s="92" t="s">
        <v>1344</v>
      </c>
      <c r="KX256" s="92" t="s">
        <v>1376</v>
      </c>
      <c r="KY256" s="92" t="s">
        <v>1377</v>
      </c>
      <c r="KZ256" s="92" t="s">
        <v>5795</v>
      </c>
      <c r="LA256" s="92" t="s">
        <v>109</v>
      </c>
      <c r="LB256" s="92" t="s">
        <v>109</v>
      </c>
      <c r="LC256" s="92" t="s">
        <v>4438</v>
      </c>
      <c r="LD256" s="92" t="s">
        <v>4438</v>
      </c>
      <c r="LE256" s="92" t="s">
        <v>192</v>
      </c>
      <c r="LF256" s="92" t="s">
        <v>192</v>
      </c>
    </row>
    <row r="257" spans="1:318" x14ac:dyDescent="0.25">
      <c r="A257" t="s">
        <v>2492</v>
      </c>
      <c r="B257" t="s">
        <v>2493</v>
      </c>
      <c r="C257" t="s">
        <v>1304</v>
      </c>
      <c r="D257" t="s">
        <v>1305</v>
      </c>
      <c r="E257" t="s">
        <v>1306</v>
      </c>
      <c r="G257" t="s">
        <v>1307</v>
      </c>
      <c r="H257">
        <v>2</v>
      </c>
      <c r="I257" t="s">
        <v>1307</v>
      </c>
      <c r="J257" t="s">
        <v>1308</v>
      </c>
      <c r="K257" t="s">
        <v>1309</v>
      </c>
      <c r="L257" t="s">
        <v>1309</v>
      </c>
      <c r="M257" t="s">
        <v>1309</v>
      </c>
      <c r="N257" t="s">
        <v>1309</v>
      </c>
      <c r="O257" t="s">
        <v>1309</v>
      </c>
      <c r="P257" t="s">
        <v>1309</v>
      </c>
      <c r="Q257" t="s">
        <v>1310</v>
      </c>
      <c r="R257" t="s">
        <v>1309</v>
      </c>
      <c r="U257" t="s">
        <v>1312</v>
      </c>
      <c r="V257" t="s">
        <v>1312</v>
      </c>
      <c r="W257" t="s">
        <v>1312</v>
      </c>
      <c r="X257" t="s">
        <v>1312</v>
      </c>
      <c r="Y257" t="s">
        <v>1312</v>
      </c>
      <c r="Z257" t="s">
        <v>1312</v>
      </c>
      <c r="AC257">
        <v>2</v>
      </c>
      <c r="AD257">
        <v>12000</v>
      </c>
      <c r="AE257">
        <v>10000</v>
      </c>
      <c r="AF257" t="s">
        <v>1313</v>
      </c>
      <c r="AH257" t="s">
        <v>1315</v>
      </c>
      <c r="AJ257" t="s">
        <v>1315</v>
      </c>
      <c r="AL257" t="s">
        <v>1354</v>
      </c>
      <c r="BS257" t="s">
        <v>1307</v>
      </c>
      <c r="CE257" t="s">
        <v>2135</v>
      </c>
      <c r="CF257" t="s">
        <v>1309</v>
      </c>
      <c r="CG257" t="s">
        <v>1309</v>
      </c>
      <c r="CH257" t="s">
        <v>1309</v>
      </c>
      <c r="CI257" t="s">
        <v>1309</v>
      </c>
      <c r="CJ257" t="s">
        <v>1309</v>
      </c>
      <c r="CK257" t="s">
        <v>1310</v>
      </c>
      <c r="CL257" t="s">
        <v>1309</v>
      </c>
      <c r="CM257" t="s">
        <v>1309</v>
      </c>
      <c r="CN257" t="s">
        <v>1309</v>
      </c>
      <c r="CO257" t="s">
        <v>1309</v>
      </c>
      <c r="CP257" t="s">
        <v>1309</v>
      </c>
      <c r="CQ257" t="s">
        <v>1309</v>
      </c>
      <c r="CR257" t="s">
        <v>1309</v>
      </c>
      <c r="CT257" t="s">
        <v>4434</v>
      </c>
      <c r="CV257" t="s">
        <v>1308</v>
      </c>
      <c r="CW257" t="s">
        <v>1310</v>
      </c>
      <c r="CX257" t="s">
        <v>1309</v>
      </c>
      <c r="CY257" t="s">
        <v>1309</v>
      </c>
      <c r="CZ257" t="s">
        <v>1309</v>
      </c>
      <c r="DA257" t="s">
        <v>1309</v>
      </c>
      <c r="DB257" t="s">
        <v>1309</v>
      </c>
      <c r="DC257" t="s">
        <v>1309</v>
      </c>
      <c r="DE257" t="s">
        <v>1358</v>
      </c>
      <c r="DG257">
        <v>2000</v>
      </c>
      <c r="DI257">
        <v>600</v>
      </c>
      <c r="DJ257" t="s">
        <v>1358</v>
      </c>
      <c r="DK257">
        <v>2000</v>
      </c>
      <c r="DM257">
        <v>500</v>
      </c>
      <c r="DN257" t="s">
        <v>1320</v>
      </c>
      <c r="DO257" t="s">
        <v>1310</v>
      </c>
      <c r="DP257" t="s">
        <v>1309</v>
      </c>
      <c r="DQ257" t="s">
        <v>1309</v>
      </c>
      <c r="DR257" t="s">
        <v>1309</v>
      </c>
      <c r="DS257" t="s">
        <v>1309</v>
      </c>
      <c r="DT257" t="s">
        <v>1310</v>
      </c>
      <c r="DU257" t="s">
        <v>1309</v>
      </c>
      <c r="DV257" t="s">
        <v>1309</v>
      </c>
      <c r="DW257" t="s">
        <v>1309</v>
      </c>
      <c r="DY257" t="s">
        <v>1359</v>
      </c>
      <c r="DZ257">
        <v>300</v>
      </c>
      <c r="EA257" t="s">
        <v>1319</v>
      </c>
      <c r="EC257" t="s">
        <v>1457</v>
      </c>
      <c r="ED257">
        <v>700</v>
      </c>
      <c r="EE257" t="s">
        <v>1319</v>
      </c>
      <c r="EG257" t="s">
        <v>5357</v>
      </c>
      <c r="ET257" t="s">
        <v>1307</v>
      </c>
      <c r="EV257" t="s">
        <v>1307</v>
      </c>
      <c r="EX257" t="s">
        <v>1307</v>
      </c>
      <c r="EY257" t="s">
        <v>1307</v>
      </c>
      <c r="FT257" t="s">
        <v>1307</v>
      </c>
      <c r="GI257" t="s">
        <v>1324</v>
      </c>
      <c r="GJ257" t="s">
        <v>1324</v>
      </c>
      <c r="GT257" t="s">
        <v>1531</v>
      </c>
      <c r="GU257" t="s">
        <v>1310</v>
      </c>
      <c r="GV257" t="s">
        <v>1310</v>
      </c>
      <c r="GW257" t="s">
        <v>1309</v>
      </c>
      <c r="GX257" t="s">
        <v>1309</v>
      </c>
      <c r="GY257" t="s">
        <v>1309</v>
      </c>
      <c r="GZ257" t="s">
        <v>1309</v>
      </c>
      <c r="HA257" t="s">
        <v>1309</v>
      </c>
      <c r="HB257" t="s">
        <v>1309</v>
      </c>
      <c r="HC257" t="s">
        <v>1309</v>
      </c>
      <c r="HD257" t="s">
        <v>1309</v>
      </c>
      <c r="HE257" t="s">
        <v>1309</v>
      </c>
      <c r="HF257" t="s">
        <v>1309</v>
      </c>
      <c r="HH257" t="s">
        <v>1363</v>
      </c>
      <c r="HI257" t="s">
        <v>1390</v>
      </c>
      <c r="HJ257" t="s">
        <v>1363</v>
      </c>
      <c r="HK257" t="s">
        <v>1363</v>
      </c>
      <c r="HL257" t="s">
        <v>1364</v>
      </c>
      <c r="HM257" t="s">
        <v>1390</v>
      </c>
      <c r="IA257" t="s">
        <v>1319</v>
      </c>
      <c r="IB257" t="s">
        <v>1423</v>
      </c>
      <c r="IC257" t="s">
        <v>1309</v>
      </c>
      <c r="ID257" t="s">
        <v>1309</v>
      </c>
      <c r="IE257" t="s">
        <v>1309</v>
      </c>
      <c r="IF257" t="s">
        <v>1309</v>
      </c>
      <c r="IG257" t="s">
        <v>1310</v>
      </c>
      <c r="IH257" t="s">
        <v>1309</v>
      </c>
      <c r="II257" t="s">
        <v>1309</v>
      </c>
      <c r="IJ257" t="s">
        <v>1309</v>
      </c>
      <c r="IK257" t="s">
        <v>1309</v>
      </c>
      <c r="IL257" t="s">
        <v>1309</v>
      </c>
      <c r="IM257" t="s">
        <v>1309</v>
      </c>
      <c r="IN257" t="s">
        <v>1309</v>
      </c>
      <c r="IO257" t="s">
        <v>1309</v>
      </c>
      <c r="IQ257" t="s">
        <v>1365</v>
      </c>
      <c r="IS257" t="s">
        <v>1316</v>
      </c>
      <c r="JF257" t="s">
        <v>1316</v>
      </c>
      <c r="JG257" t="s">
        <v>1523</v>
      </c>
      <c r="JH257" t="s">
        <v>1309</v>
      </c>
      <c r="JI257" t="s">
        <v>1309</v>
      </c>
      <c r="JJ257" t="s">
        <v>1309</v>
      </c>
      <c r="JK257" t="s">
        <v>1310</v>
      </c>
      <c r="JL257" t="s">
        <v>1309</v>
      </c>
      <c r="JM257" t="s">
        <v>1309</v>
      </c>
      <c r="JN257" t="s">
        <v>1309</v>
      </c>
      <c r="JO257" t="s">
        <v>1309</v>
      </c>
      <c r="JQ257" s="92" t="s">
        <v>1333</v>
      </c>
      <c r="JR257" s="92" t="s">
        <v>1334</v>
      </c>
      <c r="JS257" s="92">
        <v>25</v>
      </c>
      <c r="JT257" s="92" t="s">
        <v>1319</v>
      </c>
      <c r="JU257" s="92" t="s">
        <v>1396</v>
      </c>
      <c r="JV257" s="92" t="s">
        <v>1336</v>
      </c>
      <c r="JW257" s="92" t="s">
        <v>1296</v>
      </c>
      <c r="JX257" s="92" t="s">
        <v>71</v>
      </c>
      <c r="JY257" s="92" t="s">
        <v>5549</v>
      </c>
      <c r="JZ257" s="92" t="s">
        <v>1398</v>
      </c>
      <c r="KA257" s="92" t="s">
        <v>4845</v>
      </c>
      <c r="KB257" s="92" t="s">
        <v>1338</v>
      </c>
      <c r="KC257" s="92" t="s">
        <v>109</v>
      </c>
      <c r="KD257" s="92" t="s">
        <v>4847</v>
      </c>
      <c r="KE257" s="92" t="s">
        <v>1371</v>
      </c>
      <c r="KF257" s="92">
        <v>2600</v>
      </c>
      <c r="KG257" s="92" t="s">
        <v>4438</v>
      </c>
      <c r="KH257" s="92" t="s">
        <v>192</v>
      </c>
      <c r="KI257" s="92" t="s">
        <v>109</v>
      </c>
      <c r="KJ257" s="92" t="s">
        <v>192</v>
      </c>
      <c r="KK257" s="92" t="s">
        <v>109</v>
      </c>
      <c r="KL257" s="92" t="s">
        <v>1425</v>
      </c>
      <c r="KM257" s="92">
        <v>2500</v>
      </c>
      <c r="KN257" s="92" t="s">
        <v>4438</v>
      </c>
      <c r="KO257" s="92" t="s">
        <v>1425</v>
      </c>
      <c r="KP257" s="92" t="s">
        <v>1460</v>
      </c>
      <c r="KQ257" s="92" t="s">
        <v>192</v>
      </c>
      <c r="KR257" s="92">
        <v>12</v>
      </c>
      <c r="KS257" s="92" t="s">
        <v>1343</v>
      </c>
      <c r="KT257" s="92" t="s">
        <v>1344</v>
      </c>
      <c r="KU257" s="92">
        <v>28</v>
      </c>
      <c r="KV257" s="92" t="s">
        <v>1441</v>
      </c>
      <c r="KW257" s="92" t="s">
        <v>1344</v>
      </c>
      <c r="KX257" s="92" t="s">
        <v>1376</v>
      </c>
      <c r="KY257" s="92" t="s">
        <v>1377</v>
      </c>
      <c r="KZ257" s="92" t="s">
        <v>5795</v>
      </c>
      <c r="LA257" s="92" t="s">
        <v>109</v>
      </c>
      <c r="LB257" s="92" t="s">
        <v>109</v>
      </c>
      <c r="LC257" s="92" t="s">
        <v>4438</v>
      </c>
      <c r="LD257" s="92" t="s">
        <v>4438</v>
      </c>
      <c r="LE257" s="92" t="s">
        <v>192</v>
      </c>
      <c r="LF257" s="92" t="s">
        <v>192</v>
      </c>
    </row>
    <row r="258" spans="1:318" x14ac:dyDescent="0.25">
      <c r="A258" t="s">
        <v>2494</v>
      </c>
      <c r="B258" t="s">
        <v>2495</v>
      </c>
      <c r="C258" t="s">
        <v>1304</v>
      </c>
      <c r="D258" t="s">
        <v>1305</v>
      </c>
      <c r="E258" t="s">
        <v>1306</v>
      </c>
      <c r="G258" t="s">
        <v>1307</v>
      </c>
      <c r="H258">
        <v>4</v>
      </c>
      <c r="I258" t="s">
        <v>1307</v>
      </c>
      <c r="J258" t="s">
        <v>1406</v>
      </c>
      <c r="K258" t="s">
        <v>1309</v>
      </c>
      <c r="L258" t="s">
        <v>1310</v>
      </c>
      <c r="M258" t="s">
        <v>1309</v>
      </c>
      <c r="N258" t="s">
        <v>1309</v>
      </c>
      <c r="O258" t="s">
        <v>1309</v>
      </c>
      <c r="P258" t="s">
        <v>1309</v>
      </c>
      <c r="Q258" t="s">
        <v>1309</v>
      </c>
      <c r="R258" t="s">
        <v>1309</v>
      </c>
      <c r="S258">
        <v>2</v>
      </c>
      <c r="U258" t="s">
        <v>1312</v>
      </c>
      <c r="V258" t="s">
        <v>1312</v>
      </c>
      <c r="W258" t="s">
        <v>1312</v>
      </c>
      <c r="X258" t="s">
        <v>1312</v>
      </c>
      <c r="Y258" t="s">
        <v>1312</v>
      </c>
      <c r="Z258" t="s">
        <v>1312</v>
      </c>
      <c r="AC258">
        <v>2</v>
      </c>
      <c r="AD258">
        <v>27000</v>
      </c>
      <c r="AE258">
        <v>24000</v>
      </c>
      <c r="AF258" t="s">
        <v>1313</v>
      </c>
      <c r="AH258" t="s">
        <v>1383</v>
      </c>
      <c r="AJ258" t="s">
        <v>1315</v>
      </c>
      <c r="AL258" t="s">
        <v>1316</v>
      </c>
      <c r="BS258" t="s">
        <v>1307</v>
      </c>
      <c r="CE258" t="s">
        <v>2384</v>
      </c>
      <c r="CF258" t="s">
        <v>1309</v>
      </c>
      <c r="CG258" t="s">
        <v>1309</v>
      </c>
      <c r="CH258" t="s">
        <v>1309</v>
      </c>
      <c r="CI258" t="s">
        <v>1309</v>
      </c>
      <c r="CJ258" t="s">
        <v>1309</v>
      </c>
      <c r="CK258" t="s">
        <v>1309</v>
      </c>
      <c r="CL258" t="s">
        <v>1309</v>
      </c>
      <c r="CM258" t="s">
        <v>1309</v>
      </c>
      <c r="CN258" t="s">
        <v>1310</v>
      </c>
      <c r="CO258" t="s">
        <v>1310</v>
      </c>
      <c r="CP258" t="s">
        <v>1309</v>
      </c>
      <c r="CQ258" t="s">
        <v>1309</v>
      </c>
      <c r="CR258" t="s">
        <v>1309</v>
      </c>
      <c r="CT258" t="s">
        <v>4434</v>
      </c>
      <c r="CV258" t="s">
        <v>1308</v>
      </c>
      <c r="CW258" t="s">
        <v>1310</v>
      </c>
      <c r="CX258" t="s">
        <v>1309</v>
      </c>
      <c r="CY258" t="s">
        <v>1309</v>
      </c>
      <c r="CZ258" t="s">
        <v>1309</v>
      </c>
      <c r="DA258" t="s">
        <v>1309</v>
      </c>
      <c r="DB258" t="s">
        <v>1309</v>
      </c>
      <c r="DC258" t="s">
        <v>1309</v>
      </c>
      <c r="DE258" t="s">
        <v>1358</v>
      </c>
      <c r="DG258">
        <v>3000</v>
      </c>
      <c r="DI258">
        <v>600</v>
      </c>
      <c r="DJ258" t="s">
        <v>1358</v>
      </c>
      <c r="DK258">
        <v>3700</v>
      </c>
      <c r="DM258">
        <v>800</v>
      </c>
      <c r="DN258" t="s">
        <v>1320</v>
      </c>
      <c r="DO258" t="s">
        <v>1310</v>
      </c>
      <c r="DP258" t="s">
        <v>1309</v>
      </c>
      <c r="DQ258" t="s">
        <v>1309</v>
      </c>
      <c r="DR258" t="s">
        <v>1309</v>
      </c>
      <c r="DS258" t="s">
        <v>1309</v>
      </c>
      <c r="DT258" t="s">
        <v>1310</v>
      </c>
      <c r="DU258" t="s">
        <v>1309</v>
      </c>
      <c r="DV258" t="s">
        <v>1309</v>
      </c>
      <c r="DW258" t="s">
        <v>1309</v>
      </c>
      <c r="DY258" t="s">
        <v>1359</v>
      </c>
      <c r="DZ258">
        <v>400</v>
      </c>
      <c r="EA258" t="s">
        <v>1319</v>
      </c>
      <c r="EC258" t="s">
        <v>1624</v>
      </c>
      <c r="ED258">
        <v>1000</v>
      </c>
      <c r="EE258" t="s">
        <v>1319</v>
      </c>
      <c r="EG258" t="s">
        <v>5357</v>
      </c>
      <c r="ET258" t="s">
        <v>1434</v>
      </c>
      <c r="EV258" t="s">
        <v>1319</v>
      </c>
      <c r="EW258" t="s">
        <v>1421</v>
      </c>
      <c r="EX258" t="s">
        <v>1319</v>
      </c>
      <c r="EY258" t="s">
        <v>1319</v>
      </c>
      <c r="FA258" t="s">
        <v>2496</v>
      </c>
      <c r="FB258" t="s">
        <v>1310</v>
      </c>
      <c r="FC258" t="s">
        <v>1309</v>
      </c>
      <c r="FD258" t="s">
        <v>1309</v>
      </c>
      <c r="FE258" t="s">
        <v>1309</v>
      </c>
      <c r="FF258" t="s">
        <v>1309</v>
      </c>
      <c r="FG258" t="s">
        <v>1309</v>
      </c>
      <c r="FH258" t="s">
        <v>1310</v>
      </c>
      <c r="FI258" t="s">
        <v>1310</v>
      </c>
      <c r="FJ258" t="s">
        <v>1309</v>
      </c>
      <c r="FK258" t="s">
        <v>1309</v>
      </c>
      <c r="FL258" t="s">
        <v>1309</v>
      </c>
      <c r="FM258" t="s">
        <v>1310</v>
      </c>
      <c r="FN258" t="s">
        <v>1309</v>
      </c>
      <c r="FO258" t="s">
        <v>1309</v>
      </c>
      <c r="FP258" t="s">
        <v>1309</v>
      </c>
      <c r="FQ258" t="s">
        <v>1309</v>
      </c>
      <c r="FR258" t="s">
        <v>1309</v>
      </c>
      <c r="FT258" t="s">
        <v>1307</v>
      </c>
      <c r="GI258" t="s">
        <v>1324</v>
      </c>
      <c r="GJ258" t="s">
        <v>1324</v>
      </c>
      <c r="GT258" t="s">
        <v>1325</v>
      </c>
      <c r="GU258" t="s">
        <v>1310</v>
      </c>
      <c r="GV258" t="s">
        <v>1309</v>
      </c>
      <c r="GW258" t="s">
        <v>1309</v>
      </c>
      <c r="GX258" t="s">
        <v>1309</v>
      </c>
      <c r="GY258" t="s">
        <v>1309</v>
      </c>
      <c r="GZ258" t="s">
        <v>1309</v>
      </c>
      <c r="HA258" t="s">
        <v>1309</v>
      </c>
      <c r="HB258" t="s">
        <v>1309</v>
      </c>
      <c r="HC258" t="s">
        <v>1309</v>
      </c>
      <c r="HD258" t="s">
        <v>1309</v>
      </c>
      <c r="HE258" t="s">
        <v>1309</v>
      </c>
      <c r="HF258" t="s">
        <v>1309</v>
      </c>
      <c r="HH258" t="s">
        <v>1326</v>
      </c>
      <c r="HI258" t="s">
        <v>1326</v>
      </c>
      <c r="HJ258" t="s">
        <v>1390</v>
      </c>
      <c r="HK258" t="s">
        <v>1327</v>
      </c>
      <c r="HL258" t="s">
        <v>1364</v>
      </c>
      <c r="HM258" t="s">
        <v>1326</v>
      </c>
      <c r="IA258" t="s">
        <v>1319</v>
      </c>
      <c r="IB258" t="s">
        <v>2433</v>
      </c>
      <c r="IC258" t="s">
        <v>1309</v>
      </c>
      <c r="ID258" t="s">
        <v>1309</v>
      </c>
      <c r="IE258" t="s">
        <v>1309</v>
      </c>
      <c r="IF258" t="s">
        <v>1310</v>
      </c>
      <c r="IG258" t="s">
        <v>1310</v>
      </c>
      <c r="IH258" t="s">
        <v>1309</v>
      </c>
      <c r="II258" t="s">
        <v>1309</v>
      </c>
      <c r="IJ258" t="s">
        <v>1309</v>
      </c>
      <c r="IK258" t="s">
        <v>1309</v>
      </c>
      <c r="IL258" t="s">
        <v>1309</v>
      </c>
      <c r="IM258" t="s">
        <v>1309</v>
      </c>
      <c r="IN258" t="s">
        <v>1309</v>
      </c>
      <c r="IO258" t="s">
        <v>1309</v>
      </c>
      <c r="IQ258" t="s">
        <v>1365</v>
      </c>
      <c r="IS258" t="s">
        <v>1316</v>
      </c>
      <c r="JF258" t="s">
        <v>1316</v>
      </c>
      <c r="JG258" t="s">
        <v>1523</v>
      </c>
      <c r="JH258" t="s">
        <v>1309</v>
      </c>
      <c r="JI258" t="s">
        <v>1309</v>
      </c>
      <c r="JJ258" t="s">
        <v>1309</v>
      </c>
      <c r="JK258" t="s">
        <v>1310</v>
      </c>
      <c r="JL258" t="s">
        <v>1309</v>
      </c>
      <c r="JM258" t="s">
        <v>1309</v>
      </c>
      <c r="JN258" t="s">
        <v>1309</v>
      </c>
      <c r="JO258" t="s">
        <v>1309</v>
      </c>
      <c r="JQ258" s="92" t="s">
        <v>1333</v>
      </c>
      <c r="JR258" s="92" t="s">
        <v>1334</v>
      </c>
      <c r="JS258" s="92">
        <v>30</v>
      </c>
      <c r="JT258" s="92" t="s">
        <v>1319</v>
      </c>
      <c r="JU258" s="92" t="s">
        <v>1335</v>
      </c>
      <c r="JV258" s="92" t="s">
        <v>1336</v>
      </c>
      <c r="JW258" s="92" t="s">
        <v>1296</v>
      </c>
      <c r="JX258" s="92" t="s">
        <v>71</v>
      </c>
      <c r="JY258" s="92" t="s">
        <v>5549</v>
      </c>
      <c r="JZ258" s="92" t="s">
        <v>1398</v>
      </c>
      <c r="KA258" s="92" t="s">
        <v>4845</v>
      </c>
      <c r="KB258" s="92" t="s">
        <v>1415</v>
      </c>
      <c r="KC258" s="92" t="s">
        <v>109</v>
      </c>
      <c r="KD258" s="92" t="s">
        <v>4847</v>
      </c>
      <c r="KE258" s="92" t="s">
        <v>1416</v>
      </c>
      <c r="KF258" s="92">
        <v>3600</v>
      </c>
      <c r="KG258" s="92" t="s">
        <v>4438</v>
      </c>
      <c r="KH258" s="92" t="s">
        <v>192</v>
      </c>
      <c r="KI258" s="92" t="s">
        <v>109</v>
      </c>
      <c r="KJ258" s="92" t="s">
        <v>192</v>
      </c>
      <c r="KK258" s="92" t="s">
        <v>109</v>
      </c>
      <c r="KL258" s="92" t="s">
        <v>1341</v>
      </c>
      <c r="KM258" s="92">
        <v>4500</v>
      </c>
      <c r="KN258" s="92" t="s">
        <v>4438</v>
      </c>
      <c r="KO258" s="92" t="s">
        <v>1341</v>
      </c>
      <c r="KP258" s="92" t="s">
        <v>1460</v>
      </c>
      <c r="KQ258" s="92" t="s">
        <v>192</v>
      </c>
      <c r="KR258" s="92">
        <v>11</v>
      </c>
      <c r="KS258" s="92" t="s">
        <v>1343</v>
      </c>
      <c r="KT258" s="92" t="s">
        <v>1344</v>
      </c>
      <c r="KU258" s="92">
        <v>22</v>
      </c>
      <c r="KV258" s="92" t="s">
        <v>1461</v>
      </c>
      <c r="KW258" s="92" t="s">
        <v>1344</v>
      </c>
      <c r="KX258" s="92" t="s">
        <v>1376</v>
      </c>
      <c r="KY258" s="92" t="s">
        <v>1377</v>
      </c>
      <c r="KZ258" s="92" t="s">
        <v>5795</v>
      </c>
      <c r="LA258" s="92" t="s">
        <v>109</v>
      </c>
      <c r="LB258" s="92" t="s">
        <v>109</v>
      </c>
      <c r="LC258" s="92" t="s">
        <v>4438</v>
      </c>
      <c r="LD258" s="92" t="s">
        <v>4438</v>
      </c>
      <c r="LE258" s="92" t="s">
        <v>192</v>
      </c>
      <c r="LF258" s="92" t="s">
        <v>192</v>
      </c>
    </row>
    <row r="259" spans="1:318" x14ac:dyDescent="0.25">
      <c r="A259" t="s">
        <v>2497</v>
      </c>
      <c r="B259" t="s">
        <v>2498</v>
      </c>
      <c r="C259" t="s">
        <v>1304</v>
      </c>
      <c r="D259" t="s">
        <v>1305</v>
      </c>
      <c r="E259" t="s">
        <v>1306</v>
      </c>
      <c r="G259" t="s">
        <v>1307</v>
      </c>
      <c r="H259">
        <v>3</v>
      </c>
      <c r="I259" t="s">
        <v>1307</v>
      </c>
      <c r="J259" t="s">
        <v>1614</v>
      </c>
      <c r="K259" t="s">
        <v>1309</v>
      </c>
      <c r="L259" t="s">
        <v>1310</v>
      </c>
      <c r="M259" t="s">
        <v>1310</v>
      </c>
      <c r="N259" t="s">
        <v>1309</v>
      </c>
      <c r="O259" t="s">
        <v>1310</v>
      </c>
      <c r="P259" t="s">
        <v>1309</v>
      </c>
      <c r="Q259" t="s">
        <v>1309</v>
      </c>
      <c r="R259" t="s">
        <v>1309</v>
      </c>
      <c r="S259">
        <v>1</v>
      </c>
      <c r="T259">
        <v>2</v>
      </c>
      <c r="U259" t="s">
        <v>1311</v>
      </c>
      <c r="V259" t="s">
        <v>1312</v>
      </c>
      <c r="W259" t="s">
        <v>1312</v>
      </c>
      <c r="X259" t="s">
        <v>1312</v>
      </c>
      <c r="Y259" t="s">
        <v>1312</v>
      </c>
      <c r="Z259" t="s">
        <v>1312</v>
      </c>
      <c r="AC259">
        <v>2</v>
      </c>
      <c r="AD259">
        <v>10000</v>
      </c>
      <c r="AE259">
        <v>10000</v>
      </c>
      <c r="AF259" t="s">
        <v>1351</v>
      </c>
      <c r="AH259" t="s">
        <v>1352</v>
      </c>
      <c r="AJ259" t="s">
        <v>1353</v>
      </c>
      <c r="AL259" t="s">
        <v>1316</v>
      </c>
      <c r="BA259" t="s">
        <v>1354</v>
      </c>
      <c r="BS259" t="s">
        <v>1307</v>
      </c>
      <c r="CE259" t="s">
        <v>1837</v>
      </c>
      <c r="CF259" t="s">
        <v>1309</v>
      </c>
      <c r="CG259" t="s">
        <v>1309</v>
      </c>
      <c r="CH259" t="s">
        <v>1309</v>
      </c>
      <c r="CI259" t="s">
        <v>1310</v>
      </c>
      <c r="CJ259" t="s">
        <v>1309</v>
      </c>
      <c r="CK259" t="s">
        <v>1309</v>
      </c>
      <c r="CL259" t="s">
        <v>1310</v>
      </c>
      <c r="CM259" t="s">
        <v>1309</v>
      </c>
      <c r="CN259" t="s">
        <v>1310</v>
      </c>
      <c r="CO259" t="s">
        <v>1309</v>
      </c>
      <c r="CP259" t="s">
        <v>1309</v>
      </c>
      <c r="CQ259" t="s">
        <v>1309</v>
      </c>
      <c r="CR259" t="s">
        <v>1309</v>
      </c>
      <c r="CT259" t="s">
        <v>4436</v>
      </c>
      <c r="CV259" t="s">
        <v>1444</v>
      </c>
      <c r="CW259" t="s">
        <v>1309</v>
      </c>
      <c r="CX259" t="s">
        <v>1310</v>
      </c>
      <c r="CY259" t="s">
        <v>1309</v>
      </c>
      <c r="CZ259" t="s">
        <v>1309</v>
      </c>
      <c r="DA259" t="s">
        <v>1309</v>
      </c>
      <c r="DB259" t="s">
        <v>1309</v>
      </c>
      <c r="DC259" t="s">
        <v>1309</v>
      </c>
      <c r="DE259" t="s">
        <v>1358</v>
      </c>
      <c r="DG259">
        <v>700</v>
      </c>
      <c r="DI259">
        <v>700</v>
      </c>
      <c r="DJ259" t="s">
        <v>1358</v>
      </c>
      <c r="DK259">
        <v>1300</v>
      </c>
      <c r="DL259">
        <v>1400</v>
      </c>
      <c r="DM259">
        <v>700</v>
      </c>
      <c r="DN259" t="s">
        <v>1432</v>
      </c>
      <c r="DO259" t="s">
        <v>1310</v>
      </c>
      <c r="DP259" t="s">
        <v>1309</v>
      </c>
      <c r="DQ259" t="s">
        <v>1309</v>
      </c>
      <c r="DR259" t="s">
        <v>1310</v>
      </c>
      <c r="DS259" t="s">
        <v>1309</v>
      </c>
      <c r="DT259" t="s">
        <v>1310</v>
      </c>
      <c r="DU259" t="s">
        <v>1309</v>
      </c>
      <c r="DV259" t="s">
        <v>1309</v>
      </c>
      <c r="DW259" t="s">
        <v>1309</v>
      </c>
      <c r="DY259" t="s">
        <v>1321</v>
      </c>
      <c r="DZ259">
        <v>500</v>
      </c>
      <c r="EA259" t="s">
        <v>1386</v>
      </c>
      <c r="EC259" t="s">
        <v>2119</v>
      </c>
      <c r="ED259">
        <v>1000</v>
      </c>
      <c r="EE259" t="s">
        <v>1386</v>
      </c>
      <c r="EG259" t="s">
        <v>5356</v>
      </c>
      <c r="EI259" t="s">
        <v>1307</v>
      </c>
      <c r="ET259" t="s">
        <v>1414</v>
      </c>
      <c r="EV259" t="s">
        <v>1319</v>
      </c>
      <c r="EW259" t="s">
        <v>1361</v>
      </c>
      <c r="EX259" t="s">
        <v>1319</v>
      </c>
      <c r="EY259" t="s">
        <v>1319</v>
      </c>
      <c r="EZ259" t="s">
        <v>1319</v>
      </c>
      <c r="FA259" t="s">
        <v>2499</v>
      </c>
      <c r="FB259" t="s">
        <v>1309</v>
      </c>
      <c r="FC259" t="s">
        <v>1310</v>
      </c>
      <c r="FD259" t="s">
        <v>1310</v>
      </c>
      <c r="FE259" t="s">
        <v>1310</v>
      </c>
      <c r="FF259" t="s">
        <v>1310</v>
      </c>
      <c r="FG259" t="s">
        <v>1309</v>
      </c>
      <c r="FH259" t="s">
        <v>1310</v>
      </c>
      <c r="FI259" t="s">
        <v>1310</v>
      </c>
      <c r="FJ259" t="s">
        <v>1309</v>
      </c>
      <c r="FK259" t="s">
        <v>1309</v>
      </c>
      <c r="FL259" t="s">
        <v>1309</v>
      </c>
      <c r="FM259" t="s">
        <v>1310</v>
      </c>
      <c r="FN259" t="s">
        <v>1309</v>
      </c>
      <c r="FO259" t="s">
        <v>1310</v>
      </c>
      <c r="FP259" t="s">
        <v>1309</v>
      </c>
      <c r="FQ259" t="s">
        <v>1309</v>
      </c>
      <c r="FR259" t="s">
        <v>1309</v>
      </c>
      <c r="FT259" t="s">
        <v>1319</v>
      </c>
      <c r="FU259" t="s">
        <v>2023</v>
      </c>
      <c r="FV259" t="s">
        <v>1310</v>
      </c>
      <c r="FW259" t="s">
        <v>1310</v>
      </c>
      <c r="FX259" t="s">
        <v>1309</v>
      </c>
      <c r="FY259" t="s">
        <v>1310</v>
      </c>
      <c r="FZ259" t="s">
        <v>1309</v>
      </c>
      <c r="GA259" t="s">
        <v>1310</v>
      </c>
      <c r="GB259" t="s">
        <v>1309</v>
      </c>
      <c r="GC259" t="s">
        <v>1309</v>
      </c>
      <c r="GD259" t="s">
        <v>1310</v>
      </c>
      <c r="GE259" t="s">
        <v>1309</v>
      </c>
      <c r="GF259" t="s">
        <v>1309</v>
      </c>
      <c r="GG259" t="s">
        <v>1309</v>
      </c>
      <c r="GI259" t="s">
        <v>1324</v>
      </c>
      <c r="GJ259" t="s">
        <v>1324</v>
      </c>
      <c r="GT259" t="s">
        <v>1325</v>
      </c>
      <c r="GU259" t="s">
        <v>1310</v>
      </c>
      <c r="GV259" t="s">
        <v>1309</v>
      </c>
      <c r="GW259" t="s">
        <v>1309</v>
      </c>
      <c r="GX259" t="s">
        <v>1309</v>
      </c>
      <c r="GY259" t="s">
        <v>1309</v>
      </c>
      <c r="GZ259" t="s">
        <v>1309</v>
      </c>
      <c r="HA259" t="s">
        <v>1309</v>
      </c>
      <c r="HB259" t="s">
        <v>1309</v>
      </c>
      <c r="HC259" t="s">
        <v>1309</v>
      </c>
      <c r="HD259" t="s">
        <v>1309</v>
      </c>
      <c r="HE259" t="s">
        <v>1309</v>
      </c>
      <c r="HF259" t="s">
        <v>1309</v>
      </c>
      <c r="HH259" t="s">
        <v>1326</v>
      </c>
      <c r="HI259" t="s">
        <v>1327</v>
      </c>
      <c r="HJ259" t="s">
        <v>1390</v>
      </c>
      <c r="HK259" t="s">
        <v>1327</v>
      </c>
      <c r="HL259" t="s">
        <v>1437</v>
      </c>
      <c r="HM259" t="s">
        <v>1326</v>
      </c>
      <c r="HN259" t="s">
        <v>1698</v>
      </c>
      <c r="HO259" t="s">
        <v>1309</v>
      </c>
      <c r="HP259" t="s">
        <v>1309</v>
      </c>
      <c r="HQ259" t="s">
        <v>1309</v>
      </c>
      <c r="HR259" t="s">
        <v>1309</v>
      </c>
      <c r="HS259" t="s">
        <v>1309</v>
      </c>
      <c r="HT259" t="s">
        <v>1309</v>
      </c>
      <c r="HU259" t="s">
        <v>1309</v>
      </c>
      <c r="HV259" t="s">
        <v>1309</v>
      </c>
      <c r="HW259" t="s">
        <v>1310</v>
      </c>
      <c r="HX259" t="s">
        <v>1309</v>
      </c>
      <c r="HY259" t="s">
        <v>1309</v>
      </c>
      <c r="HZ259" t="s">
        <v>2041</v>
      </c>
      <c r="IA259" t="s">
        <v>1319</v>
      </c>
      <c r="IB259" t="s">
        <v>1532</v>
      </c>
      <c r="IC259" t="s">
        <v>1309</v>
      </c>
      <c r="ID259" t="s">
        <v>1309</v>
      </c>
      <c r="IE259" t="s">
        <v>1309</v>
      </c>
      <c r="IF259" t="s">
        <v>1309</v>
      </c>
      <c r="IG259" t="s">
        <v>1310</v>
      </c>
      <c r="IH259" t="s">
        <v>1309</v>
      </c>
      <c r="II259" t="s">
        <v>1310</v>
      </c>
      <c r="IJ259" t="s">
        <v>1309</v>
      </c>
      <c r="IK259" t="s">
        <v>1309</v>
      </c>
      <c r="IL259" t="s">
        <v>1309</v>
      </c>
      <c r="IM259" t="s">
        <v>1309</v>
      </c>
      <c r="IN259" t="s">
        <v>1309</v>
      </c>
      <c r="IO259" t="s">
        <v>1309</v>
      </c>
      <c r="IQ259" t="s">
        <v>1308</v>
      </c>
      <c r="IS259" t="s">
        <v>1316</v>
      </c>
      <c r="JF259" t="s">
        <v>1331</v>
      </c>
      <c r="JG259" t="s">
        <v>1414</v>
      </c>
      <c r="JH259" t="s">
        <v>1309</v>
      </c>
      <c r="JI259" t="s">
        <v>1309</v>
      </c>
      <c r="JJ259" t="s">
        <v>1309</v>
      </c>
      <c r="JK259" t="s">
        <v>1309</v>
      </c>
      <c r="JL259" t="s">
        <v>1309</v>
      </c>
      <c r="JM259" t="s">
        <v>1309</v>
      </c>
      <c r="JN259" t="s">
        <v>1310</v>
      </c>
      <c r="JO259" t="s">
        <v>1309</v>
      </c>
      <c r="JQ259" s="92" t="s">
        <v>1333</v>
      </c>
      <c r="JR259" s="92" t="s">
        <v>2377</v>
      </c>
      <c r="JS259" s="92">
        <v>63</v>
      </c>
      <c r="JT259" s="92" t="s">
        <v>1319</v>
      </c>
      <c r="JU259" s="92" t="s">
        <v>1335</v>
      </c>
      <c r="JV259" s="92" t="s">
        <v>1336</v>
      </c>
      <c r="JW259" s="92" t="s">
        <v>1296</v>
      </c>
      <c r="JX259" s="92" t="s">
        <v>70</v>
      </c>
      <c r="JY259" s="92" t="s">
        <v>5549</v>
      </c>
      <c r="JZ259" s="92" t="s">
        <v>1369</v>
      </c>
      <c r="KA259" s="92" t="s">
        <v>4845</v>
      </c>
      <c r="KB259" s="92" t="s">
        <v>5476</v>
      </c>
      <c r="KC259" s="92" t="s">
        <v>109</v>
      </c>
      <c r="KD259" s="92" t="s">
        <v>4847</v>
      </c>
      <c r="KE259" s="92" t="s">
        <v>1424</v>
      </c>
      <c r="KF259" s="92">
        <v>1400</v>
      </c>
      <c r="KG259" s="92" t="s">
        <v>4438</v>
      </c>
      <c r="KH259" s="92" t="s">
        <v>192</v>
      </c>
      <c r="KI259" s="92" t="s">
        <v>109</v>
      </c>
      <c r="KJ259" s="92" t="s">
        <v>192</v>
      </c>
      <c r="KK259" s="92" t="s">
        <v>192</v>
      </c>
      <c r="KL259" s="92" t="s">
        <v>1440</v>
      </c>
      <c r="KM259" s="92">
        <v>3400</v>
      </c>
      <c r="KN259" s="92" t="s">
        <v>4439</v>
      </c>
      <c r="KO259" s="92" t="s">
        <v>1341</v>
      </c>
      <c r="KP259" s="92" t="s">
        <v>1375</v>
      </c>
      <c r="KQ259" s="92" t="s">
        <v>192</v>
      </c>
      <c r="KR259" s="92"/>
      <c r="KS259" s="92" t="s">
        <v>1345</v>
      </c>
      <c r="KT259" s="92" t="s">
        <v>1402</v>
      </c>
      <c r="KU259" s="92"/>
      <c r="KV259" s="92" t="s">
        <v>1461</v>
      </c>
      <c r="KW259" s="92" t="s">
        <v>1402</v>
      </c>
      <c r="KX259" s="92" t="s">
        <v>1346</v>
      </c>
      <c r="KY259" s="92" t="s">
        <v>1987</v>
      </c>
      <c r="KZ259" s="92" t="s">
        <v>5795</v>
      </c>
      <c r="LA259" s="92" t="s">
        <v>109</v>
      </c>
      <c r="LB259" s="92" t="s">
        <v>109</v>
      </c>
      <c r="LC259" s="92" t="s">
        <v>4438</v>
      </c>
      <c r="LD259" s="92" t="s">
        <v>4438</v>
      </c>
      <c r="LE259" s="92" t="s">
        <v>192</v>
      </c>
      <c r="LF259" s="92" t="s">
        <v>192</v>
      </c>
    </row>
    <row r="260" spans="1:318" x14ac:dyDescent="0.25">
      <c r="A260" t="s">
        <v>2500</v>
      </c>
      <c r="B260" t="s">
        <v>2501</v>
      </c>
      <c r="C260" t="s">
        <v>1304</v>
      </c>
      <c r="D260" t="s">
        <v>1305</v>
      </c>
      <c r="E260" t="s">
        <v>1306</v>
      </c>
      <c r="G260" t="s">
        <v>1307</v>
      </c>
      <c r="H260">
        <v>4</v>
      </c>
      <c r="I260" t="s">
        <v>1307</v>
      </c>
      <c r="J260" t="s">
        <v>1715</v>
      </c>
      <c r="K260" t="s">
        <v>1309</v>
      </c>
      <c r="L260" t="s">
        <v>1310</v>
      </c>
      <c r="M260" t="s">
        <v>1309</v>
      </c>
      <c r="N260" t="s">
        <v>1309</v>
      </c>
      <c r="O260" t="s">
        <v>1310</v>
      </c>
      <c r="P260" t="s">
        <v>1309</v>
      </c>
      <c r="Q260" t="s">
        <v>1309</v>
      </c>
      <c r="R260" t="s">
        <v>1309</v>
      </c>
      <c r="S260">
        <v>1</v>
      </c>
      <c r="U260" t="s">
        <v>1311</v>
      </c>
      <c r="V260" t="s">
        <v>1312</v>
      </c>
      <c r="W260" t="s">
        <v>1312</v>
      </c>
      <c r="X260" t="s">
        <v>1312</v>
      </c>
      <c r="Y260" t="s">
        <v>1312</v>
      </c>
      <c r="Z260" t="s">
        <v>1312</v>
      </c>
      <c r="AC260">
        <v>2</v>
      </c>
      <c r="AE260">
        <v>25000</v>
      </c>
      <c r="AF260" t="s">
        <v>1313</v>
      </c>
      <c r="AH260" t="s">
        <v>1383</v>
      </c>
      <c r="AJ260" t="s">
        <v>1315</v>
      </c>
      <c r="AL260" t="s">
        <v>1331</v>
      </c>
      <c r="BS260" t="s">
        <v>1307</v>
      </c>
      <c r="CE260" t="s">
        <v>2055</v>
      </c>
      <c r="CF260" t="s">
        <v>1309</v>
      </c>
      <c r="CG260" t="s">
        <v>1309</v>
      </c>
      <c r="CH260" t="s">
        <v>1309</v>
      </c>
      <c r="CI260" t="s">
        <v>1309</v>
      </c>
      <c r="CJ260" t="s">
        <v>1309</v>
      </c>
      <c r="CK260" t="s">
        <v>1310</v>
      </c>
      <c r="CL260" t="s">
        <v>1309</v>
      </c>
      <c r="CM260" t="s">
        <v>1309</v>
      </c>
      <c r="CN260" t="s">
        <v>1310</v>
      </c>
      <c r="CO260" t="s">
        <v>1309</v>
      </c>
      <c r="CP260" t="s">
        <v>1309</v>
      </c>
      <c r="CQ260" t="s">
        <v>1309</v>
      </c>
      <c r="CR260" t="s">
        <v>1309</v>
      </c>
      <c r="CT260" t="s">
        <v>4435</v>
      </c>
      <c r="CV260" t="s">
        <v>1357</v>
      </c>
      <c r="CW260" t="s">
        <v>1309</v>
      </c>
      <c r="CX260" t="s">
        <v>1309</v>
      </c>
      <c r="CY260" t="s">
        <v>1309</v>
      </c>
      <c r="CZ260" t="s">
        <v>1309</v>
      </c>
      <c r="DA260" t="s">
        <v>1310</v>
      </c>
      <c r="DB260" t="s">
        <v>1309</v>
      </c>
      <c r="DC260" t="s">
        <v>1309</v>
      </c>
      <c r="DE260" t="s">
        <v>1358</v>
      </c>
      <c r="DF260" t="s">
        <v>1319</v>
      </c>
      <c r="DG260">
        <v>400</v>
      </c>
      <c r="DH260">
        <v>2300</v>
      </c>
      <c r="DI260">
        <v>850</v>
      </c>
      <c r="DJ260" t="s">
        <v>1358</v>
      </c>
      <c r="DK260">
        <v>700</v>
      </c>
      <c r="DL260">
        <v>3400</v>
      </c>
      <c r="DM260">
        <v>900</v>
      </c>
      <c r="DN260" t="s">
        <v>1320</v>
      </c>
      <c r="DO260" t="s">
        <v>1310</v>
      </c>
      <c r="DP260" t="s">
        <v>1309</v>
      </c>
      <c r="DQ260" t="s">
        <v>1309</v>
      </c>
      <c r="DR260" t="s">
        <v>1309</v>
      </c>
      <c r="DS260" t="s">
        <v>1309</v>
      </c>
      <c r="DT260" t="s">
        <v>1310</v>
      </c>
      <c r="DU260" t="s">
        <v>1309</v>
      </c>
      <c r="DV260" t="s">
        <v>1309</v>
      </c>
      <c r="DW260" t="s">
        <v>1309</v>
      </c>
      <c r="DY260" t="s">
        <v>1433</v>
      </c>
      <c r="DZ260">
        <v>300</v>
      </c>
      <c r="EA260" t="s">
        <v>1319</v>
      </c>
      <c r="EC260" t="s">
        <v>1322</v>
      </c>
      <c r="ED260">
        <v>700</v>
      </c>
      <c r="EE260" t="s">
        <v>1319</v>
      </c>
      <c r="EG260" t="s">
        <v>5357</v>
      </c>
      <c r="ET260" t="s">
        <v>1307</v>
      </c>
      <c r="EV260" t="s">
        <v>1319</v>
      </c>
      <c r="EW260" t="s">
        <v>1409</v>
      </c>
      <c r="EX260" t="s">
        <v>1307</v>
      </c>
      <c r="EY260" t="s">
        <v>1307</v>
      </c>
      <c r="FT260" t="s">
        <v>1307</v>
      </c>
      <c r="GI260" t="s">
        <v>1324</v>
      </c>
      <c r="GJ260" t="s">
        <v>1324</v>
      </c>
      <c r="GT260" t="s">
        <v>1325</v>
      </c>
      <c r="GU260" t="s">
        <v>1310</v>
      </c>
      <c r="GV260" t="s">
        <v>1309</v>
      </c>
      <c r="GW260" t="s">
        <v>1309</v>
      </c>
      <c r="GX260" t="s">
        <v>1309</v>
      </c>
      <c r="GY260" t="s">
        <v>1309</v>
      </c>
      <c r="GZ260" t="s">
        <v>1309</v>
      </c>
      <c r="HA260" t="s">
        <v>1309</v>
      </c>
      <c r="HB260" t="s">
        <v>1309</v>
      </c>
      <c r="HC260" t="s">
        <v>1309</v>
      </c>
      <c r="HD260" t="s">
        <v>1309</v>
      </c>
      <c r="HE260" t="s">
        <v>1309</v>
      </c>
      <c r="HF260" t="s">
        <v>1309</v>
      </c>
      <c r="HH260" t="s">
        <v>1308</v>
      </c>
      <c r="HI260" t="s">
        <v>1327</v>
      </c>
      <c r="HJ260" t="s">
        <v>1326</v>
      </c>
      <c r="HK260" t="s">
        <v>1327</v>
      </c>
      <c r="HL260" t="s">
        <v>1364</v>
      </c>
      <c r="HM260" t="s">
        <v>1326</v>
      </c>
      <c r="IA260" t="s">
        <v>1307</v>
      </c>
      <c r="IQ260" t="s">
        <v>1308</v>
      </c>
      <c r="IS260" t="s">
        <v>1331</v>
      </c>
      <c r="JF260" t="s">
        <v>1450</v>
      </c>
      <c r="JG260" t="s">
        <v>1414</v>
      </c>
      <c r="JH260" t="s">
        <v>1309</v>
      </c>
      <c r="JI260" t="s">
        <v>1309</v>
      </c>
      <c r="JJ260" t="s">
        <v>1309</v>
      </c>
      <c r="JK260" t="s">
        <v>1309</v>
      </c>
      <c r="JL260" t="s">
        <v>1309</v>
      </c>
      <c r="JM260" t="s">
        <v>1309</v>
      </c>
      <c r="JN260" t="s">
        <v>1310</v>
      </c>
      <c r="JO260" t="s">
        <v>1309</v>
      </c>
      <c r="JQ260" s="92" t="s">
        <v>1333</v>
      </c>
      <c r="JR260" s="92" t="s">
        <v>1334</v>
      </c>
      <c r="JS260" s="92">
        <v>54</v>
      </c>
      <c r="JT260" s="92" t="s">
        <v>1319</v>
      </c>
      <c r="JU260" s="92" t="s">
        <v>1335</v>
      </c>
      <c r="JV260" s="92" t="s">
        <v>1336</v>
      </c>
      <c r="JW260" s="92" t="s">
        <v>1296</v>
      </c>
      <c r="JX260" s="92" t="s">
        <v>71</v>
      </c>
      <c r="JY260" s="92" t="s">
        <v>5549</v>
      </c>
      <c r="JZ260" s="92" t="s">
        <v>1337</v>
      </c>
      <c r="KA260" s="92" t="s">
        <v>4845</v>
      </c>
      <c r="KB260" s="92" t="s">
        <v>1415</v>
      </c>
      <c r="KC260" s="92" t="s">
        <v>109</v>
      </c>
      <c r="KD260" s="92" t="s">
        <v>4847</v>
      </c>
      <c r="KE260" s="92" t="s">
        <v>1340</v>
      </c>
      <c r="KF260" s="92">
        <v>3550</v>
      </c>
      <c r="KG260" s="92" t="s">
        <v>1340</v>
      </c>
      <c r="KH260" s="92" t="s">
        <v>192</v>
      </c>
      <c r="KI260" s="92" t="s">
        <v>192</v>
      </c>
      <c r="KJ260" s="92" t="s">
        <v>192</v>
      </c>
      <c r="KK260" s="92" t="s">
        <v>192</v>
      </c>
      <c r="KL260" s="92" t="s">
        <v>1341</v>
      </c>
      <c r="KM260" s="92">
        <v>5000</v>
      </c>
      <c r="KN260" s="92" t="s">
        <v>1340</v>
      </c>
      <c r="KO260" s="92" t="s">
        <v>1341</v>
      </c>
      <c r="KP260" s="92" t="s">
        <v>1375</v>
      </c>
      <c r="KQ260" s="92" t="s">
        <v>192</v>
      </c>
      <c r="KR260" s="92">
        <v>8</v>
      </c>
      <c r="KS260" s="92" t="s">
        <v>1343</v>
      </c>
      <c r="KT260" s="92" t="s">
        <v>1344</v>
      </c>
      <c r="KU260" s="92">
        <v>14</v>
      </c>
      <c r="KV260" s="92" t="s">
        <v>1441</v>
      </c>
      <c r="KW260" s="92" t="s">
        <v>1344</v>
      </c>
      <c r="KX260" s="92" t="s">
        <v>1346</v>
      </c>
      <c r="KY260" s="92" t="s">
        <v>1347</v>
      </c>
      <c r="KZ260" s="92" t="s">
        <v>5795</v>
      </c>
      <c r="LA260" s="92" t="s">
        <v>109</v>
      </c>
      <c r="LB260" s="92" t="s">
        <v>109</v>
      </c>
      <c r="LC260" s="92" t="s">
        <v>5566</v>
      </c>
      <c r="LD260" s="92" t="s">
        <v>5566</v>
      </c>
      <c r="LE260" s="92"/>
      <c r="LF260" s="92"/>
    </row>
    <row r="261" spans="1:318" x14ac:dyDescent="0.25">
      <c r="A261" t="s">
        <v>2502</v>
      </c>
      <c r="B261" t="s">
        <v>2503</v>
      </c>
      <c r="C261" t="s">
        <v>1304</v>
      </c>
      <c r="D261" t="s">
        <v>1429</v>
      </c>
      <c r="E261" t="s">
        <v>1306</v>
      </c>
      <c r="G261" t="s">
        <v>1307</v>
      </c>
      <c r="H261">
        <v>2</v>
      </c>
      <c r="I261" t="s">
        <v>1307</v>
      </c>
      <c r="J261" t="s">
        <v>1430</v>
      </c>
      <c r="K261" t="s">
        <v>1309</v>
      </c>
      <c r="L261" t="s">
        <v>1309</v>
      </c>
      <c r="M261" t="s">
        <v>1310</v>
      </c>
      <c r="N261" t="s">
        <v>1309</v>
      </c>
      <c r="O261" t="s">
        <v>1309</v>
      </c>
      <c r="P261" t="s">
        <v>1309</v>
      </c>
      <c r="Q261" t="s">
        <v>1309</v>
      </c>
      <c r="R261" t="s">
        <v>1309</v>
      </c>
      <c r="T261">
        <v>1</v>
      </c>
      <c r="U261" t="s">
        <v>1311</v>
      </c>
      <c r="V261" t="s">
        <v>1311</v>
      </c>
      <c r="W261" t="s">
        <v>1311</v>
      </c>
      <c r="X261" t="s">
        <v>1311</v>
      </c>
      <c r="Y261" t="s">
        <v>1312</v>
      </c>
      <c r="Z261" t="s">
        <v>1312</v>
      </c>
      <c r="AC261">
        <v>2</v>
      </c>
      <c r="AD261">
        <v>7500</v>
      </c>
      <c r="AE261">
        <v>8000</v>
      </c>
      <c r="AF261" t="s">
        <v>1313</v>
      </c>
      <c r="AH261" t="s">
        <v>1383</v>
      </c>
      <c r="AJ261" t="s">
        <v>1315</v>
      </c>
      <c r="AL261" t="s">
        <v>1354</v>
      </c>
      <c r="BS261" t="s">
        <v>1307</v>
      </c>
      <c r="CE261" t="s">
        <v>1317</v>
      </c>
      <c r="CF261" t="s">
        <v>1309</v>
      </c>
      <c r="CG261" t="s">
        <v>1309</v>
      </c>
      <c r="CH261" t="s">
        <v>1309</v>
      </c>
      <c r="CI261" t="s">
        <v>1309</v>
      </c>
      <c r="CJ261" t="s">
        <v>1309</v>
      </c>
      <c r="CK261" t="s">
        <v>1309</v>
      </c>
      <c r="CL261" t="s">
        <v>1309</v>
      </c>
      <c r="CM261" t="s">
        <v>1309</v>
      </c>
      <c r="CN261" t="s">
        <v>1310</v>
      </c>
      <c r="CO261" t="s">
        <v>1310</v>
      </c>
      <c r="CP261" t="s">
        <v>1309</v>
      </c>
      <c r="CQ261" t="s">
        <v>1309</v>
      </c>
      <c r="CR261" t="s">
        <v>1309</v>
      </c>
      <c r="CT261" t="s">
        <v>4435</v>
      </c>
      <c r="CV261" t="s">
        <v>1308</v>
      </c>
      <c r="CW261" t="s">
        <v>1310</v>
      </c>
      <c r="CX261" t="s">
        <v>1309</v>
      </c>
      <c r="CY261" t="s">
        <v>1309</v>
      </c>
      <c r="CZ261" t="s">
        <v>1309</v>
      </c>
      <c r="DA261" t="s">
        <v>1309</v>
      </c>
      <c r="DB261" t="s">
        <v>1309</v>
      </c>
      <c r="DC261" t="s">
        <v>1309</v>
      </c>
      <c r="DE261" t="s">
        <v>1318</v>
      </c>
      <c r="DF261" t="s">
        <v>1319</v>
      </c>
      <c r="DG261">
        <v>500</v>
      </c>
      <c r="DH261">
        <v>2000</v>
      </c>
      <c r="DI261">
        <v>300</v>
      </c>
      <c r="DJ261" t="s">
        <v>1318</v>
      </c>
      <c r="DK261">
        <v>800</v>
      </c>
      <c r="DL261">
        <v>2500</v>
      </c>
      <c r="DM261">
        <v>600</v>
      </c>
      <c r="DN261" t="s">
        <v>2504</v>
      </c>
      <c r="DO261" t="s">
        <v>1310</v>
      </c>
      <c r="DP261" t="s">
        <v>1309</v>
      </c>
      <c r="DQ261" t="s">
        <v>1309</v>
      </c>
      <c r="DR261" t="s">
        <v>1309</v>
      </c>
      <c r="DS261" t="s">
        <v>1310</v>
      </c>
      <c r="DT261" t="s">
        <v>1310</v>
      </c>
      <c r="DU261" t="s">
        <v>1309</v>
      </c>
      <c r="DV261" t="s">
        <v>1309</v>
      </c>
      <c r="DW261" t="s">
        <v>1309</v>
      </c>
      <c r="DY261" t="s">
        <v>1481</v>
      </c>
      <c r="DZ261">
        <v>300</v>
      </c>
      <c r="EA261" t="s">
        <v>1319</v>
      </c>
      <c r="EC261" t="s">
        <v>1420</v>
      </c>
      <c r="ED261">
        <v>800</v>
      </c>
      <c r="EE261" t="s">
        <v>1319</v>
      </c>
      <c r="EG261" t="s">
        <v>5357</v>
      </c>
      <c r="ET261" t="s">
        <v>1307</v>
      </c>
      <c r="EV261" t="s">
        <v>1307</v>
      </c>
      <c r="EX261" t="s">
        <v>1307</v>
      </c>
      <c r="EY261" t="s">
        <v>1307</v>
      </c>
      <c r="FT261" t="s">
        <v>1307</v>
      </c>
      <c r="GI261" t="s">
        <v>1324</v>
      </c>
      <c r="GJ261" t="s">
        <v>1324</v>
      </c>
      <c r="GT261" t="s">
        <v>1325</v>
      </c>
      <c r="GU261" t="s">
        <v>1310</v>
      </c>
      <c r="GV261" t="s">
        <v>1309</v>
      </c>
      <c r="GW261" t="s">
        <v>1309</v>
      </c>
      <c r="GX261" t="s">
        <v>1309</v>
      </c>
      <c r="GY261" t="s">
        <v>1309</v>
      </c>
      <c r="GZ261" t="s">
        <v>1309</v>
      </c>
      <c r="HA261" t="s">
        <v>1309</v>
      </c>
      <c r="HB261" t="s">
        <v>1309</v>
      </c>
      <c r="HC261" t="s">
        <v>1309</v>
      </c>
      <c r="HD261" t="s">
        <v>1309</v>
      </c>
      <c r="HE261" t="s">
        <v>1309</v>
      </c>
      <c r="HF261" t="s">
        <v>1309</v>
      </c>
      <c r="HH261" t="s">
        <v>1390</v>
      </c>
      <c r="HI261" t="s">
        <v>1326</v>
      </c>
      <c r="HJ261" t="s">
        <v>1326</v>
      </c>
      <c r="HK261" t="s">
        <v>1327</v>
      </c>
      <c r="HL261" t="s">
        <v>1328</v>
      </c>
      <c r="HM261" t="s">
        <v>1390</v>
      </c>
      <c r="HN261" t="s">
        <v>1550</v>
      </c>
      <c r="HO261" t="s">
        <v>1310</v>
      </c>
      <c r="HP261" t="s">
        <v>1309</v>
      </c>
      <c r="HQ261" t="s">
        <v>1309</v>
      </c>
      <c r="HR261" t="s">
        <v>1310</v>
      </c>
      <c r="HS261" t="s">
        <v>1309</v>
      </c>
      <c r="HT261" t="s">
        <v>1309</v>
      </c>
      <c r="HU261" t="s">
        <v>1309</v>
      </c>
      <c r="HV261" t="s">
        <v>1309</v>
      </c>
      <c r="HW261" t="s">
        <v>1309</v>
      </c>
      <c r="HX261" t="s">
        <v>1309</v>
      </c>
      <c r="HY261" t="s">
        <v>1309</v>
      </c>
      <c r="IA261" t="s">
        <v>1307</v>
      </c>
      <c r="IQ261" t="s">
        <v>1330</v>
      </c>
      <c r="IS261" t="s">
        <v>1316</v>
      </c>
      <c r="JF261" t="s">
        <v>1331</v>
      </c>
      <c r="JG261" t="s">
        <v>1414</v>
      </c>
      <c r="JH261" t="s">
        <v>1309</v>
      </c>
      <c r="JI261" t="s">
        <v>1309</v>
      </c>
      <c r="JJ261" t="s">
        <v>1309</v>
      </c>
      <c r="JK261" t="s">
        <v>1309</v>
      </c>
      <c r="JL261" t="s">
        <v>1309</v>
      </c>
      <c r="JM261" t="s">
        <v>1309</v>
      </c>
      <c r="JN261" t="s">
        <v>1310</v>
      </c>
      <c r="JO261" t="s">
        <v>1309</v>
      </c>
      <c r="JQ261" s="92" t="s">
        <v>1333</v>
      </c>
      <c r="JR261" s="92" t="s">
        <v>1334</v>
      </c>
      <c r="JS261" s="92">
        <v>60</v>
      </c>
      <c r="JT261" s="92" t="s">
        <v>1319</v>
      </c>
      <c r="JU261" s="92" t="s">
        <v>1335</v>
      </c>
      <c r="JV261" s="92" t="s">
        <v>1336</v>
      </c>
      <c r="JW261" s="92" t="s">
        <v>1296</v>
      </c>
      <c r="JX261" s="92" t="s">
        <v>71</v>
      </c>
      <c r="JY261" s="92" t="s">
        <v>5549</v>
      </c>
      <c r="JZ261" s="92" t="s">
        <v>1369</v>
      </c>
      <c r="KA261" s="92" t="s">
        <v>4845</v>
      </c>
      <c r="KB261" s="92" t="s">
        <v>1476</v>
      </c>
      <c r="KC261" s="92" t="s">
        <v>109</v>
      </c>
      <c r="KD261" s="92" t="s">
        <v>4847</v>
      </c>
      <c r="KE261" s="92" t="s">
        <v>1424</v>
      </c>
      <c r="KF261" s="92">
        <v>2800</v>
      </c>
      <c r="KG261" s="92" t="s">
        <v>4439</v>
      </c>
      <c r="KH261" s="92" t="s">
        <v>192</v>
      </c>
      <c r="KI261" s="92" t="s">
        <v>192</v>
      </c>
      <c r="KJ261" s="92" t="s">
        <v>192</v>
      </c>
      <c r="KK261" s="92" t="s">
        <v>192</v>
      </c>
      <c r="KL261" s="92" t="s">
        <v>1425</v>
      </c>
      <c r="KM261" s="92">
        <v>3900</v>
      </c>
      <c r="KN261" s="92" t="s">
        <v>1400</v>
      </c>
      <c r="KO261" s="92" t="s">
        <v>1341</v>
      </c>
      <c r="KP261" s="92" t="s">
        <v>1342</v>
      </c>
      <c r="KQ261" s="92" t="s">
        <v>192</v>
      </c>
      <c r="KR261" s="92">
        <v>11</v>
      </c>
      <c r="KS261" s="92" t="s">
        <v>1343</v>
      </c>
      <c r="KT261" s="92" t="s">
        <v>1344</v>
      </c>
      <c r="KU261" s="92">
        <v>21</v>
      </c>
      <c r="KV261" s="92" t="s">
        <v>1441</v>
      </c>
      <c r="KW261" s="92" t="s">
        <v>1344</v>
      </c>
      <c r="KX261" s="92" t="s">
        <v>1376</v>
      </c>
      <c r="KY261" s="92" t="s">
        <v>1377</v>
      </c>
      <c r="KZ261" s="92" t="s">
        <v>5795</v>
      </c>
      <c r="LA261" s="92" t="s">
        <v>109</v>
      </c>
      <c r="LB261" s="92" t="s">
        <v>109</v>
      </c>
      <c r="LC261" s="92" t="s">
        <v>4439</v>
      </c>
      <c r="LD261" s="92" t="s">
        <v>4439</v>
      </c>
      <c r="LE261" s="92" t="s">
        <v>192</v>
      </c>
      <c r="LF261" s="92" t="s">
        <v>192</v>
      </c>
    </row>
    <row r="262" spans="1:318" x14ac:dyDescent="0.25">
      <c r="A262" t="s">
        <v>2505</v>
      </c>
      <c r="B262" t="s">
        <v>2506</v>
      </c>
      <c r="C262" t="s">
        <v>1304</v>
      </c>
      <c r="D262" t="s">
        <v>1305</v>
      </c>
      <c r="E262" t="s">
        <v>1306</v>
      </c>
      <c r="G262" t="s">
        <v>1307</v>
      </c>
      <c r="H262">
        <v>2</v>
      </c>
      <c r="I262" t="s">
        <v>1307</v>
      </c>
      <c r="J262" t="s">
        <v>1571</v>
      </c>
      <c r="K262" t="s">
        <v>1310</v>
      </c>
      <c r="L262" t="s">
        <v>1309</v>
      </c>
      <c r="M262" t="s">
        <v>1309</v>
      </c>
      <c r="N262" t="s">
        <v>1309</v>
      </c>
      <c r="O262" t="s">
        <v>1309</v>
      </c>
      <c r="P262" t="s">
        <v>1309</v>
      </c>
      <c r="Q262" t="s">
        <v>1309</v>
      </c>
      <c r="R262" t="s">
        <v>1309</v>
      </c>
      <c r="U262" t="s">
        <v>1312</v>
      </c>
      <c r="V262" t="s">
        <v>1312</v>
      </c>
      <c r="W262" t="s">
        <v>1311</v>
      </c>
      <c r="X262" t="s">
        <v>1312</v>
      </c>
      <c r="Y262" t="s">
        <v>1312</v>
      </c>
      <c r="Z262" t="s">
        <v>1312</v>
      </c>
      <c r="AC262">
        <v>2</v>
      </c>
      <c r="AD262">
        <v>21000</v>
      </c>
      <c r="AE262">
        <v>17000</v>
      </c>
      <c r="AF262" t="s">
        <v>1313</v>
      </c>
      <c r="AH262" t="s">
        <v>1383</v>
      </c>
      <c r="AJ262" t="s">
        <v>1315</v>
      </c>
      <c r="AL262" t="s">
        <v>1316</v>
      </c>
      <c r="BS262" t="s">
        <v>1319</v>
      </c>
      <c r="BT262" t="s">
        <v>2507</v>
      </c>
      <c r="BU262" t="s">
        <v>1309</v>
      </c>
      <c r="BV262" t="s">
        <v>1309</v>
      </c>
      <c r="BW262" t="s">
        <v>1309</v>
      </c>
      <c r="BX262" t="s">
        <v>1309</v>
      </c>
      <c r="BY262" t="s">
        <v>1309</v>
      </c>
      <c r="BZ262" t="s">
        <v>1310</v>
      </c>
      <c r="CA262" t="s">
        <v>1309</v>
      </c>
      <c r="CB262" t="s">
        <v>1309</v>
      </c>
      <c r="CC262" t="s">
        <v>1309</v>
      </c>
      <c r="CE262" t="s">
        <v>2508</v>
      </c>
      <c r="CF262" t="s">
        <v>1309</v>
      </c>
      <c r="CG262" t="s">
        <v>1309</v>
      </c>
      <c r="CH262" t="s">
        <v>1309</v>
      </c>
      <c r="CI262" t="s">
        <v>1309</v>
      </c>
      <c r="CJ262" t="s">
        <v>1309</v>
      </c>
      <c r="CK262" t="s">
        <v>1309</v>
      </c>
      <c r="CL262" t="s">
        <v>1309</v>
      </c>
      <c r="CM262" t="s">
        <v>1310</v>
      </c>
      <c r="CN262" t="s">
        <v>1309</v>
      </c>
      <c r="CO262" t="s">
        <v>1309</v>
      </c>
      <c r="CP262" t="s">
        <v>1309</v>
      </c>
      <c r="CQ262" t="s">
        <v>1309</v>
      </c>
      <c r="CR262" t="s">
        <v>1309</v>
      </c>
      <c r="CT262" t="s">
        <v>4435</v>
      </c>
      <c r="CV262" t="s">
        <v>1357</v>
      </c>
      <c r="CW262" t="s">
        <v>1309</v>
      </c>
      <c r="CX262" t="s">
        <v>1309</v>
      </c>
      <c r="CY262" t="s">
        <v>1309</v>
      </c>
      <c r="CZ262" t="s">
        <v>1309</v>
      </c>
      <c r="DA262" t="s">
        <v>1310</v>
      </c>
      <c r="DB262" t="s">
        <v>1309</v>
      </c>
      <c r="DC262" t="s">
        <v>1309</v>
      </c>
      <c r="DE262" t="s">
        <v>1358</v>
      </c>
      <c r="DF262" t="s">
        <v>1307</v>
      </c>
      <c r="DH262">
        <v>2200</v>
      </c>
      <c r="DI262">
        <v>650</v>
      </c>
      <c r="DJ262" t="s">
        <v>1358</v>
      </c>
      <c r="DL262">
        <v>3000</v>
      </c>
      <c r="DM262">
        <v>700</v>
      </c>
      <c r="DN262" t="s">
        <v>1320</v>
      </c>
      <c r="DO262" t="s">
        <v>1310</v>
      </c>
      <c r="DP262" t="s">
        <v>1309</v>
      </c>
      <c r="DQ262" t="s">
        <v>1309</v>
      </c>
      <c r="DR262" t="s">
        <v>1309</v>
      </c>
      <c r="DS262" t="s">
        <v>1309</v>
      </c>
      <c r="DT262" t="s">
        <v>1310</v>
      </c>
      <c r="DU262" t="s">
        <v>1309</v>
      </c>
      <c r="DV262" t="s">
        <v>1309</v>
      </c>
      <c r="DW262" t="s">
        <v>1309</v>
      </c>
      <c r="DY262" t="s">
        <v>1359</v>
      </c>
      <c r="DZ262">
        <v>450</v>
      </c>
      <c r="EA262" t="s">
        <v>1319</v>
      </c>
      <c r="EC262" t="s">
        <v>1474</v>
      </c>
      <c r="ED262">
        <v>1000</v>
      </c>
      <c r="EE262" t="s">
        <v>1319</v>
      </c>
      <c r="EG262" t="s">
        <v>5356</v>
      </c>
      <c r="EI262" t="s">
        <v>1307</v>
      </c>
      <c r="ET262" t="s">
        <v>1307</v>
      </c>
      <c r="EV262" t="s">
        <v>1319</v>
      </c>
      <c r="EW262" t="s">
        <v>1421</v>
      </c>
      <c r="EX262" t="s">
        <v>1319</v>
      </c>
      <c r="FA262" t="s">
        <v>2509</v>
      </c>
      <c r="FB262" t="s">
        <v>1309</v>
      </c>
      <c r="FC262" t="s">
        <v>1309</v>
      </c>
      <c r="FD262" t="s">
        <v>1309</v>
      </c>
      <c r="FE262" t="s">
        <v>1309</v>
      </c>
      <c r="FF262" t="s">
        <v>1309</v>
      </c>
      <c r="FG262" t="s">
        <v>1310</v>
      </c>
      <c r="FH262" t="s">
        <v>1310</v>
      </c>
      <c r="FI262" t="s">
        <v>1310</v>
      </c>
      <c r="FJ262" t="s">
        <v>1309</v>
      </c>
      <c r="FK262" t="s">
        <v>1309</v>
      </c>
      <c r="FL262" t="s">
        <v>1310</v>
      </c>
      <c r="FM262" t="s">
        <v>1310</v>
      </c>
      <c r="FN262" t="s">
        <v>1309</v>
      </c>
      <c r="FO262" t="s">
        <v>1309</v>
      </c>
      <c r="FP262" t="s">
        <v>1309</v>
      </c>
      <c r="FQ262" t="s">
        <v>1309</v>
      </c>
      <c r="FR262" t="s">
        <v>1309</v>
      </c>
      <c r="FT262" t="s">
        <v>1307</v>
      </c>
      <c r="GI262" t="s">
        <v>1324</v>
      </c>
      <c r="GJ262" t="s">
        <v>1324</v>
      </c>
      <c r="GT262" t="s">
        <v>1325</v>
      </c>
      <c r="GU262" t="s">
        <v>1310</v>
      </c>
      <c r="GV262" t="s">
        <v>1309</v>
      </c>
      <c r="GW262" t="s">
        <v>1309</v>
      </c>
      <c r="GX262" t="s">
        <v>1309</v>
      </c>
      <c r="GY262" t="s">
        <v>1309</v>
      </c>
      <c r="GZ262" t="s">
        <v>1309</v>
      </c>
      <c r="HA262" t="s">
        <v>1309</v>
      </c>
      <c r="HB262" t="s">
        <v>1309</v>
      </c>
      <c r="HC262" t="s">
        <v>1309</v>
      </c>
      <c r="HD262" t="s">
        <v>1309</v>
      </c>
      <c r="HE262" t="s">
        <v>1309</v>
      </c>
      <c r="HF262" t="s">
        <v>1309</v>
      </c>
      <c r="HH262" t="s">
        <v>1390</v>
      </c>
      <c r="HI262" t="s">
        <v>1390</v>
      </c>
      <c r="HJ262" t="s">
        <v>1390</v>
      </c>
      <c r="HK262" t="s">
        <v>1327</v>
      </c>
      <c r="HL262" t="s">
        <v>1364</v>
      </c>
      <c r="HM262" t="s">
        <v>1390</v>
      </c>
      <c r="IA262" t="s">
        <v>1307</v>
      </c>
      <c r="IQ262" t="s">
        <v>1330</v>
      </c>
      <c r="IS262" t="s">
        <v>1316</v>
      </c>
      <c r="JF262" t="s">
        <v>1354</v>
      </c>
      <c r="JG262" t="s">
        <v>1507</v>
      </c>
      <c r="JH262" t="s">
        <v>1309</v>
      </c>
      <c r="JI262" t="s">
        <v>1309</v>
      </c>
      <c r="JJ262" t="s">
        <v>1310</v>
      </c>
      <c r="JK262" t="s">
        <v>1310</v>
      </c>
      <c r="JL262" t="s">
        <v>1309</v>
      </c>
      <c r="JM262" t="s">
        <v>1309</v>
      </c>
      <c r="JN262" t="s">
        <v>1309</v>
      </c>
      <c r="JO262" t="s">
        <v>1309</v>
      </c>
      <c r="JQ262" s="92" t="s">
        <v>1333</v>
      </c>
      <c r="JR262" s="92" t="s">
        <v>1334</v>
      </c>
      <c r="JS262" s="92">
        <v>32</v>
      </c>
      <c r="JT262" s="92" t="s">
        <v>1319</v>
      </c>
      <c r="JU262" s="92" t="s">
        <v>1396</v>
      </c>
      <c r="JV262" s="92" t="s">
        <v>1336</v>
      </c>
      <c r="JW262" s="92" t="s">
        <v>1296</v>
      </c>
      <c r="JX262" s="92" t="s">
        <v>71</v>
      </c>
      <c r="JY262" s="92" t="s">
        <v>5549</v>
      </c>
      <c r="JZ262" s="92" t="s">
        <v>1398</v>
      </c>
      <c r="KA262" s="92" t="s">
        <v>4845</v>
      </c>
      <c r="KB262" s="92" t="s">
        <v>1338</v>
      </c>
      <c r="KC262" s="92" t="s">
        <v>109</v>
      </c>
      <c r="KD262" s="92" t="s">
        <v>4847</v>
      </c>
      <c r="KE262" s="92" t="s">
        <v>1416</v>
      </c>
      <c r="KF262" s="92">
        <v>2850</v>
      </c>
      <c r="KG262" s="92" t="s">
        <v>4438</v>
      </c>
      <c r="KH262" s="92" t="s">
        <v>109</v>
      </c>
      <c r="KI262" s="92" t="s">
        <v>192</v>
      </c>
      <c r="KJ262" s="92" t="s">
        <v>109</v>
      </c>
      <c r="KK262" s="92" t="s">
        <v>192</v>
      </c>
      <c r="KL262" s="92" t="s">
        <v>1425</v>
      </c>
      <c r="KM262" s="92">
        <v>3700</v>
      </c>
      <c r="KN262" s="92" t="s">
        <v>4438</v>
      </c>
      <c r="KO262" s="92" t="s">
        <v>1341</v>
      </c>
      <c r="KP262" s="92" t="s">
        <v>1375</v>
      </c>
      <c r="KQ262" s="92" t="s">
        <v>109</v>
      </c>
      <c r="KR262" s="92">
        <v>16</v>
      </c>
      <c r="KS262" s="92" t="s">
        <v>1343</v>
      </c>
      <c r="KT262" s="92" t="s">
        <v>1344</v>
      </c>
      <c r="KU262" s="92">
        <v>27</v>
      </c>
      <c r="KV262" s="92" t="s">
        <v>1461</v>
      </c>
      <c r="KW262" s="92" t="s">
        <v>1344</v>
      </c>
      <c r="KX262" s="92" t="s">
        <v>1376</v>
      </c>
      <c r="KY262" s="92" t="s">
        <v>1377</v>
      </c>
      <c r="KZ262" s="92" t="s">
        <v>5795</v>
      </c>
      <c r="LA262" s="92" t="s">
        <v>109</v>
      </c>
      <c r="LB262" s="92" t="s">
        <v>109</v>
      </c>
      <c r="LC262" s="92" t="s">
        <v>4438</v>
      </c>
      <c r="LD262" s="92" t="s">
        <v>4438</v>
      </c>
      <c r="LE262" s="92" t="s">
        <v>109</v>
      </c>
      <c r="LF262" s="92" t="s">
        <v>109</v>
      </c>
    </row>
    <row r="263" spans="1:318" x14ac:dyDescent="0.25">
      <c r="A263" t="s">
        <v>2510</v>
      </c>
      <c r="B263" t="s">
        <v>2511</v>
      </c>
      <c r="C263" t="s">
        <v>1304</v>
      </c>
      <c r="D263" t="s">
        <v>1305</v>
      </c>
      <c r="E263" t="s">
        <v>1381</v>
      </c>
      <c r="G263" t="s">
        <v>1319</v>
      </c>
      <c r="H263">
        <v>4</v>
      </c>
      <c r="I263" t="s">
        <v>1358</v>
      </c>
      <c r="J263" t="s">
        <v>1614</v>
      </c>
      <c r="K263" t="s">
        <v>1309</v>
      </c>
      <c r="L263" t="s">
        <v>1310</v>
      </c>
      <c r="M263" t="s">
        <v>1310</v>
      </c>
      <c r="N263" t="s">
        <v>1309</v>
      </c>
      <c r="O263" t="s">
        <v>1310</v>
      </c>
      <c r="P263" t="s">
        <v>1309</v>
      </c>
      <c r="Q263" t="s">
        <v>1309</v>
      </c>
      <c r="R263" t="s">
        <v>1309</v>
      </c>
      <c r="S263">
        <v>1</v>
      </c>
      <c r="T263">
        <v>2</v>
      </c>
      <c r="U263" t="s">
        <v>1311</v>
      </c>
      <c r="V263" t="s">
        <v>1311</v>
      </c>
      <c r="W263" t="s">
        <v>1311</v>
      </c>
      <c r="X263" t="s">
        <v>1312</v>
      </c>
      <c r="Y263" t="s">
        <v>1312</v>
      </c>
      <c r="Z263" t="s">
        <v>1312</v>
      </c>
      <c r="AC263">
        <v>4</v>
      </c>
      <c r="AD263">
        <v>12000</v>
      </c>
      <c r="AE263">
        <v>8000</v>
      </c>
      <c r="AF263" t="s">
        <v>1313</v>
      </c>
      <c r="AH263" t="s">
        <v>1314</v>
      </c>
      <c r="AJ263" t="s">
        <v>1315</v>
      </c>
      <c r="AL263" t="s">
        <v>1354</v>
      </c>
      <c r="BS263" t="s">
        <v>1307</v>
      </c>
      <c r="CE263" t="s">
        <v>1767</v>
      </c>
      <c r="CF263" t="s">
        <v>1309</v>
      </c>
      <c r="CG263" t="s">
        <v>1309</v>
      </c>
      <c r="CH263" t="s">
        <v>1309</v>
      </c>
      <c r="CI263" t="s">
        <v>1309</v>
      </c>
      <c r="CJ263" t="s">
        <v>1310</v>
      </c>
      <c r="CK263" t="s">
        <v>1309</v>
      </c>
      <c r="CL263" t="s">
        <v>1309</v>
      </c>
      <c r="CM263" t="s">
        <v>1309</v>
      </c>
      <c r="CN263" t="s">
        <v>1309</v>
      </c>
      <c r="CO263" t="s">
        <v>1309</v>
      </c>
      <c r="CP263" t="s">
        <v>1309</v>
      </c>
      <c r="CQ263" t="s">
        <v>1309</v>
      </c>
      <c r="CR263" t="s">
        <v>1309</v>
      </c>
      <c r="CT263" t="s">
        <v>4435</v>
      </c>
      <c r="CV263" t="s">
        <v>1357</v>
      </c>
      <c r="CW263" t="s">
        <v>1309</v>
      </c>
      <c r="CX263" t="s">
        <v>1309</v>
      </c>
      <c r="CY263" t="s">
        <v>1309</v>
      </c>
      <c r="CZ263" t="s">
        <v>1309</v>
      </c>
      <c r="DA263" t="s">
        <v>1310</v>
      </c>
      <c r="DB263" t="s">
        <v>1309</v>
      </c>
      <c r="DC263" t="s">
        <v>1309</v>
      </c>
      <c r="DE263" t="s">
        <v>1358</v>
      </c>
      <c r="DF263" t="s">
        <v>1307</v>
      </c>
      <c r="DH263">
        <v>2500</v>
      </c>
      <c r="DI263">
        <v>500</v>
      </c>
      <c r="DJ263" t="s">
        <v>1358</v>
      </c>
      <c r="DL263">
        <v>3000</v>
      </c>
      <c r="DM263">
        <v>500</v>
      </c>
      <c r="DN263" t="s">
        <v>1584</v>
      </c>
      <c r="DO263" t="s">
        <v>1310</v>
      </c>
      <c r="DP263" t="s">
        <v>1309</v>
      </c>
      <c r="DQ263" t="s">
        <v>1309</v>
      </c>
      <c r="DR263" t="s">
        <v>1309</v>
      </c>
      <c r="DS263" t="s">
        <v>1310</v>
      </c>
      <c r="DT263" t="s">
        <v>1310</v>
      </c>
      <c r="DU263" t="s">
        <v>1309</v>
      </c>
      <c r="DV263" t="s">
        <v>1309</v>
      </c>
      <c r="DW263" t="s">
        <v>1309</v>
      </c>
      <c r="DY263" t="s">
        <v>1359</v>
      </c>
      <c r="DZ263">
        <v>400</v>
      </c>
      <c r="EA263" t="s">
        <v>1319</v>
      </c>
      <c r="EC263" t="s">
        <v>1360</v>
      </c>
      <c r="ED263">
        <v>900</v>
      </c>
      <c r="EE263" t="s">
        <v>1319</v>
      </c>
      <c r="EG263" t="s">
        <v>5356</v>
      </c>
      <c r="EI263" t="s">
        <v>1307</v>
      </c>
      <c r="ET263" t="s">
        <v>1307</v>
      </c>
      <c r="EV263" t="s">
        <v>1319</v>
      </c>
      <c r="EW263" t="s">
        <v>1421</v>
      </c>
      <c r="EX263" t="s">
        <v>1319</v>
      </c>
      <c r="FA263" t="s">
        <v>2512</v>
      </c>
      <c r="FB263" t="s">
        <v>1309</v>
      </c>
      <c r="FC263" t="s">
        <v>1309</v>
      </c>
      <c r="FD263" t="s">
        <v>1309</v>
      </c>
      <c r="FE263" t="s">
        <v>1310</v>
      </c>
      <c r="FF263" t="s">
        <v>1309</v>
      </c>
      <c r="FG263" t="s">
        <v>1310</v>
      </c>
      <c r="FH263" t="s">
        <v>1310</v>
      </c>
      <c r="FI263" t="s">
        <v>1310</v>
      </c>
      <c r="FJ263" t="s">
        <v>1309</v>
      </c>
      <c r="FK263" t="s">
        <v>1309</v>
      </c>
      <c r="FL263" t="s">
        <v>1309</v>
      </c>
      <c r="FM263" t="s">
        <v>1310</v>
      </c>
      <c r="FN263" t="s">
        <v>1310</v>
      </c>
      <c r="FO263" t="s">
        <v>1310</v>
      </c>
      <c r="FP263" t="s">
        <v>1309</v>
      </c>
      <c r="FQ263" t="s">
        <v>1309</v>
      </c>
      <c r="FR263" t="s">
        <v>1309</v>
      </c>
      <c r="FT263" t="s">
        <v>1319</v>
      </c>
      <c r="FU263" t="s">
        <v>2463</v>
      </c>
      <c r="FV263" t="s">
        <v>1309</v>
      </c>
      <c r="FW263" t="s">
        <v>1309</v>
      </c>
      <c r="FX263" t="s">
        <v>1309</v>
      </c>
      <c r="FY263" t="s">
        <v>1309</v>
      </c>
      <c r="FZ263" t="s">
        <v>1309</v>
      </c>
      <c r="GA263" t="s">
        <v>1310</v>
      </c>
      <c r="GB263" t="s">
        <v>1309</v>
      </c>
      <c r="GC263" t="s">
        <v>1309</v>
      </c>
      <c r="GD263" t="s">
        <v>1310</v>
      </c>
      <c r="GE263" t="s">
        <v>1309</v>
      </c>
      <c r="GF263" t="s">
        <v>1309</v>
      </c>
      <c r="GG263" t="s">
        <v>1309</v>
      </c>
      <c r="GI263" t="s">
        <v>1436</v>
      </c>
      <c r="GJ263" t="s">
        <v>1436</v>
      </c>
      <c r="GK263" t="s">
        <v>1319</v>
      </c>
      <c r="GL263" t="s">
        <v>1619</v>
      </c>
      <c r="GM263" t="s">
        <v>1310</v>
      </c>
      <c r="GN263" t="s">
        <v>1309</v>
      </c>
      <c r="GO263" t="s">
        <v>1309</v>
      </c>
      <c r="GP263" t="s">
        <v>1309</v>
      </c>
      <c r="GQ263" t="s">
        <v>1309</v>
      </c>
      <c r="GR263" t="s">
        <v>1309</v>
      </c>
      <c r="GT263" t="s">
        <v>1325</v>
      </c>
      <c r="GU263" t="s">
        <v>1310</v>
      </c>
      <c r="GV263" t="s">
        <v>1309</v>
      </c>
      <c r="GW263" t="s">
        <v>1309</v>
      </c>
      <c r="GX263" t="s">
        <v>1309</v>
      </c>
      <c r="GY263" t="s">
        <v>1309</v>
      </c>
      <c r="GZ263" t="s">
        <v>1309</v>
      </c>
      <c r="HA263" t="s">
        <v>1309</v>
      </c>
      <c r="HB263" t="s">
        <v>1309</v>
      </c>
      <c r="HC263" t="s">
        <v>1309</v>
      </c>
      <c r="HD263" t="s">
        <v>1309</v>
      </c>
      <c r="HE263" t="s">
        <v>1309</v>
      </c>
      <c r="HF263" t="s">
        <v>1309</v>
      </c>
      <c r="HH263" t="s">
        <v>1363</v>
      </c>
      <c r="HI263" t="s">
        <v>1363</v>
      </c>
      <c r="HJ263" t="s">
        <v>1363</v>
      </c>
      <c r="HK263" t="s">
        <v>1327</v>
      </c>
      <c r="HL263" t="s">
        <v>1328</v>
      </c>
      <c r="HM263" t="s">
        <v>1363</v>
      </c>
      <c r="HN263" t="s">
        <v>2513</v>
      </c>
      <c r="HO263" t="s">
        <v>1310</v>
      </c>
      <c r="HP263" t="s">
        <v>1309</v>
      </c>
      <c r="HQ263" t="s">
        <v>1309</v>
      </c>
      <c r="HR263" t="s">
        <v>1309</v>
      </c>
      <c r="HS263" t="s">
        <v>1310</v>
      </c>
      <c r="HT263" t="s">
        <v>1309</v>
      </c>
      <c r="HU263" t="s">
        <v>1309</v>
      </c>
      <c r="HV263" t="s">
        <v>1310</v>
      </c>
      <c r="HW263" t="s">
        <v>1309</v>
      </c>
      <c r="HX263" t="s">
        <v>1309</v>
      </c>
      <c r="HY263" t="s">
        <v>1309</v>
      </c>
      <c r="IA263" t="s">
        <v>1414</v>
      </c>
      <c r="IQ263" t="s">
        <v>1365</v>
      </c>
      <c r="IS263" t="s">
        <v>1354</v>
      </c>
      <c r="JF263" t="s">
        <v>1354</v>
      </c>
      <c r="JG263" t="s">
        <v>1414</v>
      </c>
      <c r="JH263" t="s">
        <v>1309</v>
      </c>
      <c r="JI263" t="s">
        <v>1309</v>
      </c>
      <c r="JJ263" t="s">
        <v>1309</v>
      </c>
      <c r="JK263" t="s">
        <v>1309</v>
      </c>
      <c r="JL263" t="s">
        <v>1309</v>
      </c>
      <c r="JM263" t="s">
        <v>1309</v>
      </c>
      <c r="JN263" t="s">
        <v>1310</v>
      </c>
      <c r="JO263" t="s">
        <v>1309</v>
      </c>
      <c r="JQ263" s="92" t="s">
        <v>1333</v>
      </c>
      <c r="JR263" s="92" t="s">
        <v>1334</v>
      </c>
      <c r="JS263" s="92">
        <v>73</v>
      </c>
      <c r="JT263" s="92" t="s">
        <v>1319</v>
      </c>
      <c r="JU263" s="92" t="s">
        <v>1575</v>
      </c>
      <c r="JV263" s="92" t="s">
        <v>1336</v>
      </c>
      <c r="JW263" s="92" t="s">
        <v>1296</v>
      </c>
      <c r="JX263" s="92" t="s">
        <v>71</v>
      </c>
      <c r="JY263" s="92" t="s">
        <v>1397</v>
      </c>
      <c r="JZ263" s="92" t="s">
        <v>1369</v>
      </c>
      <c r="KA263" s="92" t="s">
        <v>4845</v>
      </c>
      <c r="KB263" s="92" t="s">
        <v>1370</v>
      </c>
      <c r="KC263" s="92" t="s">
        <v>109</v>
      </c>
      <c r="KD263" s="92" t="s">
        <v>4848</v>
      </c>
      <c r="KE263" s="92" t="s">
        <v>1371</v>
      </c>
      <c r="KF263" s="92">
        <v>3000</v>
      </c>
      <c r="KG263" s="92" t="s">
        <v>4438</v>
      </c>
      <c r="KH263" s="92" t="s">
        <v>109</v>
      </c>
      <c r="KI263" s="92" t="s">
        <v>192</v>
      </c>
      <c r="KJ263" s="92" t="s">
        <v>109</v>
      </c>
      <c r="KK263" s="92" t="s">
        <v>192</v>
      </c>
      <c r="KL263" s="92" t="s">
        <v>1425</v>
      </c>
      <c r="KM263" s="92">
        <v>3500</v>
      </c>
      <c r="KN263" s="92" t="s">
        <v>4439</v>
      </c>
      <c r="KO263" s="92" t="s">
        <v>1341</v>
      </c>
      <c r="KP263" s="92" t="s">
        <v>1375</v>
      </c>
      <c r="KQ263" s="92" t="s">
        <v>109</v>
      </c>
      <c r="KR263" s="92">
        <v>13</v>
      </c>
      <c r="KS263" s="92" t="s">
        <v>1343</v>
      </c>
      <c r="KT263" s="92" t="s">
        <v>1344</v>
      </c>
      <c r="KU263" s="92">
        <v>26</v>
      </c>
      <c r="KV263" s="92" t="s">
        <v>1461</v>
      </c>
      <c r="KW263" s="92" t="s">
        <v>1344</v>
      </c>
      <c r="KX263" s="92" t="s">
        <v>1376</v>
      </c>
      <c r="KY263" s="92" t="s">
        <v>1377</v>
      </c>
      <c r="KZ263" s="92" t="s">
        <v>1403</v>
      </c>
      <c r="LA263" s="92" t="s">
        <v>109</v>
      </c>
      <c r="LB263" s="92" t="s">
        <v>109</v>
      </c>
      <c r="LC263" s="92" t="s">
        <v>4439</v>
      </c>
      <c r="LD263" s="92" t="s">
        <v>4439</v>
      </c>
      <c r="LE263" s="92" t="s">
        <v>109</v>
      </c>
      <c r="LF263" s="92" t="s">
        <v>109</v>
      </c>
    </row>
    <row r="264" spans="1:318" x14ac:dyDescent="0.25">
      <c r="A264" t="s">
        <v>2514</v>
      </c>
      <c r="B264" t="s">
        <v>2515</v>
      </c>
      <c r="C264" t="s">
        <v>1304</v>
      </c>
      <c r="D264" t="s">
        <v>1305</v>
      </c>
      <c r="E264" t="s">
        <v>2516</v>
      </c>
      <c r="G264" t="s">
        <v>1319</v>
      </c>
      <c r="H264">
        <v>3</v>
      </c>
      <c r="I264" t="s">
        <v>1318</v>
      </c>
      <c r="J264" t="s">
        <v>1502</v>
      </c>
      <c r="K264" t="s">
        <v>1310</v>
      </c>
      <c r="L264" t="s">
        <v>1310</v>
      </c>
      <c r="M264" t="s">
        <v>1309</v>
      </c>
      <c r="N264" t="s">
        <v>1309</v>
      </c>
      <c r="O264" t="s">
        <v>1309</v>
      </c>
      <c r="P264" t="s">
        <v>1309</v>
      </c>
      <c r="Q264" t="s">
        <v>1309</v>
      </c>
      <c r="R264" t="s">
        <v>1309</v>
      </c>
      <c r="S264">
        <v>1</v>
      </c>
      <c r="U264" t="s">
        <v>1312</v>
      </c>
      <c r="V264" t="s">
        <v>1312</v>
      </c>
      <c r="W264" t="s">
        <v>1312</v>
      </c>
      <c r="X264" t="s">
        <v>1312</v>
      </c>
      <c r="Y264" t="s">
        <v>1312</v>
      </c>
      <c r="Z264" t="s">
        <v>1312</v>
      </c>
      <c r="AC264">
        <v>2</v>
      </c>
      <c r="AD264">
        <v>10000</v>
      </c>
      <c r="AE264">
        <v>7000</v>
      </c>
      <c r="AF264" t="s">
        <v>1313</v>
      </c>
      <c r="AH264" t="s">
        <v>1314</v>
      </c>
      <c r="AJ264" t="s">
        <v>1315</v>
      </c>
      <c r="AL264" t="s">
        <v>1354</v>
      </c>
      <c r="BS264" t="s">
        <v>1307</v>
      </c>
      <c r="CE264" t="s">
        <v>1590</v>
      </c>
      <c r="CF264" t="s">
        <v>1310</v>
      </c>
      <c r="CG264" t="s">
        <v>1309</v>
      </c>
      <c r="CH264" t="s">
        <v>1309</v>
      </c>
      <c r="CI264" t="s">
        <v>1309</v>
      </c>
      <c r="CJ264" t="s">
        <v>1309</v>
      </c>
      <c r="CK264" t="s">
        <v>1309</v>
      </c>
      <c r="CL264" t="s">
        <v>1309</v>
      </c>
      <c r="CM264" t="s">
        <v>1309</v>
      </c>
      <c r="CN264" t="s">
        <v>1310</v>
      </c>
      <c r="CO264" t="s">
        <v>1309</v>
      </c>
      <c r="CP264" t="s">
        <v>1309</v>
      </c>
      <c r="CQ264" t="s">
        <v>1309</v>
      </c>
      <c r="CR264" t="s">
        <v>1309</v>
      </c>
      <c r="CT264" t="s">
        <v>4435</v>
      </c>
      <c r="CV264" t="s">
        <v>1357</v>
      </c>
      <c r="CW264" t="s">
        <v>1309</v>
      </c>
      <c r="CX264" t="s">
        <v>1309</v>
      </c>
      <c r="CY264" t="s">
        <v>1309</v>
      </c>
      <c r="CZ264" t="s">
        <v>1309</v>
      </c>
      <c r="DA264" t="s">
        <v>1310</v>
      </c>
      <c r="DB264" t="s">
        <v>1309</v>
      </c>
      <c r="DC264" t="s">
        <v>1309</v>
      </c>
      <c r="DE264" t="s">
        <v>1358</v>
      </c>
      <c r="DF264" t="s">
        <v>1307</v>
      </c>
      <c r="DH264">
        <v>1700</v>
      </c>
      <c r="DI264">
        <v>700</v>
      </c>
      <c r="DJ264" t="s">
        <v>1358</v>
      </c>
      <c r="DL264">
        <v>2200</v>
      </c>
      <c r="DM264">
        <v>700</v>
      </c>
      <c r="DN264" t="s">
        <v>1320</v>
      </c>
      <c r="DO264" t="s">
        <v>1310</v>
      </c>
      <c r="DP264" t="s">
        <v>1309</v>
      </c>
      <c r="DQ264" t="s">
        <v>1309</v>
      </c>
      <c r="DR264" t="s">
        <v>1309</v>
      </c>
      <c r="DS264" t="s">
        <v>1309</v>
      </c>
      <c r="DT264" t="s">
        <v>1310</v>
      </c>
      <c r="DU264" t="s">
        <v>1309</v>
      </c>
      <c r="DV264" t="s">
        <v>1309</v>
      </c>
      <c r="DW264" t="s">
        <v>1309</v>
      </c>
      <c r="DY264" t="s">
        <v>1456</v>
      </c>
      <c r="DZ264">
        <v>350</v>
      </c>
      <c r="EA264" t="s">
        <v>1319</v>
      </c>
      <c r="EC264" t="s">
        <v>1457</v>
      </c>
      <c r="ED264">
        <v>500</v>
      </c>
      <c r="EE264" t="s">
        <v>1319</v>
      </c>
      <c r="EG264" t="s">
        <v>5357</v>
      </c>
      <c r="ET264" t="s">
        <v>1307</v>
      </c>
      <c r="EV264" t="s">
        <v>1319</v>
      </c>
      <c r="EW264" t="s">
        <v>1421</v>
      </c>
      <c r="EX264" t="s">
        <v>1307</v>
      </c>
      <c r="FT264" t="s">
        <v>1319</v>
      </c>
      <c r="FU264" t="s">
        <v>2469</v>
      </c>
      <c r="FV264" t="s">
        <v>1309</v>
      </c>
      <c r="FW264" t="s">
        <v>1309</v>
      </c>
      <c r="FX264" t="s">
        <v>1309</v>
      </c>
      <c r="FY264" t="s">
        <v>1309</v>
      </c>
      <c r="FZ264" t="s">
        <v>1309</v>
      </c>
      <c r="GA264" t="s">
        <v>1309</v>
      </c>
      <c r="GB264" t="s">
        <v>1309</v>
      </c>
      <c r="GC264" t="s">
        <v>1309</v>
      </c>
      <c r="GD264" t="s">
        <v>1310</v>
      </c>
      <c r="GE264" t="s">
        <v>1309</v>
      </c>
      <c r="GF264" t="s">
        <v>1309</v>
      </c>
      <c r="GG264" t="s">
        <v>1309</v>
      </c>
      <c r="GI264" t="s">
        <v>1324</v>
      </c>
      <c r="GJ264" t="s">
        <v>1324</v>
      </c>
      <c r="GT264" t="s">
        <v>1325</v>
      </c>
      <c r="GU264" t="s">
        <v>1310</v>
      </c>
      <c r="GV264" t="s">
        <v>1309</v>
      </c>
      <c r="GW264" t="s">
        <v>1309</v>
      </c>
      <c r="GX264" t="s">
        <v>1309</v>
      </c>
      <c r="GY264" t="s">
        <v>1309</v>
      </c>
      <c r="GZ264" t="s">
        <v>1309</v>
      </c>
      <c r="HA264" t="s">
        <v>1309</v>
      </c>
      <c r="HB264" t="s">
        <v>1309</v>
      </c>
      <c r="HC264" t="s">
        <v>1309</v>
      </c>
      <c r="HD264" t="s">
        <v>1309</v>
      </c>
      <c r="HE264" t="s">
        <v>1309</v>
      </c>
      <c r="HF264" t="s">
        <v>1309</v>
      </c>
      <c r="HH264" t="s">
        <v>1390</v>
      </c>
      <c r="HI264" t="s">
        <v>1390</v>
      </c>
      <c r="HJ264" t="s">
        <v>1390</v>
      </c>
      <c r="HK264" t="s">
        <v>1327</v>
      </c>
      <c r="HL264" t="s">
        <v>1364</v>
      </c>
      <c r="HM264" t="s">
        <v>1390</v>
      </c>
      <c r="IA264" t="s">
        <v>1319</v>
      </c>
      <c r="IB264" t="s">
        <v>1870</v>
      </c>
      <c r="IC264" t="s">
        <v>1309</v>
      </c>
      <c r="ID264" t="s">
        <v>1309</v>
      </c>
      <c r="IE264" t="s">
        <v>1309</v>
      </c>
      <c r="IF264" t="s">
        <v>1310</v>
      </c>
      <c r="IG264" t="s">
        <v>1310</v>
      </c>
      <c r="IH264" t="s">
        <v>1309</v>
      </c>
      <c r="II264" t="s">
        <v>1309</v>
      </c>
      <c r="IJ264" t="s">
        <v>1309</v>
      </c>
      <c r="IK264" t="s">
        <v>1309</v>
      </c>
      <c r="IL264" t="s">
        <v>1309</v>
      </c>
      <c r="IM264" t="s">
        <v>1309</v>
      </c>
      <c r="IN264" t="s">
        <v>1309</v>
      </c>
      <c r="IO264" t="s">
        <v>1309</v>
      </c>
      <c r="IQ264" t="s">
        <v>1365</v>
      </c>
      <c r="IS264" t="s">
        <v>1316</v>
      </c>
      <c r="JF264" t="s">
        <v>1316</v>
      </c>
      <c r="JG264" t="s">
        <v>1414</v>
      </c>
      <c r="JH264" t="s">
        <v>1309</v>
      </c>
      <c r="JI264" t="s">
        <v>1309</v>
      </c>
      <c r="JJ264" t="s">
        <v>1309</v>
      </c>
      <c r="JK264" t="s">
        <v>1309</v>
      </c>
      <c r="JL264" t="s">
        <v>1309</v>
      </c>
      <c r="JM264" t="s">
        <v>1309</v>
      </c>
      <c r="JN264" t="s">
        <v>1310</v>
      </c>
      <c r="JO264" t="s">
        <v>1309</v>
      </c>
      <c r="JQ264" s="92" t="s">
        <v>1333</v>
      </c>
      <c r="JR264" s="92" t="s">
        <v>1334</v>
      </c>
      <c r="JS264" s="92">
        <v>27</v>
      </c>
      <c r="JT264" s="92" t="s">
        <v>1319</v>
      </c>
      <c r="JU264" s="92" t="s">
        <v>1575</v>
      </c>
      <c r="JV264" s="92" t="s">
        <v>1336</v>
      </c>
      <c r="JW264" s="92" t="s">
        <v>1296</v>
      </c>
      <c r="JX264" s="92" t="s">
        <v>71</v>
      </c>
      <c r="JY264" s="92" t="s">
        <v>5549</v>
      </c>
      <c r="JZ264" s="92" t="s">
        <v>1398</v>
      </c>
      <c r="KA264" s="92" t="s">
        <v>4845</v>
      </c>
      <c r="KB264" s="92" t="s">
        <v>1415</v>
      </c>
      <c r="KC264" s="92" t="s">
        <v>109</v>
      </c>
      <c r="KD264" s="92" t="s">
        <v>4847</v>
      </c>
      <c r="KE264" s="92" t="s">
        <v>1424</v>
      </c>
      <c r="KF264" s="92">
        <v>2400</v>
      </c>
      <c r="KG264" s="92" t="s">
        <v>4438</v>
      </c>
      <c r="KH264" s="92" t="s">
        <v>109</v>
      </c>
      <c r="KI264" s="92" t="s">
        <v>192</v>
      </c>
      <c r="KJ264" s="92" t="s">
        <v>109</v>
      </c>
      <c r="KK264" s="92" t="s">
        <v>192</v>
      </c>
      <c r="KL264" s="92" t="s">
        <v>1425</v>
      </c>
      <c r="KM264" s="92">
        <v>2900</v>
      </c>
      <c r="KN264" s="92" t="s">
        <v>4439</v>
      </c>
      <c r="KO264" s="92" t="s">
        <v>1425</v>
      </c>
      <c r="KP264" s="92" t="s">
        <v>1375</v>
      </c>
      <c r="KQ264" s="92" t="s">
        <v>109</v>
      </c>
      <c r="KR264" s="92">
        <v>15</v>
      </c>
      <c r="KS264" s="92" t="s">
        <v>1343</v>
      </c>
      <c r="KT264" s="92" t="s">
        <v>1344</v>
      </c>
      <c r="KU264" s="92">
        <v>17</v>
      </c>
      <c r="KV264" s="92" t="s">
        <v>1345</v>
      </c>
      <c r="KW264" s="92" t="s">
        <v>1344</v>
      </c>
      <c r="KX264" s="92" t="s">
        <v>1376</v>
      </c>
      <c r="KY264" s="92" t="s">
        <v>1377</v>
      </c>
      <c r="KZ264" s="92" t="s">
        <v>1378</v>
      </c>
      <c r="LA264" s="92" t="s">
        <v>109</v>
      </c>
      <c r="LB264" s="92" t="s">
        <v>109</v>
      </c>
      <c r="LC264" s="92" t="s">
        <v>4439</v>
      </c>
      <c r="LD264" s="92" t="s">
        <v>4439</v>
      </c>
      <c r="LE264" s="92" t="s">
        <v>109</v>
      </c>
      <c r="LF264" s="92" t="s">
        <v>109</v>
      </c>
    </row>
    <row r="265" spans="1:318" x14ac:dyDescent="0.25">
      <c r="A265" t="s">
        <v>2517</v>
      </c>
      <c r="B265" t="s">
        <v>2518</v>
      </c>
      <c r="C265" t="s">
        <v>1304</v>
      </c>
      <c r="D265" t="s">
        <v>1305</v>
      </c>
      <c r="E265" t="s">
        <v>2516</v>
      </c>
      <c r="G265" t="s">
        <v>1319</v>
      </c>
      <c r="H265">
        <v>3</v>
      </c>
      <c r="I265" t="s">
        <v>1318</v>
      </c>
      <c r="J265" t="s">
        <v>2519</v>
      </c>
      <c r="K265" t="s">
        <v>1309</v>
      </c>
      <c r="L265" t="s">
        <v>1310</v>
      </c>
      <c r="M265" t="s">
        <v>1310</v>
      </c>
      <c r="N265" t="s">
        <v>1310</v>
      </c>
      <c r="O265" t="s">
        <v>1310</v>
      </c>
      <c r="P265" t="s">
        <v>1309</v>
      </c>
      <c r="Q265" t="s">
        <v>1309</v>
      </c>
      <c r="R265" t="s">
        <v>1309</v>
      </c>
      <c r="S265">
        <v>1</v>
      </c>
      <c r="T265">
        <v>1</v>
      </c>
      <c r="U265" t="s">
        <v>1311</v>
      </c>
      <c r="V265" t="s">
        <v>1312</v>
      </c>
      <c r="W265" t="s">
        <v>1311</v>
      </c>
      <c r="X265" t="s">
        <v>1312</v>
      </c>
      <c r="Y265" t="s">
        <v>1312</v>
      </c>
      <c r="Z265" t="s">
        <v>1312</v>
      </c>
      <c r="AA265">
        <v>1</v>
      </c>
      <c r="AB265">
        <v>1</v>
      </c>
      <c r="AC265">
        <v>2</v>
      </c>
      <c r="AD265">
        <v>12000</v>
      </c>
      <c r="AE265">
        <v>8000</v>
      </c>
      <c r="AF265" t="s">
        <v>1313</v>
      </c>
      <c r="AH265" t="s">
        <v>1536</v>
      </c>
      <c r="AJ265" t="s">
        <v>1315</v>
      </c>
      <c r="AL265" t="s">
        <v>1316</v>
      </c>
      <c r="BS265" t="s">
        <v>1307</v>
      </c>
      <c r="CE265" t="s">
        <v>1355</v>
      </c>
      <c r="CF265" t="s">
        <v>1309</v>
      </c>
      <c r="CG265" t="s">
        <v>1309</v>
      </c>
      <c r="CH265" t="s">
        <v>1309</v>
      </c>
      <c r="CI265" t="s">
        <v>1309</v>
      </c>
      <c r="CJ265" t="s">
        <v>1309</v>
      </c>
      <c r="CK265" t="s">
        <v>1309</v>
      </c>
      <c r="CL265" t="s">
        <v>1309</v>
      </c>
      <c r="CM265" t="s">
        <v>1309</v>
      </c>
      <c r="CN265" t="s">
        <v>1310</v>
      </c>
      <c r="CO265" t="s">
        <v>1309</v>
      </c>
      <c r="CP265" t="s">
        <v>1309</v>
      </c>
      <c r="CQ265" t="s">
        <v>1309</v>
      </c>
      <c r="CR265" t="s">
        <v>1309</v>
      </c>
      <c r="CT265" t="s">
        <v>4435</v>
      </c>
      <c r="CV265" t="s">
        <v>1308</v>
      </c>
      <c r="CW265" t="s">
        <v>1310</v>
      </c>
      <c r="CX265" t="s">
        <v>1309</v>
      </c>
      <c r="CY265" t="s">
        <v>1309</v>
      </c>
      <c r="CZ265" t="s">
        <v>1309</v>
      </c>
      <c r="DA265" t="s">
        <v>1309</v>
      </c>
      <c r="DB265" t="s">
        <v>1309</v>
      </c>
      <c r="DC265" t="s">
        <v>1309</v>
      </c>
      <c r="DE265" t="s">
        <v>1358</v>
      </c>
      <c r="DF265" t="s">
        <v>1319</v>
      </c>
      <c r="DG265">
        <v>200</v>
      </c>
      <c r="DH265">
        <v>2000</v>
      </c>
      <c r="DI265">
        <v>450</v>
      </c>
      <c r="DJ265" t="s">
        <v>1358</v>
      </c>
      <c r="DK265">
        <v>200</v>
      </c>
      <c r="DL265">
        <v>2500</v>
      </c>
      <c r="DM265">
        <v>500</v>
      </c>
      <c r="DN265" t="s">
        <v>1672</v>
      </c>
      <c r="DO265" t="s">
        <v>1310</v>
      </c>
      <c r="DP265" t="s">
        <v>1309</v>
      </c>
      <c r="DQ265" t="s">
        <v>1309</v>
      </c>
      <c r="DR265" t="s">
        <v>1309</v>
      </c>
      <c r="DS265" t="s">
        <v>1309</v>
      </c>
      <c r="DT265" t="s">
        <v>1310</v>
      </c>
      <c r="DU265" t="s">
        <v>1309</v>
      </c>
      <c r="DV265" t="s">
        <v>1309</v>
      </c>
      <c r="DW265" t="s">
        <v>1309</v>
      </c>
      <c r="DY265" t="s">
        <v>1456</v>
      </c>
      <c r="DZ265">
        <v>400</v>
      </c>
      <c r="EA265" t="s">
        <v>1319</v>
      </c>
      <c r="EC265" t="s">
        <v>1457</v>
      </c>
      <c r="ED265">
        <v>700</v>
      </c>
      <c r="EE265" t="s">
        <v>1319</v>
      </c>
      <c r="EG265" t="s">
        <v>5357</v>
      </c>
      <c r="ET265" t="s">
        <v>1307</v>
      </c>
      <c r="EV265" t="s">
        <v>1319</v>
      </c>
      <c r="EW265" t="s">
        <v>1409</v>
      </c>
      <c r="EX265" t="s">
        <v>1319</v>
      </c>
      <c r="EY265" t="s">
        <v>1307</v>
      </c>
      <c r="FA265" t="s">
        <v>2520</v>
      </c>
      <c r="FB265" t="s">
        <v>1309</v>
      </c>
      <c r="FC265" t="s">
        <v>1309</v>
      </c>
      <c r="FD265" t="s">
        <v>1309</v>
      </c>
      <c r="FE265" t="s">
        <v>1310</v>
      </c>
      <c r="FF265" t="s">
        <v>1309</v>
      </c>
      <c r="FG265" t="s">
        <v>1309</v>
      </c>
      <c r="FH265" t="s">
        <v>1309</v>
      </c>
      <c r="FI265" t="s">
        <v>1310</v>
      </c>
      <c r="FJ265" t="s">
        <v>1309</v>
      </c>
      <c r="FK265" t="s">
        <v>1309</v>
      </c>
      <c r="FL265" t="s">
        <v>1309</v>
      </c>
      <c r="FM265" t="s">
        <v>1310</v>
      </c>
      <c r="FN265" t="s">
        <v>1310</v>
      </c>
      <c r="FO265" t="s">
        <v>1309</v>
      </c>
      <c r="FP265" t="s">
        <v>1309</v>
      </c>
      <c r="FQ265" t="s">
        <v>1309</v>
      </c>
      <c r="FR265" t="s">
        <v>1309</v>
      </c>
      <c r="FT265" t="s">
        <v>1319</v>
      </c>
      <c r="FU265" t="s">
        <v>2463</v>
      </c>
      <c r="FV265" t="s">
        <v>1309</v>
      </c>
      <c r="FW265" t="s">
        <v>1309</v>
      </c>
      <c r="FX265" t="s">
        <v>1309</v>
      </c>
      <c r="FY265" t="s">
        <v>1309</v>
      </c>
      <c r="FZ265" t="s">
        <v>1309</v>
      </c>
      <c r="GA265" t="s">
        <v>1310</v>
      </c>
      <c r="GB265" t="s">
        <v>1309</v>
      </c>
      <c r="GC265" t="s">
        <v>1309</v>
      </c>
      <c r="GD265" t="s">
        <v>1310</v>
      </c>
      <c r="GE265" t="s">
        <v>1309</v>
      </c>
      <c r="GF265" t="s">
        <v>1309</v>
      </c>
      <c r="GG265" t="s">
        <v>1309</v>
      </c>
      <c r="GI265" t="s">
        <v>1324</v>
      </c>
      <c r="GJ265" t="s">
        <v>1324</v>
      </c>
      <c r="GT265" t="s">
        <v>1325</v>
      </c>
      <c r="GU265" t="s">
        <v>1310</v>
      </c>
      <c r="GV265" t="s">
        <v>1309</v>
      </c>
      <c r="GW265" t="s">
        <v>1309</v>
      </c>
      <c r="GX265" t="s">
        <v>1309</v>
      </c>
      <c r="GY265" t="s">
        <v>1309</v>
      </c>
      <c r="GZ265" t="s">
        <v>1309</v>
      </c>
      <c r="HA265" t="s">
        <v>1309</v>
      </c>
      <c r="HB265" t="s">
        <v>1309</v>
      </c>
      <c r="HC265" t="s">
        <v>1309</v>
      </c>
      <c r="HD265" t="s">
        <v>1309</v>
      </c>
      <c r="HE265" t="s">
        <v>1309</v>
      </c>
      <c r="HF265" t="s">
        <v>1309</v>
      </c>
      <c r="HH265" t="s">
        <v>1390</v>
      </c>
      <c r="HI265" t="s">
        <v>1390</v>
      </c>
      <c r="HJ265" t="s">
        <v>1390</v>
      </c>
      <c r="HK265" t="s">
        <v>1327</v>
      </c>
      <c r="HL265" t="s">
        <v>1328</v>
      </c>
      <c r="HM265" t="s">
        <v>1390</v>
      </c>
      <c r="HN265" t="s">
        <v>1626</v>
      </c>
      <c r="HO265" t="s">
        <v>1310</v>
      </c>
      <c r="HP265" t="s">
        <v>1309</v>
      </c>
      <c r="HQ265" t="s">
        <v>1309</v>
      </c>
      <c r="HR265" t="s">
        <v>1309</v>
      </c>
      <c r="HS265" t="s">
        <v>1309</v>
      </c>
      <c r="HT265" t="s">
        <v>1309</v>
      </c>
      <c r="HU265" t="s">
        <v>1309</v>
      </c>
      <c r="HV265" t="s">
        <v>1309</v>
      </c>
      <c r="HW265" t="s">
        <v>1309</v>
      </c>
      <c r="HX265" t="s">
        <v>1309</v>
      </c>
      <c r="HY265" t="s">
        <v>1309</v>
      </c>
      <c r="IA265" t="s">
        <v>1307</v>
      </c>
      <c r="IQ265" t="s">
        <v>1365</v>
      </c>
      <c r="IS265" t="s">
        <v>1316</v>
      </c>
      <c r="JF265" t="s">
        <v>1316</v>
      </c>
      <c r="JG265" t="s">
        <v>1393</v>
      </c>
      <c r="JH265" t="s">
        <v>1310</v>
      </c>
      <c r="JI265" t="s">
        <v>1309</v>
      </c>
      <c r="JJ265" t="s">
        <v>1309</v>
      </c>
      <c r="JK265" t="s">
        <v>1309</v>
      </c>
      <c r="JL265" t="s">
        <v>1309</v>
      </c>
      <c r="JM265" t="s">
        <v>1309</v>
      </c>
      <c r="JN265" t="s">
        <v>1309</v>
      </c>
      <c r="JO265" t="s">
        <v>1309</v>
      </c>
      <c r="JQ265" s="92" t="s">
        <v>1333</v>
      </c>
      <c r="JR265" s="92" t="s">
        <v>1334</v>
      </c>
      <c r="JS265" s="92">
        <v>39</v>
      </c>
      <c r="JT265" s="92" t="s">
        <v>1319</v>
      </c>
      <c r="JU265" s="92" t="s">
        <v>1575</v>
      </c>
      <c r="JV265" s="92" t="s">
        <v>1336</v>
      </c>
      <c r="JW265" s="92" t="s">
        <v>1296</v>
      </c>
      <c r="JX265" s="92" t="s">
        <v>71</v>
      </c>
      <c r="JY265" s="92" t="s">
        <v>5549</v>
      </c>
      <c r="JZ265" s="92" t="s">
        <v>1337</v>
      </c>
      <c r="KA265" s="92" t="s">
        <v>4845</v>
      </c>
      <c r="KB265" s="92" t="s">
        <v>1370</v>
      </c>
      <c r="KC265" s="92" t="s">
        <v>109</v>
      </c>
      <c r="KD265" s="92" t="s">
        <v>4847</v>
      </c>
      <c r="KE265" s="92" t="s">
        <v>1371</v>
      </c>
      <c r="KF265" s="92">
        <v>2650</v>
      </c>
      <c r="KG265" s="92" t="s">
        <v>4438</v>
      </c>
      <c r="KH265" s="92" t="s">
        <v>192</v>
      </c>
      <c r="KI265" s="92" t="s">
        <v>192</v>
      </c>
      <c r="KJ265" s="92" t="s">
        <v>192</v>
      </c>
      <c r="KK265" s="92" t="s">
        <v>192</v>
      </c>
      <c r="KL265" s="92" t="s">
        <v>1425</v>
      </c>
      <c r="KM265" s="92">
        <v>3200</v>
      </c>
      <c r="KN265" s="92" t="s">
        <v>4439</v>
      </c>
      <c r="KO265" s="92" t="s">
        <v>1341</v>
      </c>
      <c r="KP265" s="92" t="s">
        <v>1342</v>
      </c>
      <c r="KQ265" s="92" t="s">
        <v>192</v>
      </c>
      <c r="KR265" s="92">
        <v>15</v>
      </c>
      <c r="KS265" s="92" t="s">
        <v>1343</v>
      </c>
      <c r="KT265" s="92" t="s">
        <v>1344</v>
      </c>
      <c r="KU265" s="92">
        <v>22</v>
      </c>
      <c r="KV265" s="92" t="s">
        <v>1441</v>
      </c>
      <c r="KW265" s="92" t="s">
        <v>1344</v>
      </c>
      <c r="KX265" s="92" t="s">
        <v>1376</v>
      </c>
      <c r="KY265" s="92" t="s">
        <v>1377</v>
      </c>
      <c r="KZ265" s="92" t="s">
        <v>1378</v>
      </c>
      <c r="LA265" s="92" t="s">
        <v>192</v>
      </c>
      <c r="LB265" s="92" t="s">
        <v>192</v>
      </c>
      <c r="LC265" s="92" t="s">
        <v>4438</v>
      </c>
      <c r="LD265" s="92" t="s">
        <v>4439</v>
      </c>
      <c r="LE265" s="92" t="s">
        <v>109</v>
      </c>
      <c r="LF265" s="92" t="s">
        <v>109</v>
      </c>
    </row>
    <row r="266" spans="1:318" x14ac:dyDescent="0.25">
      <c r="A266" t="s">
        <v>2521</v>
      </c>
      <c r="B266" t="s">
        <v>2522</v>
      </c>
      <c r="C266" t="s">
        <v>1304</v>
      </c>
      <c r="D266" t="s">
        <v>1429</v>
      </c>
      <c r="E266" t="s">
        <v>1306</v>
      </c>
      <c r="G266" t="s">
        <v>1307</v>
      </c>
      <c r="H266">
        <v>5</v>
      </c>
      <c r="I266" t="s">
        <v>1307</v>
      </c>
      <c r="J266" t="s">
        <v>1406</v>
      </c>
      <c r="K266" t="s">
        <v>1309</v>
      </c>
      <c r="L266" t="s">
        <v>1310</v>
      </c>
      <c r="M266" t="s">
        <v>1309</v>
      </c>
      <c r="N266" t="s">
        <v>1309</v>
      </c>
      <c r="O266" t="s">
        <v>1309</v>
      </c>
      <c r="P266" t="s">
        <v>1309</v>
      </c>
      <c r="Q266" t="s">
        <v>1309</v>
      </c>
      <c r="R266" t="s">
        <v>1309</v>
      </c>
      <c r="S266">
        <v>2</v>
      </c>
      <c r="U266" t="s">
        <v>1311</v>
      </c>
      <c r="V266" t="s">
        <v>1311</v>
      </c>
      <c r="W266" t="s">
        <v>1312</v>
      </c>
      <c r="X266" t="s">
        <v>1312</v>
      </c>
      <c r="Y266" t="s">
        <v>1312</v>
      </c>
      <c r="Z266" t="s">
        <v>1312</v>
      </c>
      <c r="AC266">
        <v>2</v>
      </c>
      <c r="AE266">
        <v>18000</v>
      </c>
      <c r="AF266" t="s">
        <v>2222</v>
      </c>
      <c r="AH266" t="s">
        <v>1383</v>
      </c>
      <c r="AJ266" t="s">
        <v>1315</v>
      </c>
      <c r="AL266" t="s">
        <v>1316</v>
      </c>
      <c r="BS266" t="s">
        <v>1307</v>
      </c>
      <c r="CE266" t="s">
        <v>1605</v>
      </c>
      <c r="CF266" t="s">
        <v>1310</v>
      </c>
      <c r="CG266" t="s">
        <v>1309</v>
      </c>
      <c r="CH266" t="s">
        <v>1309</v>
      </c>
      <c r="CI266" t="s">
        <v>1309</v>
      </c>
      <c r="CJ266" t="s">
        <v>1309</v>
      </c>
      <c r="CK266" t="s">
        <v>1309</v>
      </c>
      <c r="CL266" t="s">
        <v>1309</v>
      </c>
      <c r="CM266" t="s">
        <v>1309</v>
      </c>
      <c r="CN266" t="s">
        <v>1310</v>
      </c>
      <c r="CO266" t="s">
        <v>1310</v>
      </c>
      <c r="CP266" t="s">
        <v>1309</v>
      </c>
      <c r="CQ266" t="s">
        <v>1309</v>
      </c>
      <c r="CR266" t="s">
        <v>1309</v>
      </c>
      <c r="CT266" t="s">
        <v>4434</v>
      </c>
      <c r="CV266" t="s">
        <v>1357</v>
      </c>
      <c r="CW266" t="s">
        <v>1309</v>
      </c>
      <c r="CX266" t="s">
        <v>1309</v>
      </c>
      <c r="CY266" t="s">
        <v>1309</v>
      </c>
      <c r="CZ266" t="s">
        <v>1309</v>
      </c>
      <c r="DA266" t="s">
        <v>1310</v>
      </c>
      <c r="DB266" t="s">
        <v>1309</v>
      </c>
      <c r="DC266" t="s">
        <v>1309</v>
      </c>
      <c r="DE266" t="s">
        <v>1318</v>
      </c>
      <c r="DG266">
        <v>3000</v>
      </c>
      <c r="DI266">
        <v>850</v>
      </c>
      <c r="DJ266" t="s">
        <v>1318</v>
      </c>
      <c r="DK266">
        <v>3800</v>
      </c>
      <c r="DM266">
        <v>900</v>
      </c>
      <c r="DN266" t="s">
        <v>1647</v>
      </c>
      <c r="DO266" t="s">
        <v>1310</v>
      </c>
      <c r="DP266" t="s">
        <v>1309</v>
      </c>
      <c r="DQ266" t="s">
        <v>1309</v>
      </c>
      <c r="DR266" t="s">
        <v>1310</v>
      </c>
      <c r="DS266" t="s">
        <v>1309</v>
      </c>
      <c r="DT266" t="s">
        <v>1310</v>
      </c>
      <c r="DU266" t="s">
        <v>1309</v>
      </c>
      <c r="DV266" t="s">
        <v>1309</v>
      </c>
      <c r="DW266" t="s">
        <v>1309</v>
      </c>
      <c r="DY266" t="s">
        <v>1408</v>
      </c>
      <c r="DZ266">
        <v>500</v>
      </c>
      <c r="EA266" t="s">
        <v>1319</v>
      </c>
      <c r="EC266" t="s">
        <v>1420</v>
      </c>
      <c r="ED266">
        <v>1000</v>
      </c>
      <c r="EE266" t="s">
        <v>1319</v>
      </c>
      <c r="EG266" t="s">
        <v>5357</v>
      </c>
      <c r="ET266" t="s">
        <v>1307</v>
      </c>
      <c r="EV266" t="s">
        <v>1319</v>
      </c>
      <c r="EW266" t="s">
        <v>1409</v>
      </c>
      <c r="EX266" t="s">
        <v>1319</v>
      </c>
      <c r="EY266" t="s">
        <v>1319</v>
      </c>
      <c r="FA266" t="s">
        <v>2326</v>
      </c>
      <c r="FB266" t="s">
        <v>1310</v>
      </c>
      <c r="FC266" t="s">
        <v>1309</v>
      </c>
      <c r="FD266" t="s">
        <v>1309</v>
      </c>
      <c r="FE266" t="s">
        <v>1309</v>
      </c>
      <c r="FF266" t="s">
        <v>1309</v>
      </c>
      <c r="FG266" t="s">
        <v>1309</v>
      </c>
      <c r="FH266" t="s">
        <v>1309</v>
      </c>
      <c r="FI266" t="s">
        <v>1310</v>
      </c>
      <c r="FJ266" t="s">
        <v>1309</v>
      </c>
      <c r="FK266" t="s">
        <v>1309</v>
      </c>
      <c r="FL266" t="s">
        <v>1309</v>
      </c>
      <c r="FM266" t="s">
        <v>1309</v>
      </c>
      <c r="FN266" t="s">
        <v>1309</v>
      </c>
      <c r="FO266" t="s">
        <v>1309</v>
      </c>
      <c r="FP266" t="s">
        <v>1309</v>
      </c>
      <c r="FQ266" t="s">
        <v>1309</v>
      </c>
      <c r="FR266" t="s">
        <v>1309</v>
      </c>
      <c r="FT266" t="s">
        <v>1319</v>
      </c>
      <c r="FU266" t="s">
        <v>1435</v>
      </c>
      <c r="FV266" t="s">
        <v>1310</v>
      </c>
      <c r="FW266" t="s">
        <v>1309</v>
      </c>
      <c r="FX266" t="s">
        <v>1309</v>
      </c>
      <c r="FY266" t="s">
        <v>1309</v>
      </c>
      <c r="FZ266" t="s">
        <v>1309</v>
      </c>
      <c r="GA266" t="s">
        <v>1309</v>
      </c>
      <c r="GB266" t="s">
        <v>1309</v>
      </c>
      <c r="GC266" t="s">
        <v>1309</v>
      </c>
      <c r="GD266" t="s">
        <v>1309</v>
      </c>
      <c r="GE266" t="s">
        <v>1309</v>
      </c>
      <c r="GF266" t="s">
        <v>1309</v>
      </c>
      <c r="GG266" t="s">
        <v>1309</v>
      </c>
      <c r="GI266" t="s">
        <v>1436</v>
      </c>
      <c r="GJ266" t="s">
        <v>1436</v>
      </c>
      <c r="GK266" t="s">
        <v>1307</v>
      </c>
      <c r="GT266" t="s">
        <v>1325</v>
      </c>
      <c r="GU266" t="s">
        <v>1310</v>
      </c>
      <c r="GV266" t="s">
        <v>1309</v>
      </c>
      <c r="GW266" t="s">
        <v>1309</v>
      </c>
      <c r="GX266" t="s">
        <v>1309</v>
      </c>
      <c r="GY266" t="s">
        <v>1309</v>
      </c>
      <c r="GZ266" t="s">
        <v>1309</v>
      </c>
      <c r="HA266" t="s">
        <v>1309</v>
      </c>
      <c r="HB266" t="s">
        <v>1309</v>
      </c>
      <c r="HC266" t="s">
        <v>1309</v>
      </c>
      <c r="HD266" t="s">
        <v>1309</v>
      </c>
      <c r="HE266" t="s">
        <v>1309</v>
      </c>
      <c r="HF266" t="s">
        <v>1309</v>
      </c>
      <c r="HH266" t="s">
        <v>1390</v>
      </c>
      <c r="HI266" t="s">
        <v>1326</v>
      </c>
      <c r="HJ266" t="s">
        <v>1326</v>
      </c>
      <c r="HK266" t="s">
        <v>1327</v>
      </c>
      <c r="HL266" t="s">
        <v>1328</v>
      </c>
      <c r="HM266" t="s">
        <v>1390</v>
      </c>
      <c r="HN266" t="s">
        <v>2523</v>
      </c>
      <c r="HO266" t="s">
        <v>1309</v>
      </c>
      <c r="HP266" t="s">
        <v>1310</v>
      </c>
      <c r="HQ266" t="s">
        <v>1309</v>
      </c>
      <c r="HR266" t="s">
        <v>1310</v>
      </c>
      <c r="HS266" t="s">
        <v>1309</v>
      </c>
      <c r="HT266" t="s">
        <v>1309</v>
      </c>
      <c r="HU266" t="s">
        <v>1309</v>
      </c>
      <c r="HV266" t="s">
        <v>1309</v>
      </c>
      <c r="HW266" t="s">
        <v>1309</v>
      </c>
      <c r="HX266" t="s">
        <v>1309</v>
      </c>
      <c r="HY266" t="s">
        <v>1309</v>
      </c>
      <c r="IA266" t="s">
        <v>1319</v>
      </c>
      <c r="IB266" t="s">
        <v>2421</v>
      </c>
      <c r="IC266" t="s">
        <v>1309</v>
      </c>
      <c r="ID266" t="s">
        <v>1310</v>
      </c>
      <c r="IE266" t="s">
        <v>1309</v>
      </c>
      <c r="IF266" t="s">
        <v>1309</v>
      </c>
      <c r="IG266" t="s">
        <v>1310</v>
      </c>
      <c r="IH266" t="s">
        <v>1309</v>
      </c>
      <c r="II266" t="s">
        <v>1309</v>
      </c>
      <c r="IJ266" t="s">
        <v>1309</v>
      </c>
      <c r="IK266" t="s">
        <v>1309</v>
      </c>
      <c r="IL266" t="s">
        <v>1309</v>
      </c>
      <c r="IM266" t="s">
        <v>1309</v>
      </c>
      <c r="IN266" t="s">
        <v>1309</v>
      </c>
      <c r="IO266" t="s">
        <v>1309</v>
      </c>
      <c r="IQ266" t="s">
        <v>1330</v>
      </c>
      <c r="IS266" t="s">
        <v>1316</v>
      </c>
      <c r="JF266" t="s">
        <v>1331</v>
      </c>
      <c r="JG266" t="s">
        <v>1698</v>
      </c>
      <c r="JH266" t="s">
        <v>1309</v>
      </c>
      <c r="JI266" t="s">
        <v>1309</v>
      </c>
      <c r="JJ266" t="s">
        <v>1309</v>
      </c>
      <c r="JK266" t="s">
        <v>1309</v>
      </c>
      <c r="JL266" t="s">
        <v>1309</v>
      </c>
      <c r="JM266" t="s">
        <v>1310</v>
      </c>
      <c r="JN266" t="s">
        <v>1309</v>
      </c>
      <c r="JO266" t="s">
        <v>1309</v>
      </c>
      <c r="JP266" t="s">
        <v>2285</v>
      </c>
      <c r="JQ266" s="92" t="s">
        <v>1333</v>
      </c>
      <c r="JR266" s="92" t="s">
        <v>1334</v>
      </c>
      <c r="JS266" s="92">
        <v>41</v>
      </c>
      <c r="JT266" s="92" t="s">
        <v>1319</v>
      </c>
      <c r="JU266" s="92" t="s">
        <v>1335</v>
      </c>
      <c r="JV266" s="92" t="s">
        <v>1336</v>
      </c>
      <c r="JW266" s="92" t="s">
        <v>1296</v>
      </c>
      <c r="JX266" s="92" t="s">
        <v>71</v>
      </c>
      <c r="JY266" s="92" t="s">
        <v>5549</v>
      </c>
      <c r="JZ266" s="92" t="s">
        <v>1337</v>
      </c>
      <c r="KA266" s="92" t="s">
        <v>4846</v>
      </c>
      <c r="KB266" s="92" t="s">
        <v>1415</v>
      </c>
      <c r="KC266" s="92" t="s">
        <v>109</v>
      </c>
      <c r="KD266" s="92" t="s">
        <v>4847</v>
      </c>
      <c r="KE266" s="92" t="s">
        <v>1340</v>
      </c>
      <c r="KF266" s="92">
        <v>3850</v>
      </c>
      <c r="KG266" s="92" t="s">
        <v>1340</v>
      </c>
      <c r="KH266" s="92" t="s">
        <v>192</v>
      </c>
      <c r="KI266" s="92" t="s">
        <v>109</v>
      </c>
      <c r="KJ266" s="92" t="s">
        <v>192</v>
      </c>
      <c r="KK266" s="92" t="s">
        <v>109</v>
      </c>
      <c r="KL266" s="92" t="s">
        <v>1341</v>
      </c>
      <c r="KM266" s="92">
        <v>4700</v>
      </c>
      <c r="KN266" s="92" t="s">
        <v>1340</v>
      </c>
      <c r="KO266" s="92" t="s">
        <v>1341</v>
      </c>
      <c r="KP266" s="92" t="s">
        <v>1375</v>
      </c>
      <c r="KQ266" s="92" t="s">
        <v>192</v>
      </c>
      <c r="KR266" s="92">
        <v>13</v>
      </c>
      <c r="KS266" s="92" t="s">
        <v>1345</v>
      </c>
      <c r="KT266" s="92" t="s">
        <v>1344</v>
      </c>
      <c r="KU266" s="92">
        <v>21</v>
      </c>
      <c r="KV266" s="92" t="s">
        <v>1461</v>
      </c>
      <c r="KW266" s="92" t="s">
        <v>1344</v>
      </c>
      <c r="KX266" s="92" t="s">
        <v>1346</v>
      </c>
      <c r="KY266" s="92" t="s">
        <v>1377</v>
      </c>
      <c r="KZ266" s="92" t="s">
        <v>5795</v>
      </c>
      <c r="LA266" s="92" t="s">
        <v>109</v>
      </c>
      <c r="LB266" s="92" t="s">
        <v>109</v>
      </c>
      <c r="LC266" s="92" t="s">
        <v>5566</v>
      </c>
      <c r="LD266" s="92" t="s">
        <v>5566</v>
      </c>
      <c r="LE266" s="92"/>
      <c r="LF266" s="92"/>
    </row>
    <row r="267" spans="1:318" x14ac:dyDescent="0.25">
      <c r="A267" t="s">
        <v>2524</v>
      </c>
      <c r="B267" t="s">
        <v>2525</v>
      </c>
      <c r="C267" t="s">
        <v>1304</v>
      </c>
      <c r="D267" t="s">
        <v>1305</v>
      </c>
      <c r="E267" t="s">
        <v>1306</v>
      </c>
      <c r="G267" t="s">
        <v>1307</v>
      </c>
      <c r="H267">
        <v>2</v>
      </c>
      <c r="I267" t="s">
        <v>1307</v>
      </c>
      <c r="J267" t="s">
        <v>1430</v>
      </c>
      <c r="K267" t="s">
        <v>1309</v>
      </c>
      <c r="L267" t="s">
        <v>1309</v>
      </c>
      <c r="M267" t="s">
        <v>1310</v>
      </c>
      <c r="N267" t="s">
        <v>1309</v>
      </c>
      <c r="O267" t="s">
        <v>1309</v>
      </c>
      <c r="P267" t="s">
        <v>1309</v>
      </c>
      <c r="Q267" t="s">
        <v>1309</v>
      </c>
      <c r="R267" t="s">
        <v>1309</v>
      </c>
      <c r="T267">
        <v>2</v>
      </c>
      <c r="U267" t="s">
        <v>1311</v>
      </c>
      <c r="V267" t="s">
        <v>1311</v>
      </c>
      <c r="W267" t="s">
        <v>1311</v>
      </c>
      <c r="X267" t="s">
        <v>1311</v>
      </c>
      <c r="Y267" t="s">
        <v>1311</v>
      </c>
      <c r="Z267" t="s">
        <v>1312</v>
      </c>
      <c r="AC267">
        <v>2</v>
      </c>
      <c r="AD267">
        <v>5500</v>
      </c>
      <c r="AE267">
        <v>7000</v>
      </c>
      <c r="AF267" t="s">
        <v>1313</v>
      </c>
      <c r="AH267" t="s">
        <v>1352</v>
      </c>
      <c r="AJ267" t="s">
        <v>1315</v>
      </c>
      <c r="AL267" t="s">
        <v>1316</v>
      </c>
      <c r="BS267" t="s">
        <v>1307</v>
      </c>
      <c r="CE267" t="s">
        <v>1355</v>
      </c>
      <c r="CF267" t="s">
        <v>1309</v>
      </c>
      <c r="CG267" t="s">
        <v>1309</v>
      </c>
      <c r="CH267" t="s">
        <v>1309</v>
      </c>
      <c r="CI267" t="s">
        <v>1309</v>
      </c>
      <c r="CJ267" t="s">
        <v>1309</v>
      </c>
      <c r="CK267" t="s">
        <v>1309</v>
      </c>
      <c r="CL267" t="s">
        <v>1309</v>
      </c>
      <c r="CM267" t="s">
        <v>1309</v>
      </c>
      <c r="CN267" t="s">
        <v>1310</v>
      </c>
      <c r="CO267" t="s">
        <v>1309</v>
      </c>
      <c r="CP267" t="s">
        <v>1309</v>
      </c>
      <c r="CQ267" t="s">
        <v>1309</v>
      </c>
      <c r="CR267" t="s">
        <v>1309</v>
      </c>
      <c r="CT267" t="s">
        <v>4435</v>
      </c>
      <c r="CV267" t="s">
        <v>1308</v>
      </c>
      <c r="CW267" t="s">
        <v>1310</v>
      </c>
      <c r="CX267" t="s">
        <v>1309</v>
      </c>
      <c r="CY267" t="s">
        <v>1309</v>
      </c>
      <c r="CZ267" t="s">
        <v>1309</v>
      </c>
      <c r="DA267" t="s">
        <v>1309</v>
      </c>
      <c r="DB267" t="s">
        <v>1309</v>
      </c>
      <c r="DC267" t="s">
        <v>1309</v>
      </c>
      <c r="DE267" t="s">
        <v>1318</v>
      </c>
      <c r="DF267" t="s">
        <v>1319</v>
      </c>
      <c r="DG267">
        <v>1900</v>
      </c>
      <c r="DI267">
        <v>500</v>
      </c>
      <c r="DJ267" t="s">
        <v>1318</v>
      </c>
      <c r="DK267">
        <v>2200</v>
      </c>
      <c r="DM267">
        <v>1200</v>
      </c>
      <c r="DN267" t="s">
        <v>1320</v>
      </c>
      <c r="DO267" t="s">
        <v>1310</v>
      </c>
      <c r="DP267" t="s">
        <v>1309</v>
      </c>
      <c r="DQ267" t="s">
        <v>1309</v>
      </c>
      <c r="DR267" t="s">
        <v>1309</v>
      </c>
      <c r="DS267" t="s">
        <v>1309</v>
      </c>
      <c r="DT267" t="s">
        <v>1310</v>
      </c>
      <c r="DU267" t="s">
        <v>1309</v>
      </c>
      <c r="DV267" t="s">
        <v>1309</v>
      </c>
      <c r="DW267" t="s">
        <v>1309</v>
      </c>
      <c r="DY267" t="s">
        <v>1446</v>
      </c>
      <c r="DZ267">
        <v>500</v>
      </c>
      <c r="EA267" t="s">
        <v>1319</v>
      </c>
      <c r="EC267" t="s">
        <v>1420</v>
      </c>
      <c r="ED267">
        <v>800</v>
      </c>
      <c r="EE267" t="s">
        <v>1319</v>
      </c>
      <c r="EG267" t="s">
        <v>5356</v>
      </c>
      <c r="EI267" t="s">
        <v>1307</v>
      </c>
      <c r="ET267" t="s">
        <v>1319</v>
      </c>
      <c r="EU267" t="s">
        <v>2466</v>
      </c>
      <c r="EV267" t="s">
        <v>1319</v>
      </c>
      <c r="EW267" t="s">
        <v>1409</v>
      </c>
      <c r="EX267" t="s">
        <v>1319</v>
      </c>
      <c r="EY267" t="s">
        <v>1319</v>
      </c>
      <c r="FA267" t="s">
        <v>2326</v>
      </c>
      <c r="FB267" t="s">
        <v>1310</v>
      </c>
      <c r="FC267" t="s">
        <v>1309</v>
      </c>
      <c r="FD267" t="s">
        <v>1309</v>
      </c>
      <c r="FE267" t="s">
        <v>1309</v>
      </c>
      <c r="FF267" t="s">
        <v>1309</v>
      </c>
      <c r="FG267" t="s">
        <v>1309</v>
      </c>
      <c r="FH267" t="s">
        <v>1309</v>
      </c>
      <c r="FI267" t="s">
        <v>1310</v>
      </c>
      <c r="FJ267" t="s">
        <v>1309</v>
      </c>
      <c r="FK267" t="s">
        <v>1309</v>
      </c>
      <c r="FL267" t="s">
        <v>1309</v>
      </c>
      <c r="FM267" t="s">
        <v>1309</v>
      </c>
      <c r="FN267" t="s">
        <v>1309</v>
      </c>
      <c r="FO267" t="s">
        <v>1309</v>
      </c>
      <c r="FP267" t="s">
        <v>1309</v>
      </c>
      <c r="FQ267" t="s">
        <v>1309</v>
      </c>
      <c r="FR267" t="s">
        <v>1309</v>
      </c>
      <c r="FT267" t="s">
        <v>1319</v>
      </c>
      <c r="FU267" t="s">
        <v>1626</v>
      </c>
      <c r="FV267" t="s">
        <v>1309</v>
      </c>
      <c r="FW267" t="s">
        <v>1310</v>
      </c>
      <c r="FX267" t="s">
        <v>1309</v>
      </c>
      <c r="FY267" t="s">
        <v>1309</v>
      </c>
      <c r="FZ267" t="s">
        <v>1309</v>
      </c>
      <c r="GA267" t="s">
        <v>1309</v>
      </c>
      <c r="GB267" t="s">
        <v>1309</v>
      </c>
      <c r="GC267" t="s">
        <v>1309</v>
      </c>
      <c r="GD267" t="s">
        <v>1309</v>
      </c>
      <c r="GE267" t="s">
        <v>1309</v>
      </c>
      <c r="GF267" t="s">
        <v>1309</v>
      </c>
      <c r="GG267" t="s">
        <v>1309</v>
      </c>
      <c r="GI267" t="s">
        <v>1324</v>
      </c>
      <c r="GJ267" t="s">
        <v>1436</v>
      </c>
      <c r="GK267" t="s">
        <v>1307</v>
      </c>
      <c r="GT267" t="s">
        <v>1325</v>
      </c>
      <c r="GU267" t="s">
        <v>1310</v>
      </c>
      <c r="GV267" t="s">
        <v>1309</v>
      </c>
      <c r="GW267" t="s">
        <v>1309</v>
      </c>
      <c r="GX267" t="s">
        <v>1309</v>
      </c>
      <c r="GY267" t="s">
        <v>1309</v>
      </c>
      <c r="GZ267" t="s">
        <v>1309</v>
      </c>
      <c r="HA267" t="s">
        <v>1309</v>
      </c>
      <c r="HB267" t="s">
        <v>1309</v>
      </c>
      <c r="HC267" t="s">
        <v>1309</v>
      </c>
      <c r="HD267" t="s">
        <v>1309</v>
      </c>
      <c r="HE267" t="s">
        <v>1309</v>
      </c>
      <c r="HF267" t="s">
        <v>1309</v>
      </c>
      <c r="HH267" t="s">
        <v>1390</v>
      </c>
      <c r="HI267" t="s">
        <v>1390</v>
      </c>
      <c r="HJ267" t="s">
        <v>1326</v>
      </c>
      <c r="HK267" t="s">
        <v>1327</v>
      </c>
      <c r="HL267" t="s">
        <v>1437</v>
      </c>
      <c r="HM267" t="s">
        <v>1326</v>
      </c>
      <c r="HN267" t="s">
        <v>1438</v>
      </c>
      <c r="HO267" t="s">
        <v>1310</v>
      </c>
      <c r="HP267" t="s">
        <v>1309</v>
      </c>
      <c r="HQ267" t="s">
        <v>1309</v>
      </c>
      <c r="HR267" t="s">
        <v>1310</v>
      </c>
      <c r="HS267" t="s">
        <v>1309</v>
      </c>
      <c r="HT267" t="s">
        <v>1309</v>
      </c>
      <c r="HU267" t="s">
        <v>1309</v>
      </c>
      <c r="HV267" t="s">
        <v>1309</v>
      </c>
      <c r="HW267" t="s">
        <v>1309</v>
      </c>
      <c r="HX267" t="s">
        <v>1309</v>
      </c>
      <c r="HY267" t="s">
        <v>1309</v>
      </c>
      <c r="IA267" t="s">
        <v>1319</v>
      </c>
      <c r="IB267" t="s">
        <v>1423</v>
      </c>
      <c r="IC267" t="s">
        <v>1309</v>
      </c>
      <c r="ID267" t="s">
        <v>1309</v>
      </c>
      <c r="IE267" t="s">
        <v>1309</v>
      </c>
      <c r="IF267" t="s">
        <v>1309</v>
      </c>
      <c r="IG267" t="s">
        <v>1310</v>
      </c>
      <c r="IH267" t="s">
        <v>1309</v>
      </c>
      <c r="II267" t="s">
        <v>1309</v>
      </c>
      <c r="IJ267" t="s">
        <v>1309</v>
      </c>
      <c r="IK267" t="s">
        <v>1309</v>
      </c>
      <c r="IL267" t="s">
        <v>1309</v>
      </c>
      <c r="IM267" t="s">
        <v>1309</v>
      </c>
      <c r="IN267" t="s">
        <v>1309</v>
      </c>
      <c r="IO267" t="s">
        <v>1309</v>
      </c>
      <c r="IQ267" t="s">
        <v>1365</v>
      </c>
      <c r="IS267" t="s">
        <v>1316</v>
      </c>
      <c r="JF267" t="s">
        <v>1331</v>
      </c>
      <c r="JG267" t="s">
        <v>1523</v>
      </c>
      <c r="JH267" t="s">
        <v>1309</v>
      </c>
      <c r="JI267" t="s">
        <v>1309</v>
      </c>
      <c r="JJ267" t="s">
        <v>1309</v>
      </c>
      <c r="JK267" t="s">
        <v>1310</v>
      </c>
      <c r="JL267" t="s">
        <v>1309</v>
      </c>
      <c r="JM267" t="s">
        <v>1309</v>
      </c>
      <c r="JN267" t="s">
        <v>1309</v>
      </c>
      <c r="JO267" t="s">
        <v>1309</v>
      </c>
      <c r="JQ267" s="92" t="s">
        <v>1333</v>
      </c>
      <c r="JR267" s="92" t="s">
        <v>1334</v>
      </c>
      <c r="JS267" s="92">
        <v>70</v>
      </c>
      <c r="JT267" s="92" t="s">
        <v>1319</v>
      </c>
      <c r="JU267" s="92" t="s">
        <v>1335</v>
      </c>
      <c r="JV267" s="92" t="s">
        <v>1336</v>
      </c>
      <c r="JW267" s="92" t="s">
        <v>1296</v>
      </c>
      <c r="JX267" s="92" t="s">
        <v>71</v>
      </c>
      <c r="JY267" s="92" t="s">
        <v>5549</v>
      </c>
      <c r="JZ267" s="92" t="s">
        <v>1369</v>
      </c>
      <c r="KA267" s="92" t="s">
        <v>4845</v>
      </c>
      <c r="KB267" s="92" t="s">
        <v>1476</v>
      </c>
      <c r="KC267" s="92" t="s">
        <v>109</v>
      </c>
      <c r="KD267" s="92" t="s">
        <v>4847</v>
      </c>
      <c r="KE267" s="92" t="s">
        <v>1424</v>
      </c>
      <c r="KF267" s="92">
        <v>2400</v>
      </c>
      <c r="KG267" s="92" t="s">
        <v>4439</v>
      </c>
      <c r="KH267" s="92" t="s">
        <v>192</v>
      </c>
      <c r="KI267" s="92" t="s">
        <v>109</v>
      </c>
      <c r="KJ267" s="92" t="s">
        <v>192</v>
      </c>
      <c r="KK267" s="92" t="s">
        <v>109</v>
      </c>
      <c r="KL267" s="92" t="s">
        <v>1425</v>
      </c>
      <c r="KM267" s="92">
        <v>3400</v>
      </c>
      <c r="KN267" s="92" t="s">
        <v>1400</v>
      </c>
      <c r="KO267" s="92" t="s">
        <v>1341</v>
      </c>
      <c r="KP267" s="92" t="s">
        <v>1342</v>
      </c>
      <c r="KQ267" s="92" t="s">
        <v>192</v>
      </c>
      <c r="KR267" s="92">
        <v>21</v>
      </c>
      <c r="KS267" s="92" t="s">
        <v>1345</v>
      </c>
      <c r="KT267" s="92" t="s">
        <v>1344</v>
      </c>
      <c r="KU267" s="92">
        <v>24</v>
      </c>
      <c r="KV267" s="92" t="s">
        <v>1441</v>
      </c>
      <c r="KW267" s="92" t="s">
        <v>1344</v>
      </c>
      <c r="KX267" s="92" t="s">
        <v>1376</v>
      </c>
      <c r="KY267" s="92" t="s">
        <v>1377</v>
      </c>
      <c r="KZ267" s="92" t="s">
        <v>5795</v>
      </c>
      <c r="LA267" s="92" t="s">
        <v>109</v>
      </c>
      <c r="LB267" s="92" t="s">
        <v>109</v>
      </c>
      <c r="LC267" s="92" t="s">
        <v>4439</v>
      </c>
      <c r="LD267" s="92" t="s">
        <v>4439</v>
      </c>
      <c r="LE267" s="92" t="s">
        <v>192</v>
      </c>
      <c r="LF267" s="92" t="s">
        <v>192</v>
      </c>
    </row>
    <row r="268" spans="1:318" x14ac:dyDescent="0.25">
      <c r="A268" t="s">
        <v>2526</v>
      </c>
      <c r="B268" t="s">
        <v>2527</v>
      </c>
      <c r="C268" t="s">
        <v>1304</v>
      </c>
      <c r="D268" t="s">
        <v>1429</v>
      </c>
      <c r="E268" t="s">
        <v>1306</v>
      </c>
      <c r="G268" t="s">
        <v>1307</v>
      </c>
      <c r="H268">
        <v>3</v>
      </c>
      <c r="I268" t="s">
        <v>1307</v>
      </c>
      <c r="J268" t="s">
        <v>2528</v>
      </c>
      <c r="K268" t="s">
        <v>1310</v>
      </c>
      <c r="L268" t="s">
        <v>1310</v>
      </c>
      <c r="M268" t="s">
        <v>1309</v>
      </c>
      <c r="N268" t="s">
        <v>1309</v>
      </c>
      <c r="O268" t="s">
        <v>1309</v>
      </c>
      <c r="P268" t="s">
        <v>1309</v>
      </c>
      <c r="Q268" t="s">
        <v>1309</v>
      </c>
      <c r="R268" t="s">
        <v>1309</v>
      </c>
      <c r="S268">
        <v>1</v>
      </c>
      <c r="U268" t="s">
        <v>1311</v>
      </c>
      <c r="V268" t="s">
        <v>1312</v>
      </c>
      <c r="W268" t="s">
        <v>1312</v>
      </c>
      <c r="X268" t="s">
        <v>1312</v>
      </c>
      <c r="Y268" t="s">
        <v>1312</v>
      </c>
      <c r="Z268" t="s">
        <v>1312</v>
      </c>
      <c r="AC268">
        <v>1</v>
      </c>
      <c r="AD268">
        <v>20000</v>
      </c>
      <c r="AE268">
        <v>17000</v>
      </c>
      <c r="AF268" t="s">
        <v>1313</v>
      </c>
      <c r="AH268" t="s">
        <v>1383</v>
      </c>
      <c r="AJ268" t="s">
        <v>1315</v>
      </c>
      <c r="AL268" t="s">
        <v>1354</v>
      </c>
      <c r="BS268" t="s">
        <v>1307</v>
      </c>
      <c r="CE268" t="s">
        <v>1605</v>
      </c>
      <c r="CF268" t="s">
        <v>1310</v>
      </c>
      <c r="CG268" t="s">
        <v>1309</v>
      </c>
      <c r="CH268" t="s">
        <v>1309</v>
      </c>
      <c r="CI268" t="s">
        <v>1309</v>
      </c>
      <c r="CJ268" t="s">
        <v>1309</v>
      </c>
      <c r="CK268" t="s">
        <v>1309</v>
      </c>
      <c r="CL268" t="s">
        <v>1309</v>
      </c>
      <c r="CM268" t="s">
        <v>1309</v>
      </c>
      <c r="CN268" t="s">
        <v>1310</v>
      </c>
      <c r="CO268" t="s">
        <v>1310</v>
      </c>
      <c r="CP268" t="s">
        <v>1309</v>
      </c>
      <c r="CQ268" t="s">
        <v>1309</v>
      </c>
      <c r="CR268" t="s">
        <v>1309</v>
      </c>
      <c r="CT268" t="s">
        <v>4434</v>
      </c>
      <c r="CV268" t="s">
        <v>1357</v>
      </c>
      <c r="CW268" t="s">
        <v>1309</v>
      </c>
      <c r="CX268" t="s">
        <v>1309</v>
      </c>
      <c r="CY268" t="s">
        <v>1309</v>
      </c>
      <c r="CZ268" t="s">
        <v>1309</v>
      </c>
      <c r="DA268" t="s">
        <v>1310</v>
      </c>
      <c r="DB268" t="s">
        <v>1309</v>
      </c>
      <c r="DC268" t="s">
        <v>1309</v>
      </c>
      <c r="DE268" t="s">
        <v>1318</v>
      </c>
      <c r="DG268">
        <v>2800</v>
      </c>
      <c r="DI268">
        <v>900</v>
      </c>
      <c r="DJ268" t="s">
        <v>1318</v>
      </c>
      <c r="DK268">
        <v>3200</v>
      </c>
      <c r="DM268">
        <v>1400</v>
      </c>
      <c r="DN268" t="s">
        <v>1320</v>
      </c>
      <c r="DO268" t="s">
        <v>1310</v>
      </c>
      <c r="DP268" t="s">
        <v>1309</v>
      </c>
      <c r="DQ268" t="s">
        <v>1309</v>
      </c>
      <c r="DR268" t="s">
        <v>1309</v>
      </c>
      <c r="DS268" t="s">
        <v>1309</v>
      </c>
      <c r="DT268" t="s">
        <v>1310</v>
      </c>
      <c r="DU268" t="s">
        <v>1309</v>
      </c>
      <c r="DV268" t="s">
        <v>1309</v>
      </c>
      <c r="DW268" t="s">
        <v>1309</v>
      </c>
      <c r="DY268" t="s">
        <v>1446</v>
      </c>
      <c r="DZ268">
        <v>500</v>
      </c>
      <c r="EA268" t="s">
        <v>1319</v>
      </c>
      <c r="EC268" t="s">
        <v>1991</v>
      </c>
      <c r="ED268">
        <v>800</v>
      </c>
      <c r="EE268" t="s">
        <v>1319</v>
      </c>
      <c r="EG268" t="s">
        <v>5357</v>
      </c>
      <c r="ET268" t="s">
        <v>1434</v>
      </c>
      <c r="EV268" t="s">
        <v>1319</v>
      </c>
      <c r="EW268" t="s">
        <v>1409</v>
      </c>
      <c r="EX268" t="s">
        <v>1319</v>
      </c>
      <c r="EY268" t="s">
        <v>1307</v>
      </c>
      <c r="FA268" t="s">
        <v>1697</v>
      </c>
      <c r="FB268" t="s">
        <v>1309</v>
      </c>
      <c r="FC268" t="s">
        <v>1309</v>
      </c>
      <c r="FD268" t="s">
        <v>1309</v>
      </c>
      <c r="FE268" t="s">
        <v>1309</v>
      </c>
      <c r="FF268" t="s">
        <v>1309</v>
      </c>
      <c r="FG268" t="s">
        <v>1309</v>
      </c>
      <c r="FH268" t="s">
        <v>1309</v>
      </c>
      <c r="FI268" t="s">
        <v>1310</v>
      </c>
      <c r="FJ268" t="s">
        <v>1309</v>
      </c>
      <c r="FK268" t="s">
        <v>1309</v>
      </c>
      <c r="FL268" t="s">
        <v>1309</v>
      </c>
      <c r="FM268" t="s">
        <v>1309</v>
      </c>
      <c r="FN268" t="s">
        <v>1309</v>
      </c>
      <c r="FO268" t="s">
        <v>1309</v>
      </c>
      <c r="FP268" t="s">
        <v>1309</v>
      </c>
      <c r="FQ268" t="s">
        <v>1309</v>
      </c>
      <c r="FR268" t="s">
        <v>1309</v>
      </c>
      <c r="FT268" t="s">
        <v>1319</v>
      </c>
      <c r="FU268" t="s">
        <v>1943</v>
      </c>
      <c r="FV268" t="s">
        <v>1310</v>
      </c>
      <c r="FW268" t="s">
        <v>1309</v>
      </c>
      <c r="FX268" t="s">
        <v>1310</v>
      </c>
      <c r="FY268" t="s">
        <v>1309</v>
      </c>
      <c r="FZ268" t="s">
        <v>1309</v>
      </c>
      <c r="GA268" t="s">
        <v>1309</v>
      </c>
      <c r="GB268" t="s">
        <v>1309</v>
      </c>
      <c r="GC268" t="s">
        <v>1309</v>
      </c>
      <c r="GD268" t="s">
        <v>1309</v>
      </c>
      <c r="GE268" t="s">
        <v>1309</v>
      </c>
      <c r="GF268" t="s">
        <v>1309</v>
      </c>
      <c r="GG268" t="s">
        <v>1309</v>
      </c>
      <c r="GI268" t="s">
        <v>1324</v>
      </c>
      <c r="GJ268" t="s">
        <v>1324</v>
      </c>
      <c r="GT268" t="s">
        <v>1325</v>
      </c>
      <c r="GU268" t="s">
        <v>1310</v>
      </c>
      <c r="GV268" t="s">
        <v>1309</v>
      </c>
      <c r="GW268" t="s">
        <v>1309</v>
      </c>
      <c r="GX268" t="s">
        <v>1309</v>
      </c>
      <c r="GY268" t="s">
        <v>1309</v>
      </c>
      <c r="GZ268" t="s">
        <v>1309</v>
      </c>
      <c r="HA268" t="s">
        <v>1309</v>
      </c>
      <c r="HB268" t="s">
        <v>1309</v>
      </c>
      <c r="HC268" t="s">
        <v>1309</v>
      </c>
      <c r="HD268" t="s">
        <v>1309</v>
      </c>
      <c r="HE268" t="s">
        <v>1309</v>
      </c>
      <c r="HF268" t="s">
        <v>1309</v>
      </c>
      <c r="HH268" t="s">
        <v>1326</v>
      </c>
      <c r="HI268" t="s">
        <v>1326</v>
      </c>
      <c r="HJ268" t="s">
        <v>1390</v>
      </c>
      <c r="HK268" t="s">
        <v>1327</v>
      </c>
      <c r="HL268" t="s">
        <v>1328</v>
      </c>
      <c r="HM268" t="s">
        <v>1390</v>
      </c>
      <c r="HN268" t="s">
        <v>1709</v>
      </c>
      <c r="HO268" t="s">
        <v>1309</v>
      </c>
      <c r="HP268" t="s">
        <v>1309</v>
      </c>
      <c r="HQ268" t="s">
        <v>1310</v>
      </c>
      <c r="HR268" t="s">
        <v>1310</v>
      </c>
      <c r="HS268" t="s">
        <v>1309</v>
      </c>
      <c r="HT268" t="s">
        <v>1309</v>
      </c>
      <c r="HU268" t="s">
        <v>1309</v>
      </c>
      <c r="HV268" t="s">
        <v>1309</v>
      </c>
      <c r="HW268" t="s">
        <v>1309</v>
      </c>
      <c r="HX268" t="s">
        <v>1309</v>
      </c>
      <c r="HY268" t="s">
        <v>1309</v>
      </c>
      <c r="IA268" t="s">
        <v>1319</v>
      </c>
      <c r="IB268" t="s">
        <v>2433</v>
      </c>
      <c r="IC268" t="s">
        <v>1309</v>
      </c>
      <c r="ID268" t="s">
        <v>1309</v>
      </c>
      <c r="IE268" t="s">
        <v>1309</v>
      </c>
      <c r="IF268" t="s">
        <v>1310</v>
      </c>
      <c r="IG268" t="s">
        <v>1310</v>
      </c>
      <c r="IH268" t="s">
        <v>1309</v>
      </c>
      <c r="II268" t="s">
        <v>1309</v>
      </c>
      <c r="IJ268" t="s">
        <v>1309</v>
      </c>
      <c r="IK268" t="s">
        <v>1309</v>
      </c>
      <c r="IL268" t="s">
        <v>1309</v>
      </c>
      <c r="IM268" t="s">
        <v>1309</v>
      </c>
      <c r="IN268" t="s">
        <v>1309</v>
      </c>
      <c r="IO268" t="s">
        <v>1309</v>
      </c>
      <c r="IQ268" t="s">
        <v>1330</v>
      </c>
      <c r="IS268" t="s">
        <v>1316</v>
      </c>
      <c r="JF268" t="s">
        <v>1331</v>
      </c>
      <c r="JG268" t="s">
        <v>1698</v>
      </c>
      <c r="JH268" t="s">
        <v>1309</v>
      </c>
      <c r="JI268" t="s">
        <v>1309</v>
      </c>
      <c r="JJ268" t="s">
        <v>1309</v>
      </c>
      <c r="JK268" t="s">
        <v>1309</v>
      </c>
      <c r="JL268" t="s">
        <v>1309</v>
      </c>
      <c r="JM268" t="s">
        <v>1310</v>
      </c>
      <c r="JN268" t="s">
        <v>1309</v>
      </c>
      <c r="JO268" t="s">
        <v>1309</v>
      </c>
      <c r="JP268" t="s">
        <v>2285</v>
      </c>
      <c r="JQ268" s="92" t="s">
        <v>1333</v>
      </c>
      <c r="JR268" s="92" t="s">
        <v>1334</v>
      </c>
      <c r="JS268" s="92">
        <v>27</v>
      </c>
      <c r="JT268" s="92" t="s">
        <v>1319</v>
      </c>
      <c r="JU268" s="92" t="s">
        <v>1396</v>
      </c>
      <c r="JV268" s="92" t="s">
        <v>1336</v>
      </c>
      <c r="JW268" s="92" t="s">
        <v>1296</v>
      </c>
      <c r="JX268" s="92" t="s">
        <v>71</v>
      </c>
      <c r="JY268" s="92" t="s">
        <v>5549</v>
      </c>
      <c r="JZ268" s="92" t="s">
        <v>1398</v>
      </c>
      <c r="KA268" s="92" t="s">
        <v>4845</v>
      </c>
      <c r="KB268" s="92" t="s">
        <v>1415</v>
      </c>
      <c r="KC268" s="92" t="s">
        <v>109</v>
      </c>
      <c r="KD268" s="92" t="s">
        <v>4844</v>
      </c>
      <c r="KE268" s="92" t="s">
        <v>1452</v>
      </c>
      <c r="KF268" s="92">
        <v>3700</v>
      </c>
      <c r="KG268" s="92" t="s">
        <v>4438</v>
      </c>
      <c r="KH268" s="92" t="s">
        <v>192</v>
      </c>
      <c r="KI268" s="92" t="s">
        <v>109</v>
      </c>
      <c r="KJ268" s="92" t="s">
        <v>192</v>
      </c>
      <c r="KK268" s="92" t="s">
        <v>109</v>
      </c>
      <c r="KL268" s="92" t="s">
        <v>1341</v>
      </c>
      <c r="KM268" s="92">
        <v>4600</v>
      </c>
      <c r="KN268" s="92" t="s">
        <v>4438</v>
      </c>
      <c r="KO268" s="92" t="s">
        <v>1341</v>
      </c>
      <c r="KP268" s="92" t="s">
        <v>1375</v>
      </c>
      <c r="KQ268" s="92" t="s">
        <v>192</v>
      </c>
      <c r="KR268" s="92">
        <v>14</v>
      </c>
      <c r="KS268" s="92" t="s">
        <v>1345</v>
      </c>
      <c r="KT268" s="92" t="s">
        <v>1344</v>
      </c>
      <c r="KU268" s="92">
        <v>17</v>
      </c>
      <c r="KV268" s="92" t="s">
        <v>1441</v>
      </c>
      <c r="KW268" s="92" t="s">
        <v>1344</v>
      </c>
      <c r="KX268" s="92" t="s">
        <v>1376</v>
      </c>
      <c r="KY268" s="92" t="s">
        <v>1347</v>
      </c>
      <c r="KZ268" s="92" t="s">
        <v>5795</v>
      </c>
      <c r="LA268" s="92" t="s">
        <v>109</v>
      </c>
      <c r="LB268" s="92" t="s">
        <v>109</v>
      </c>
      <c r="LC268" s="92" t="s">
        <v>4438</v>
      </c>
      <c r="LD268" s="92" t="s">
        <v>4438</v>
      </c>
      <c r="LE268" s="92" t="s">
        <v>192</v>
      </c>
      <c r="LF268" s="92" t="s">
        <v>192</v>
      </c>
    </row>
    <row r="269" spans="1:318" x14ac:dyDescent="0.25">
      <c r="A269" t="s">
        <v>2529</v>
      </c>
      <c r="B269" t="s">
        <v>2530</v>
      </c>
      <c r="C269" t="s">
        <v>1304</v>
      </c>
      <c r="D269" t="s">
        <v>1305</v>
      </c>
      <c r="E269" t="s">
        <v>1306</v>
      </c>
      <c r="G269" t="s">
        <v>1307</v>
      </c>
      <c r="H269">
        <v>3</v>
      </c>
      <c r="I269" t="s">
        <v>1307</v>
      </c>
      <c r="J269" t="s">
        <v>1406</v>
      </c>
      <c r="K269" t="s">
        <v>1309</v>
      </c>
      <c r="L269" t="s">
        <v>1310</v>
      </c>
      <c r="M269" t="s">
        <v>1309</v>
      </c>
      <c r="N269" t="s">
        <v>1309</v>
      </c>
      <c r="O269" t="s">
        <v>1309</v>
      </c>
      <c r="P269" t="s">
        <v>1309</v>
      </c>
      <c r="Q269" t="s">
        <v>1309</v>
      </c>
      <c r="R269" t="s">
        <v>1309</v>
      </c>
      <c r="S269">
        <v>1</v>
      </c>
      <c r="U269" t="s">
        <v>1312</v>
      </c>
      <c r="V269" t="s">
        <v>1312</v>
      </c>
      <c r="W269" t="s">
        <v>1312</v>
      </c>
      <c r="X269" t="s">
        <v>1312</v>
      </c>
      <c r="Y269" t="s">
        <v>1312</v>
      </c>
      <c r="Z269" t="s">
        <v>1312</v>
      </c>
      <c r="AC269">
        <v>2</v>
      </c>
      <c r="AE269">
        <v>10000</v>
      </c>
      <c r="AF269" t="s">
        <v>1313</v>
      </c>
      <c r="AH269" t="s">
        <v>1383</v>
      </c>
      <c r="AJ269" t="s">
        <v>1315</v>
      </c>
      <c r="AL269" t="s">
        <v>1316</v>
      </c>
      <c r="BS269" t="s">
        <v>1307</v>
      </c>
      <c r="CE269" t="s">
        <v>1317</v>
      </c>
      <c r="CF269" t="s">
        <v>1309</v>
      </c>
      <c r="CG269" t="s">
        <v>1309</v>
      </c>
      <c r="CH269" t="s">
        <v>1309</v>
      </c>
      <c r="CI269" t="s">
        <v>1309</v>
      </c>
      <c r="CJ269" t="s">
        <v>1309</v>
      </c>
      <c r="CK269" t="s">
        <v>1309</v>
      </c>
      <c r="CL269" t="s">
        <v>1309</v>
      </c>
      <c r="CM269" t="s">
        <v>1309</v>
      </c>
      <c r="CN269" t="s">
        <v>1310</v>
      </c>
      <c r="CO269" t="s">
        <v>1310</v>
      </c>
      <c r="CP269" t="s">
        <v>1309</v>
      </c>
      <c r="CQ269" t="s">
        <v>1309</v>
      </c>
      <c r="CR269" t="s">
        <v>1309</v>
      </c>
      <c r="CT269" t="s">
        <v>4435</v>
      </c>
      <c r="CV269" t="s">
        <v>1308</v>
      </c>
      <c r="CW269" t="s">
        <v>1310</v>
      </c>
      <c r="CX269" t="s">
        <v>1309</v>
      </c>
      <c r="CY269" t="s">
        <v>1309</v>
      </c>
      <c r="CZ269" t="s">
        <v>1309</v>
      </c>
      <c r="DA269" t="s">
        <v>1309</v>
      </c>
      <c r="DB269" t="s">
        <v>1309</v>
      </c>
      <c r="DC269" t="s">
        <v>1309</v>
      </c>
      <c r="DE269" t="s">
        <v>1358</v>
      </c>
      <c r="DF269" t="s">
        <v>1307</v>
      </c>
      <c r="DH269">
        <v>1500</v>
      </c>
      <c r="DI269">
        <v>200</v>
      </c>
      <c r="DJ269" t="s">
        <v>1358</v>
      </c>
      <c r="DL269">
        <v>2000</v>
      </c>
      <c r="DM269">
        <v>200</v>
      </c>
      <c r="DN269" t="s">
        <v>1672</v>
      </c>
      <c r="DO269" t="s">
        <v>1310</v>
      </c>
      <c r="DP269" t="s">
        <v>1309</v>
      </c>
      <c r="DQ269" t="s">
        <v>1309</v>
      </c>
      <c r="DR269" t="s">
        <v>1309</v>
      </c>
      <c r="DS269" t="s">
        <v>1309</v>
      </c>
      <c r="DT269" t="s">
        <v>1310</v>
      </c>
      <c r="DU269" t="s">
        <v>1309</v>
      </c>
      <c r="DV269" t="s">
        <v>1309</v>
      </c>
      <c r="DW269" t="s">
        <v>1309</v>
      </c>
      <c r="DY269" t="s">
        <v>1359</v>
      </c>
      <c r="DZ269">
        <v>400</v>
      </c>
      <c r="EA269" t="s">
        <v>1386</v>
      </c>
      <c r="EC269" t="s">
        <v>1420</v>
      </c>
      <c r="ED269">
        <v>800</v>
      </c>
      <c r="EE269" t="s">
        <v>1386</v>
      </c>
      <c r="EG269" t="s">
        <v>5356</v>
      </c>
      <c r="EI269" t="s">
        <v>1307</v>
      </c>
      <c r="ET269" t="s">
        <v>1434</v>
      </c>
      <c r="EV269" t="s">
        <v>1319</v>
      </c>
      <c r="EW269" t="s">
        <v>1361</v>
      </c>
      <c r="EX269" t="s">
        <v>1319</v>
      </c>
      <c r="FA269" t="s">
        <v>2531</v>
      </c>
      <c r="FB269" t="s">
        <v>1309</v>
      </c>
      <c r="FC269" t="s">
        <v>1309</v>
      </c>
      <c r="FD269" t="s">
        <v>1309</v>
      </c>
      <c r="FE269" t="s">
        <v>1309</v>
      </c>
      <c r="FF269" t="s">
        <v>1309</v>
      </c>
      <c r="FG269" t="s">
        <v>1309</v>
      </c>
      <c r="FH269" t="s">
        <v>1309</v>
      </c>
      <c r="FI269" t="s">
        <v>1310</v>
      </c>
      <c r="FJ269" t="s">
        <v>1309</v>
      </c>
      <c r="FK269" t="s">
        <v>1309</v>
      </c>
      <c r="FL269" t="s">
        <v>1309</v>
      </c>
      <c r="FM269" t="s">
        <v>1309</v>
      </c>
      <c r="FN269" t="s">
        <v>1310</v>
      </c>
      <c r="FO269" t="s">
        <v>1309</v>
      </c>
      <c r="FP269" t="s">
        <v>1309</v>
      </c>
      <c r="FQ269" t="s">
        <v>1309</v>
      </c>
      <c r="FR269" t="s">
        <v>1309</v>
      </c>
      <c r="FT269" t="s">
        <v>1307</v>
      </c>
      <c r="GI269" t="s">
        <v>1324</v>
      </c>
      <c r="GJ269" t="s">
        <v>1324</v>
      </c>
      <c r="GT269" t="s">
        <v>1325</v>
      </c>
      <c r="GU269" t="s">
        <v>1310</v>
      </c>
      <c r="GV269" t="s">
        <v>1309</v>
      </c>
      <c r="GW269" t="s">
        <v>1309</v>
      </c>
      <c r="GX269" t="s">
        <v>1309</v>
      </c>
      <c r="GY269" t="s">
        <v>1309</v>
      </c>
      <c r="GZ269" t="s">
        <v>1309</v>
      </c>
      <c r="HA269" t="s">
        <v>1309</v>
      </c>
      <c r="HB269" t="s">
        <v>1309</v>
      </c>
      <c r="HC269" t="s">
        <v>1309</v>
      </c>
      <c r="HD269" t="s">
        <v>1309</v>
      </c>
      <c r="HE269" t="s">
        <v>1309</v>
      </c>
      <c r="HF269" t="s">
        <v>1309</v>
      </c>
      <c r="HH269" t="s">
        <v>1390</v>
      </c>
      <c r="HI269" t="s">
        <v>1326</v>
      </c>
      <c r="HJ269" t="s">
        <v>1390</v>
      </c>
      <c r="HK269" t="s">
        <v>1327</v>
      </c>
      <c r="HL269" t="s">
        <v>1364</v>
      </c>
      <c r="HM269" t="s">
        <v>1390</v>
      </c>
      <c r="IA269" t="s">
        <v>1319</v>
      </c>
      <c r="IB269" t="s">
        <v>1423</v>
      </c>
      <c r="IC269" t="s">
        <v>1309</v>
      </c>
      <c r="ID269" t="s">
        <v>1309</v>
      </c>
      <c r="IE269" t="s">
        <v>1309</v>
      </c>
      <c r="IF269" t="s">
        <v>1309</v>
      </c>
      <c r="IG269" t="s">
        <v>1310</v>
      </c>
      <c r="IH269" t="s">
        <v>1309</v>
      </c>
      <c r="II269" t="s">
        <v>1309</v>
      </c>
      <c r="IJ269" t="s">
        <v>1309</v>
      </c>
      <c r="IK269" t="s">
        <v>1309</v>
      </c>
      <c r="IL269" t="s">
        <v>1309</v>
      </c>
      <c r="IM269" t="s">
        <v>1309</v>
      </c>
      <c r="IN269" t="s">
        <v>1309</v>
      </c>
      <c r="IO269" t="s">
        <v>1309</v>
      </c>
      <c r="IQ269" t="s">
        <v>1308</v>
      </c>
      <c r="IS269" t="s">
        <v>1316</v>
      </c>
      <c r="JF269" t="s">
        <v>1316</v>
      </c>
      <c r="JG269" t="s">
        <v>1523</v>
      </c>
      <c r="JH269" t="s">
        <v>1309</v>
      </c>
      <c r="JI269" t="s">
        <v>1309</v>
      </c>
      <c r="JJ269" t="s">
        <v>1309</v>
      </c>
      <c r="JK269" t="s">
        <v>1310</v>
      </c>
      <c r="JL269" t="s">
        <v>1309</v>
      </c>
      <c r="JM269" t="s">
        <v>1309</v>
      </c>
      <c r="JN269" t="s">
        <v>1309</v>
      </c>
      <c r="JO269" t="s">
        <v>1309</v>
      </c>
      <c r="JQ269" s="92" t="s">
        <v>1333</v>
      </c>
      <c r="JR269" s="92" t="s">
        <v>1334</v>
      </c>
      <c r="JS269" s="92">
        <v>34</v>
      </c>
      <c r="JT269" s="92" t="s">
        <v>1319</v>
      </c>
      <c r="JU269" s="92" t="s">
        <v>1335</v>
      </c>
      <c r="JV269" s="92" t="s">
        <v>1336</v>
      </c>
      <c r="JW269" s="92" t="s">
        <v>1296</v>
      </c>
      <c r="JX269" s="92" t="s">
        <v>71</v>
      </c>
      <c r="JY269" s="92" t="s">
        <v>5549</v>
      </c>
      <c r="JZ269" s="92" t="s">
        <v>1398</v>
      </c>
      <c r="KA269" s="92" t="s">
        <v>4845</v>
      </c>
      <c r="KB269" s="92" t="s">
        <v>1415</v>
      </c>
      <c r="KC269" s="92" t="s">
        <v>109</v>
      </c>
      <c r="KD269" s="92" t="s">
        <v>4847</v>
      </c>
      <c r="KE269" s="92" t="s">
        <v>1340</v>
      </c>
      <c r="KF269" s="92">
        <v>1700</v>
      </c>
      <c r="KG269" s="92" t="s">
        <v>1340</v>
      </c>
      <c r="KH269" s="92" t="s">
        <v>109</v>
      </c>
      <c r="KI269" s="92" t="s">
        <v>192</v>
      </c>
      <c r="KJ269" s="92" t="s">
        <v>109</v>
      </c>
      <c r="KK269" s="92" t="s">
        <v>192</v>
      </c>
      <c r="KL269" s="92" t="s">
        <v>1440</v>
      </c>
      <c r="KM269" s="92">
        <v>2200</v>
      </c>
      <c r="KN269" s="92" t="s">
        <v>1340</v>
      </c>
      <c r="KO269" s="92" t="s">
        <v>1425</v>
      </c>
      <c r="KP269" s="92" t="s">
        <v>1342</v>
      </c>
      <c r="KQ269" s="92" t="s">
        <v>109</v>
      </c>
      <c r="KR269" s="92">
        <v>24</v>
      </c>
      <c r="KS269" s="92" t="s">
        <v>1343</v>
      </c>
      <c r="KT269" s="92" t="s">
        <v>1402</v>
      </c>
      <c r="KU269" s="92">
        <v>36</v>
      </c>
      <c r="KV269" s="92" t="s">
        <v>1441</v>
      </c>
      <c r="KW269" s="92" t="s">
        <v>1402</v>
      </c>
      <c r="KX269" s="92" t="s">
        <v>1376</v>
      </c>
      <c r="KY269" s="92" t="s">
        <v>1377</v>
      </c>
      <c r="KZ269" s="92" t="s">
        <v>5795</v>
      </c>
      <c r="LA269" s="92" t="s">
        <v>109</v>
      </c>
      <c r="LB269" s="92" t="s">
        <v>109</v>
      </c>
      <c r="LC269" s="92" t="s">
        <v>5566</v>
      </c>
      <c r="LD269" s="92" t="s">
        <v>5566</v>
      </c>
      <c r="LE269" s="92"/>
      <c r="LF269" s="92"/>
    </row>
    <row r="270" spans="1:318" x14ac:dyDescent="0.25">
      <c r="A270" t="s">
        <v>2532</v>
      </c>
      <c r="B270" t="s">
        <v>2533</v>
      </c>
      <c r="C270" t="s">
        <v>1304</v>
      </c>
      <c r="D270" t="s">
        <v>1429</v>
      </c>
      <c r="E270" t="s">
        <v>1306</v>
      </c>
      <c r="G270" t="s">
        <v>1307</v>
      </c>
      <c r="H270">
        <v>2</v>
      </c>
      <c r="I270" t="s">
        <v>1307</v>
      </c>
      <c r="J270" t="s">
        <v>1430</v>
      </c>
      <c r="K270" t="s">
        <v>1309</v>
      </c>
      <c r="L270" t="s">
        <v>1309</v>
      </c>
      <c r="M270" t="s">
        <v>1310</v>
      </c>
      <c r="N270" t="s">
        <v>1309</v>
      </c>
      <c r="O270" t="s">
        <v>1309</v>
      </c>
      <c r="P270" t="s">
        <v>1309</v>
      </c>
      <c r="Q270" t="s">
        <v>1309</v>
      </c>
      <c r="R270" t="s">
        <v>1309</v>
      </c>
      <c r="T270">
        <v>2</v>
      </c>
      <c r="U270" t="s">
        <v>1311</v>
      </c>
      <c r="V270" t="s">
        <v>1312</v>
      </c>
      <c r="W270" t="s">
        <v>1311</v>
      </c>
      <c r="X270" t="s">
        <v>1312</v>
      </c>
      <c r="Y270" t="s">
        <v>1312</v>
      </c>
      <c r="Z270" t="s">
        <v>1312</v>
      </c>
      <c r="AC270">
        <v>2</v>
      </c>
      <c r="AD270">
        <v>5000</v>
      </c>
      <c r="AE270">
        <v>4000</v>
      </c>
      <c r="AF270" t="s">
        <v>1313</v>
      </c>
      <c r="AH270" t="s">
        <v>1314</v>
      </c>
      <c r="AJ270" t="s">
        <v>1353</v>
      </c>
      <c r="AL270" t="s">
        <v>1316</v>
      </c>
      <c r="BA270" t="s">
        <v>1316</v>
      </c>
      <c r="BS270" t="s">
        <v>1307</v>
      </c>
      <c r="CE270" t="s">
        <v>1431</v>
      </c>
      <c r="CF270" t="s">
        <v>1309</v>
      </c>
      <c r="CG270" t="s">
        <v>1309</v>
      </c>
      <c r="CH270" t="s">
        <v>1309</v>
      </c>
      <c r="CI270" t="s">
        <v>1310</v>
      </c>
      <c r="CJ270" t="s">
        <v>1309</v>
      </c>
      <c r="CK270" t="s">
        <v>1309</v>
      </c>
      <c r="CL270" t="s">
        <v>1309</v>
      </c>
      <c r="CM270" t="s">
        <v>1309</v>
      </c>
      <c r="CN270" t="s">
        <v>1310</v>
      </c>
      <c r="CO270" t="s">
        <v>1309</v>
      </c>
      <c r="CP270" t="s">
        <v>1309</v>
      </c>
      <c r="CQ270" t="s">
        <v>1309</v>
      </c>
      <c r="CR270" t="s">
        <v>1309</v>
      </c>
      <c r="CT270" t="s">
        <v>4435</v>
      </c>
      <c r="CV270" t="s">
        <v>1308</v>
      </c>
      <c r="CW270" t="s">
        <v>1310</v>
      </c>
      <c r="CX270" t="s">
        <v>1309</v>
      </c>
      <c r="CY270" t="s">
        <v>1309</v>
      </c>
      <c r="CZ270" t="s">
        <v>1309</v>
      </c>
      <c r="DA270" t="s">
        <v>1309</v>
      </c>
      <c r="DB270" t="s">
        <v>1309</v>
      </c>
      <c r="DC270" t="s">
        <v>1309</v>
      </c>
      <c r="DE270" t="s">
        <v>1358</v>
      </c>
      <c r="DF270" t="s">
        <v>1319</v>
      </c>
      <c r="DG270">
        <v>150</v>
      </c>
      <c r="DH270">
        <v>800</v>
      </c>
      <c r="DI270">
        <v>200</v>
      </c>
      <c r="DJ270" t="s">
        <v>1358</v>
      </c>
      <c r="DK270">
        <v>200</v>
      </c>
      <c r="DL270">
        <v>1200</v>
      </c>
      <c r="DM270">
        <v>200</v>
      </c>
      <c r="DN270" t="s">
        <v>1320</v>
      </c>
      <c r="DO270" t="s">
        <v>1310</v>
      </c>
      <c r="DP270" t="s">
        <v>1309</v>
      </c>
      <c r="DQ270" t="s">
        <v>1309</v>
      </c>
      <c r="DR270" t="s">
        <v>1309</v>
      </c>
      <c r="DS270" t="s">
        <v>1309</v>
      </c>
      <c r="DT270" t="s">
        <v>1310</v>
      </c>
      <c r="DU270" t="s">
        <v>1309</v>
      </c>
      <c r="DV270" t="s">
        <v>1309</v>
      </c>
      <c r="DW270" t="s">
        <v>1309</v>
      </c>
      <c r="DY270" t="s">
        <v>1490</v>
      </c>
      <c r="DZ270">
        <v>500</v>
      </c>
      <c r="EA270" t="s">
        <v>1386</v>
      </c>
      <c r="EC270" t="s">
        <v>1738</v>
      </c>
      <c r="ED270">
        <v>800</v>
      </c>
      <c r="EE270" t="s">
        <v>1386</v>
      </c>
      <c r="EG270" t="s">
        <v>5356</v>
      </c>
      <c r="EI270" t="s">
        <v>1307</v>
      </c>
      <c r="ET270" t="s">
        <v>1434</v>
      </c>
      <c r="EV270" t="s">
        <v>1319</v>
      </c>
      <c r="EW270" t="s">
        <v>1529</v>
      </c>
      <c r="EX270" t="s">
        <v>1319</v>
      </c>
      <c r="EY270" t="s">
        <v>1307</v>
      </c>
      <c r="FA270" t="s">
        <v>1392</v>
      </c>
      <c r="FB270" t="s">
        <v>1309</v>
      </c>
      <c r="FC270" t="s">
        <v>1309</v>
      </c>
      <c r="FD270" t="s">
        <v>1309</v>
      </c>
      <c r="FE270" t="s">
        <v>1309</v>
      </c>
      <c r="FF270" t="s">
        <v>1309</v>
      </c>
      <c r="FG270" t="s">
        <v>1309</v>
      </c>
      <c r="FH270" t="s">
        <v>1309</v>
      </c>
      <c r="FI270" t="s">
        <v>1309</v>
      </c>
      <c r="FJ270" t="s">
        <v>1309</v>
      </c>
      <c r="FK270" t="s">
        <v>1309</v>
      </c>
      <c r="FL270" t="s">
        <v>1309</v>
      </c>
      <c r="FM270" t="s">
        <v>1309</v>
      </c>
      <c r="FN270" t="s">
        <v>1310</v>
      </c>
      <c r="FO270" t="s">
        <v>1309</v>
      </c>
      <c r="FP270" t="s">
        <v>1309</v>
      </c>
      <c r="FQ270" t="s">
        <v>1309</v>
      </c>
      <c r="FR270" t="s">
        <v>1309</v>
      </c>
      <c r="FT270" t="s">
        <v>1319</v>
      </c>
      <c r="FU270" t="s">
        <v>2040</v>
      </c>
      <c r="FV270" t="s">
        <v>1310</v>
      </c>
      <c r="FW270" t="s">
        <v>1310</v>
      </c>
      <c r="FX270" t="s">
        <v>1309</v>
      </c>
      <c r="FY270" t="s">
        <v>1309</v>
      </c>
      <c r="FZ270" t="s">
        <v>1309</v>
      </c>
      <c r="GA270" t="s">
        <v>1310</v>
      </c>
      <c r="GB270" t="s">
        <v>1309</v>
      </c>
      <c r="GC270" t="s">
        <v>1309</v>
      </c>
      <c r="GD270" t="s">
        <v>1310</v>
      </c>
      <c r="GE270" t="s">
        <v>1309</v>
      </c>
      <c r="GF270" t="s">
        <v>1309</v>
      </c>
      <c r="GG270" t="s">
        <v>1309</v>
      </c>
      <c r="GI270" t="s">
        <v>1324</v>
      </c>
      <c r="GJ270" t="s">
        <v>1324</v>
      </c>
      <c r="GT270" t="s">
        <v>1325</v>
      </c>
      <c r="GU270" t="s">
        <v>1310</v>
      </c>
      <c r="GV270" t="s">
        <v>1309</v>
      </c>
      <c r="GW270" t="s">
        <v>1309</v>
      </c>
      <c r="GX270" t="s">
        <v>1309</v>
      </c>
      <c r="GY270" t="s">
        <v>1309</v>
      </c>
      <c r="GZ270" t="s">
        <v>1309</v>
      </c>
      <c r="HA270" t="s">
        <v>1309</v>
      </c>
      <c r="HB270" t="s">
        <v>1309</v>
      </c>
      <c r="HC270" t="s">
        <v>1309</v>
      </c>
      <c r="HD270" t="s">
        <v>1309</v>
      </c>
      <c r="HE270" t="s">
        <v>1309</v>
      </c>
      <c r="HF270" t="s">
        <v>1309</v>
      </c>
      <c r="HH270" t="s">
        <v>1390</v>
      </c>
      <c r="HI270" t="s">
        <v>1390</v>
      </c>
      <c r="HJ270" t="s">
        <v>1390</v>
      </c>
      <c r="HK270" t="s">
        <v>1327</v>
      </c>
      <c r="HL270" t="s">
        <v>1328</v>
      </c>
      <c r="HM270" t="s">
        <v>1390</v>
      </c>
      <c r="HN270" t="s">
        <v>1549</v>
      </c>
      <c r="HO270" t="s">
        <v>1310</v>
      </c>
      <c r="HP270" t="s">
        <v>1310</v>
      </c>
      <c r="HQ270" t="s">
        <v>1309</v>
      </c>
      <c r="HR270" t="s">
        <v>1309</v>
      </c>
      <c r="HS270" t="s">
        <v>1309</v>
      </c>
      <c r="HT270" t="s">
        <v>1309</v>
      </c>
      <c r="HU270" t="s">
        <v>1309</v>
      </c>
      <c r="HV270" t="s">
        <v>1309</v>
      </c>
      <c r="HW270" t="s">
        <v>1309</v>
      </c>
      <c r="HX270" t="s">
        <v>1309</v>
      </c>
      <c r="HY270" t="s">
        <v>1309</v>
      </c>
      <c r="IA270" t="s">
        <v>1319</v>
      </c>
      <c r="IB270" t="s">
        <v>1423</v>
      </c>
      <c r="IC270" t="s">
        <v>1309</v>
      </c>
      <c r="ID270" t="s">
        <v>1309</v>
      </c>
      <c r="IE270" t="s">
        <v>1309</v>
      </c>
      <c r="IF270" t="s">
        <v>1309</v>
      </c>
      <c r="IG270" t="s">
        <v>1310</v>
      </c>
      <c r="IH270" t="s">
        <v>1309</v>
      </c>
      <c r="II270" t="s">
        <v>1309</v>
      </c>
      <c r="IJ270" t="s">
        <v>1309</v>
      </c>
      <c r="IK270" t="s">
        <v>1309</v>
      </c>
      <c r="IL270" t="s">
        <v>1309</v>
      </c>
      <c r="IM270" t="s">
        <v>1309</v>
      </c>
      <c r="IN270" t="s">
        <v>1309</v>
      </c>
      <c r="IO270" t="s">
        <v>1309</v>
      </c>
      <c r="IQ270" t="s">
        <v>1308</v>
      </c>
      <c r="IS270" t="s">
        <v>1316</v>
      </c>
      <c r="JF270" t="s">
        <v>1316</v>
      </c>
      <c r="JG270" t="s">
        <v>2088</v>
      </c>
      <c r="JH270" t="s">
        <v>1310</v>
      </c>
      <c r="JI270" t="s">
        <v>1309</v>
      </c>
      <c r="JJ270" t="s">
        <v>1309</v>
      </c>
      <c r="JK270" t="s">
        <v>1310</v>
      </c>
      <c r="JL270" t="s">
        <v>1310</v>
      </c>
      <c r="JM270" t="s">
        <v>1309</v>
      </c>
      <c r="JN270" t="s">
        <v>1309</v>
      </c>
      <c r="JO270" t="s">
        <v>1309</v>
      </c>
      <c r="JQ270" s="92" t="s">
        <v>1333</v>
      </c>
      <c r="JR270" s="92" t="s">
        <v>1334</v>
      </c>
      <c r="JS270" s="92">
        <v>69</v>
      </c>
      <c r="JT270" s="92" t="s">
        <v>1319</v>
      </c>
      <c r="JU270" s="92" t="s">
        <v>1335</v>
      </c>
      <c r="JV270" s="92" t="s">
        <v>1336</v>
      </c>
      <c r="JW270" s="92" t="s">
        <v>1296</v>
      </c>
      <c r="JX270" s="92" t="s">
        <v>71</v>
      </c>
      <c r="JY270" s="92" t="s">
        <v>5549</v>
      </c>
      <c r="JZ270" s="92" t="s">
        <v>1369</v>
      </c>
      <c r="KA270" s="92" t="s">
        <v>4845</v>
      </c>
      <c r="KB270" s="92" t="s">
        <v>1476</v>
      </c>
      <c r="KC270" s="92" t="s">
        <v>109</v>
      </c>
      <c r="KD270" s="92" t="s">
        <v>4847</v>
      </c>
      <c r="KE270" s="92" t="s">
        <v>5560</v>
      </c>
      <c r="KF270" s="92">
        <v>1150</v>
      </c>
      <c r="KG270" s="92" t="s">
        <v>4438</v>
      </c>
      <c r="KH270" s="92" t="s">
        <v>192</v>
      </c>
      <c r="KI270" s="92" t="s">
        <v>192</v>
      </c>
      <c r="KJ270" s="92" t="s">
        <v>192</v>
      </c>
      <c r="KK270" s="92" t="s">
        <v>192</v>
      </c>
      <c r="KL270" s="92" t="s">
        <v>1440</v>
      </c>
      <c r="KM270" s="92">
        <v>1600</v>
      </c>
      <c r="KN270" s="92" t="s">
        <v>4439</v>
      </c>
      <c r="KO270" s="92" t="s">
        <v>1440</v>
      </c>
      <c r="KP270" s="92" t="s">
        <v>1342</v>
      </c>
      <c r="KQ270" s="92" t="s">
        <v>192</v>
      </c>
      <c r="KR270" s="92">
        <v>43</v>
      </c>
      <c r="KS270" s="92" t="s">
        <v>1345</v>
      </c>
      <c r="KT270" s="92" t="s">
        <v>1402</v>
      </c>
      <c r="KU270" s="92">
        <v>50</v>
      </c>
      <c r="KV270" s="92" t="s">
        <v>1441</v>
      </c>
      <c r="KW270" s="92" t="s">
        <v>1402</v>
      </c>
      <c r="KX270" s="92" t="s">
        <v>1346</v>
      </c>
      <c r="KY270" s="92" t="s">
        <v>1347</v>
      </c>
      <c r="KZ270" s="92" t="s">
        <v>5795</v>
      </c>
      <c r="LA270" s="92" t="s">
        <v>109</v>
      </c>
      <c r="LB270" s="92" t="s">
        <v>109</v>
      </c>
      <c r="LC270" s="92" t="s">
        <v>4438</v>
      </c>
      <c r="LD270" s="92" t="s">
        <v>4439</v>
      </c>
      <c r="LE270" s="92" t="s">
        <v>192</v>
      </c>
      <c r="LF270" s="92" t="s">
        <v>192</v>
      </c>
    </row>
    <row r="271" spans="1:318" x14ac:dyDescent="0.25">
      <c r="A271" t="s">
        <v>2534</v>
      </c>
      <c r="B271" t="s">
        <v>2535</v>
      </c>
      <c r="C271" t="s">
        <v>1304</v>
      </c>
      <c r="D271" t="s">
        <v>1305</v>
      </c>
      <c r="E271" t="s">
        <v>1306</v>
      </c>
      <c r="G271" t="s">
        <v>1307</v>
      </c>
      <c r="H271">
        <v>4</v>
      </c>
      <c r="I271" t="s">
        <v>1307</v>
      </c>
      <c r="J271" t="s">
        <v>1663</v>
      </c>
      <c r="K271" t="s">
        <v>1309</v>
      </c>
      <c r="L271" t="s">
        <v>1310</v>
      </c>
      <c r="M271" t="s">
        <v>1310</v>
      </c>
      <c r="N271" t="s">
        <v>1309</v>
      </c>
      <c r="O271" t="s">
        <v>1309</v>
      </c>
      <c r="P271" t="s">
        <v>1309</v>
      </c>
      <c r="Q271" t="s">
        <v>1309</v>
      </c>
      <c r="R271" t="s">
        <v>1309</v>
      </c>
      <c r="S271">
        <v>1</v>
      </c>
      <c r="T271">
        <v>1</v>
      </c>
      <c r="U271" t="s">
        <v>1311</v>
      </c>
      <c r="V271" t="s">
        <v>1312</v>
      </c>
      <c r="W271" t="s">
        <v>1311</v>
      </c>
      <c r="X271" t="s">
        <v>1311</v>
      </c>
      <c r="Y271" t="s">
        <v>1312</v>
      </c>
      <c r="Z271" t="s">
        <v>1312</v>
      </c>
      <c r="AC271">
        <v>3</v>
      </c>
      <c r="AD271">
        <v>15000</v>
      </c>
      <c r="AE271">
        <v>14000</v>
      </c>
      <c r="AF271" t="s">
        <v>1313</v>
      </c>
      <c r="AH271" t="s">
        <v>1383</v>
      </c>
      <c r="AJ271" t="s">
        <v>1315</v>
      </c>
      <c r="AL271" t="s">
        <v>1316</v>
      </c>
      <c r="BS271" t="s">
        <v>1307</v>
      </c>
      <c r="CE271" t="s">
        <v>2091</v>
      </c>
      <c r="CF271" t="s">
        <v>1310</v>
      </c>
      <c r="CG271" t="s">
        <v>1309</v>
      </c>
      <c r="CH271" t="s">
        <v>1309</v>
      </c>
      <c r="CI271" t="s">
        <v>1309</v>
      </c>
      <c r="CJ271" t="s">
        <v>1309</v>
      </c>
      <c r="CK271" t="s">
        <v>1309</v>
      </c>
      <c r="CL271" t="s">
        <v>1309</v>
      </c>
      <c r="CM271" t="s">
        <v>1309</v>
      </c>
      <c r="CN271" t="s">
        <v>1310</v>
      </c>
      <c r="CO271" t="s">
        <v>1309</v>
      </c>
      <c r="CP271" t="s">
        <v>1309</v>
      </c>
      <c r="CQ271" t="s">
        <v>1309</v>
      </c>
      <c r="CR271" t="s">
        <v>1309</v>
      </c>
      <c r="CT271" t="s">
        <v>4435</v>
      </c>
      <c r="CV271" t="s">
        <v>1308</v>
      </c>
      <c r="CW271" t="s">
        <v>1310</v>
      </c>
      <c r="CX271" t="s">
        <v>1309</v>
      </c>
      <c r="CY271" t="s">
        <v>1309</v>
      </c>
      <c r="CZ271" t="s">
        <v>1309</v>
      </c>
      <c r="DA271" t="s">
        <v>1309</v>
      </c>
      <c r="DB271" t="s">
        <v>1309</v>
      </c>
      <c r="DC271" t="s">
        <v>1309</v>
      </c>
      <c r="DE271" t="s">
        <v>1358</v>
      </c>
      <c r="DF271" t="s">
        <v>1307</v>
      </c>
      <c r="DH271">
        <v>2000</v>
      </c>
      <c r="DI271">
        <v>900</v>
      </c>
      <c r="DJ271" t="s">
        <v>1358</v>
      </c>
      <c r="DL271">
        <v>2500</v>
      </c>
      <c r="DM271">
        <v>900</v>
      </c>
      <c r="DN271" t="s">
        <v>1320</v>
      </c>
      <c r="DO271" t="s">
        <v>1310</v>
      </c>
      <c r="DP271" t="s">
        <v>1309</v>
      </c>
      <c r="DQ271" t="s">
        <v>1309</v>
      </c>
      <c r="DR271" t="s">
        <v>1309</v>
      </c>
      <c r="DS271" t="s">
        <v>1309</v>
      </c>
      <c r="DT271" t="s">
        <v>1310</v>
      </c>
      <c r="DU271" t="s">
        <v>1309</v>
      </c>
      <c r="DV271" t="s">
        <v>1309</v>
      </c>
      <c r="DW271" t="s">
        <v>1309</v>
      </c>
      <c r="DY271" t="s">
        <v>1481</v>
      </c>
      <c r="DZ271">
        <v>600</v>
      </c>
      <c r="EA271" t="s">
        <v>1319</v>
      </c>
      <c r="EC271" t="s">
        <v>1457</v>
      </c>
      <c r="ED271">
        <v>900</v>
      </c>
      <c r="EE271" t="s">
        <v>1319</v>
      </c>
      <c r="EG271" t="s">
        <v>5357</v>
      </c>
      <c r="ET271" t="s">
        <v>1307</v>
      </c>
      <c r="EV271" t="s">
        <v>1319</v>
      </c>
      <c r="EW271" t="s">
        <v>1421</v>
      </c>
      <c r="EX271" t="s">
        <v>1319</v>
      </c>
      <c r="FA271" t="s">
        <v>2361</v>
      </c>
      <c r="FB271" t="s">
        <v>1309</v>
      </c>
      <c r="FC271" t="s">
        <v>1309</v>
      </c>
      <c r="FD271" t="s">
        <v>1309</v>
      </c>
      <c r="FE271" t="s">
        <v>1309</v>
      </c>
      <c r="FF271" t="s">
        <v>1309</v>
      </c>
      <c r="FG271" t="s">
        <v>1310</v>
      </c>
      <c r="FH271" t="s">
        <v>1310</v>
      </c>
      <c r="FI271" t="s">
        <v>1310</v>
      </c>
      <c r="FJ271" t="s">
        <v>1309</v>
      </c>
      <c r="FK271" t="s">
        <v>1309</v>
      </c>
      <c r="FL271" t="s">
        <v>1309</v>
      </c>
      <c r="FM271" t="s">
        <v>1309</v>
      </c>
      <c r="FN271" t="s">
        <v>1309</v>
      </c>
      <c r="FO271" t="s">
        <v>1309</v>
      </c>
      <c r="FP271" t="s">
        <v>1309</v>
      </c>
      <c r="FQ271" t="s">
        <v>1309</v>
      </c>
      <c r="FR271" t="s">
        <v>1309</v>
      </c>
      <c r="FT271" t="s">
        <v>1319</v>
      </c>
      <c r="FU271" t="s">
        <v>2486</v>
      </c>
      <c r="FV271" t="s">
        <v>1310</v>
      </c>
      <c r="FW271" t="s">
        <v>1309</v>
      </c>
      <c r="FX271" t="s">
        <v>1309</v>
      </c>
      <c r="FY271" t="s">
        <v>1310</v>
      </c>
      <c r="FZ271" t="s">
        <v>1309</v>
      </c>
      <c r="GA271" t="s">
        <v>1310</v>
      </c>
      <c r="GB271" t="s">
        <v>1309</v>
      </c>
      <c r="GC271" t="s">
        <v>1309</v>
      </c>
      <c r="GD271" t="s">
        <v>1309</v>
      </c>
      <c r="GE271" t="s">
        <v>1309</v>
      </c>
      <c r="GF271" t="s">
        <v>1309</v>
      </c>
      <c r="GG271" t="s">
        <v>1309</v>
      </c>
      <c r="GI271" t="s">
        <v>1324</v>
      </c>
      <c r="GJ271" t="s">
        <v>1324</v>
      </c>
      <c r="GT271" t="s">
        <v>1325</v>
      </c>
      <c r="GU271" t="s">
        <v>1310</v>
      </c>
      <c r="GV271" t="s">
        <v>1309</v>
      </c>
      <c r="GW271" t="s">
        <v>1309</v>
      </c>
      <c r="GX271" t="s">
        <v>1309</v>
      </c>
      <c r="GY271" t="s">
        <v>1309</v>
      </c>
      <c r="GZ271" t="s">
        <v>1309</v>
      </c>
      <c r="HA271" t="s">
        <v>1309</v>
      </c>
      <c r="HB271" t="s">
        <v>1309</v>
      </c>
      <c r="HC271" t="s">
        <v>1309</v>
      </c>
      <c r="HD271" t="s">
        <v>1309</v>
      </c>
      <c r="HE271" t="s">
        <v>1309</v>
      </c>
      <c r="HF271" t="s">
        <v>1309</v>
      </c>
      <c r="HH271" t="s">
        <v>1326</v>
      </c>
      <c r="HI271" t="s">
        <v>1327</v>
      </c>
      <c r="HJ271" t="s">
        <v>1326</v>
      </c>
      <c r="HK271" t="s">
        <v>1327</v>
      </c>
      <c r="HL271" t="s">
        <v>1328</v>
      </c>
      <c r="HM271" t="s">
        <v>1326</v>
      </c>
      <c r="HN271" t="s">
        <v>1435</v>
      </c>
      <c r="HO271" t="s">
        <v>1309</v>
      </c>
      <c r="HP271" t="s">
        <v>1310</v>
      </c>
      <c r="HQ271" t="s">
        <v>1309</v>
      </c>
      <c r="HR271" t="s">
        <v>1309</v>
      </c>
      <c r="HS271" t="s">
        <v>1309</v>
      </c>
      <c r="HT271" t="s">
        <v>1309</v>
      </c>
      <c r="HU271" t="s">
        <v>1309</v>
      </c>
      <c r="HV271" t="s">
        <v>1309</v>
      </c>
      <c r="HW271" t="s">
        <v>1309</v>
      </c>
      <c r="HX271" t="s">
        <v>1309</v>
      </c>
      <c r="HY271" t="s">
        <v>1309</v>
      </c>
      <c r="IA271" t="s">
        <v>1307</v>
      </c>
      <c r="IQ271" t="s">
        <v>1365</v>
      </c>
      <c r="IS271" t="s">
        <v>1331</v>
      </c>
      <c r="JF271" t="s">
        <v>1413</v>
      </c>
      <c r="JG271" t="s">
        <v>1451</v>
      </c>
      <c r="JH271" t="s">
        <v>1310</v>
      </c>
      <c r="JI271" t="s">
        <v>1309</v>
      </c>
      <c r="JJ271" t="s">
        <v>1309</v>
      </c>
      <c r="JK271" t="s">
        <v>1310</v>
      </c>
      <c r="JL271" t="s">
        <v>1309</v>
      </c>
      <c r="JM271" t="s">
        <v>1309</v>
      </c>
      <c r="JN271" t="s">
        <v>1309</v>
      </c>
      <c r="JO271" t="s">
        <v>1309</v>
      </c>
      <c r="JQ271" s="92" t="s">
        <v>1333</v>
      </c>
      <c r="JR271" s="92" t="s">
        <v>1334</v>
      </c>
      <c r="JS271" s="92">
        <v>35</v>
      </c>
      <c r="JT271" s="92" t="s">
        <v>1319</v>
      </c>
      <c r="JU271" s="92" t="s">
        <v>1335</v>
      </c>
      <c r="JV271" s="92" t="s">
        <v>1336</v>
      </c>
      <c r="JW271" s="92" t="s">
        <v>1296</v>
      </c>
      <c r="JX271" s="92" t="s">
        <v>71</v>
      </c>
      <c r="JY271" s="92" t="s">
        <v>5549</v>
      </c>
      <c r="JZ271" s="92" t="s">
        <v>1337</v>
      </c>
      <c r="KA271" s="92" t="s">
        <v>4845</v>
      </c>
      <c r="KB271" s="92" t="s">
        <v>1370</v>
      </c>
      <c r="KC271" s="92" t="s">
        <v>109</v>
      </c>
      <c r="KD271" s="92" t="s">
        <v>4848</v>
      </c>
      <c r="KE271" s="92" t="s">
        <v>1371</v>
      </c>
      <c r="KF271" s="92">
        <v>2900</v>
      </c>
      <c r="KG271" s="92" t="s">
        <v>4438</v>
      </c>
      <c r="KH271" s="92" t="s">
        <v>109</v>
      </c>
      <c r="KI271" s="92" t="s">
        <v>192</v>
      </c>
      <c r="KJ271" s="92" t="s">
        <v>109</v>
      </c>
      <c r="KK271" s="92" t="s">
        <v>192</v>
      </c>
      <c r="KL271" s="92" t="s">
        <v>1425</v>
      </c>
      <c r="KM271" s="92">
        <v>3400</v>
      </c>
      <c r="KN271" s="92" t="s">
        <v>4438</v>
      </c>
      <c r="KO271" s="92" t="s">
        <v>1341</v>
      </c>
      <c r="KP271" s="92" t="s">
        <v>1342</v>
      </c>
      <c r="KQ271" s="92" t="s">
        <v>109</v>
      </c>
      <c r="KR271" s="92">
        <v>21</v>
      </c>
      <c r="KS271" s="92" t="s">
        <v>1345</v>
      </c>
      <c r="KT271" s="92" t="s">
        <v>1344</v>
      </c>
      <c r="KU271" s="92">
        <v>26</v>
      </c>
      <c r="KV271" s="92" t="s">
        <v>1461</v>
      </c>
      <c r="KW271" s="92" t="s">
        <v>1344</v>
      </c>
      <c r="KX271" s="92" t="s">
        <v>1376</v>
      </c>
      <c r="KY271" s="92" t="s">
        <v>1377</v>
      </c>
      <c r="KZ271" s="92" t="s">
        <v>5795</v>
      </c>
      <c r="LA271" s="92" t="s">
        <v>109</v>
      </c>
      <c r="LB271" s="92" t="s">
        <v>109</v>
      </c>
      <c r="LC271" s="92" t="s">
        <v>4438</v>
      </c>
      <c r="LD271" s="92" t="s">
        <v>4438</v>
      </c>
      <c r="LE271" s="92" t="s">
        <v>192</v>
      </c>
      <c r="LF271" s="92" t="s">
        <v>192</v>
      </c>
    </row>
    <row r="272" spans="1:318" x14ac:dyDescent="0.25">
      <c r="A272" t="s">
        <v>2536</v>
      </c>
      <c r="B272" t="s">
        <v>2537</v>
      </c>
      <c r="C272" t="s">
        <v>1304</v>
      </c>
      <c r="D272" t="s">
        <v>1429</v>
      </c>
      <c r="E272" t="s">
        <v>1306</v>
      </c>
      <c r="G272" t="s">
        <v>1307</v>
      </c>
      <c r="H272">
        <v>2</v>
      </c>
      <c r="I272" t="s">
        <v>1307</v>
      </c>
      <c r="J272" t="s">
        <v>1430</v>
      </c>
      <c r="K272" t="s">
        <v>1309</v>
      </c>
      <c r="L272" t="s">
        <v>1309</v>
      </c>
      <c r="M272" t="s">
        <v>1310</v>
      </c>
      <c r="N272" t="s">
        <v>1309</v>
      </c>
      <c r="O272" t="s">
        <v>1309</v>
      </c>
      <c r="P272" t="s">
        <v>1309</v>
      </c>
      <c r="Q272" t="s">
        <v>1309</v>
      </c>
      <c r="R272" t="s">
        <v>1309</v>
      </c>
      <c r="T272">
        <v>1</v>
      </c>
      <c r="U272" t="s">
        <v>1311</v>
      </c>
      <c r="V272" t="s">
        <v>1312</v>
      </c>
      <c r="W272" t="s">
        <v>1311</v>
      </c>
      <c r="X272" t="s">
        <v>1312</v>
      </c>
      <c r="Y272" t="s">
        <v>1312</v>
      </c>
      <c r="Z272" t="s">
        <v>1312</v>
      </c>
      <c r="AC272">
        <v>2</v>
      </c>
      <c r="AD272">
        <v>15000</v>
      </c>
      <c r="AE272">
        <v>12000</v>
      </c>
      <c r="AF272" t="s">
        <v>1351</v>
      </c>
      <c r="AH272" t="s">
        <v>1314</v>
      </c>
      <c r="AJ272" t="s">
        <v>1315</v>
      </c>
      <c r="AL272" t="s">
        <v>1316</v>
      </c>
      <c r="BS272" t="s">
        <v>1307</v>
      </c>
      <c r="CE272" t="s">
        <v>1414</v>
      </c>
      <c r="CF272" t="s">
        <v>1309</v>
      </c>
      <c r="CG272" t="s">
        <v>1309</v>
      </c>
      <c r="CH272" t="s">
        <v>1309</v>
      </c>
      <c r="CI272" t="s">
        <v>1309</v>
      </c>
      <c r="CJ272" t="s">
        <v>1309</v>
      </c>
      <c r="CK272" t="s">
        <v>1309</v>
      </c>
      <c r="CL272" t="s">
        <v>1309</v>
      </c>
      <c r="CM272" t="s">
        <v>1309</v>
      </c>
      <c r="CN272" t="s">
        <v>1309</v>
      </c>
      <c r="CO272" t="s">
        <v>1309</v>
      </c>
      <c r="CP272" t="s">
        <v>1309</v>
      </c>
      <c r="CQ272" t="s">
        <v>1310</v>
      </c>
      <c r="CR272" t="s">
        <v>1309</v>
      </c>
      <c r="CT272" t="s">
        <v>4434</v>
      </c>
      <c r="CV272" t="s">
        <v>1308</v>
      </c>
      <c r="CW272" t="s">
        <v>1310</v>
      </c>
      <c r="CX272" t="s">
        <v>1309</v>
      </c>
      <c r="CY272" t="s">
        <v>1309</v>
      </c>
      <c r="CZ272" t="s">
        <v>1309</v>
      </c>
      <c r="DA272" t="s">
        <v>1309</v>
      </c>
      <c r="DB272" t="s">
        <v>1309</v>
      </c>
      <c r="DC272" t="s">
        <v>1309</v>
      </c>
      <c r="DE272" t="s">
        <v>1358</v>
      </c>
      <c r="DG272">
        <v>2500</v>
      </c>
      <c r="DI272">
        <v>1000</v>
      </c>
      <c r="DJ272" t="s">
        <v>1358</v>
      </c>
      <c r="DK272">
        <v>2800</v>
      </c>
      <c r="DM272">
        <v>900</v>
      </c>
      <c r="DN272" t="s">
        <v>1432</v>
      </c>
      <c r="DO272" t="s">
        <v>1310</v>
      </c>
      <c r="DP272" t="s">
        <v>1309</v>
      </c>
      <c r="DQ272" t="s">
        <v>1309</v>
      </c>
      <c r="DR272" t="s">
        <v>1310</v>
      </c>
      <c r="DS272" t="s">
        <v>1309</v>
      </c>
      <c r="DT272" t="s">
        <v>1310</v>
      </c>
      <c r="DU272" t="s">
        <v>1309</v>
      </c>
      <c r="DV272" t="s">
        <v>1309</v>
      </c>
      <c r="DW272" t="s">
        <v>1309</v>
      </c>
      <c r="DY272" t="s">
        <v>1481</v>
      </c>
      <c r="DZ272">
        <v>600</v>
      </c>
      <c r="EA272" t="s">
        <v>1319</v>
      </c>
      <c r="EC272" t="s">
        <v>1854</v>
      </c>
      <c r="ED272">
        <v>800</v>
      </c>
      <c r="EE272" t="s">
        <v>1319</v>
      </c>
      <c r="EG272" t="s">
        <v>5357</v>
      </c>
      <c r="ET272" t="s">
        <v>1307</v>
      </c>
      <c r="EV272" t="s">
        <v>1319</v>
      </c>
      <c r="EW272" t="s">
        <v>1409</v>
      </c>
      <c r="EX272" t="s">
        <v>1319</v>
      </c>
      <c r="EY272" t="s">
        <v>1319</v>
      </c>
      <c r="FA272" t="s">
        <v>2538</v>
      </c>
      <c r="FB272" t="s">
        <v>1309</v>
      </c>
      <c r="FC272" t="s">
        <v>1310</v>
      </c>
      <c r="FD272" t="s">
        <v>1310</v>
      </c>
      <c r="FE272" t="s">
        <v>1309</v>
      </c>
      <c r="FF272" t="s">
        <v>1309</v>
      </c>
      <c r="FG272" t="s">
        <v>1309</v>
      </c>
      <c r="FH272" t="s">
        <v>1309</v>
      </c>
      <c r="FI272" t="s">
        <v>1309</v>
      </c>
      <c r="FJ272" t="s">
        <v>1309</v>
      </c>
      <c r="FK272" t="s">
        <v>1310</v>
      </c>
      <c r="FL272" t="s">
        <v>1309</v>
      </c>
      <c r="FM272" t="s">
        <v>1309</v>
      </c>
      <c r="FN272" t="s">
        <v>1310</v>
      </c>
      <c r="FO272" t="s">
        <v>1309</v>
      </c>
      <c r="FP272" t="s">
        <v>1309</v>
      </c>
      <c r="FQ272" t="s">
        <v>1309</v>
      </c>
      <c r="FR272" t="s">
        <v>1309</v>
      </c>
      <c r="FT272" t="s">
        <v>1307</v>
      </c>
      <c r="GI272" t="s">
        <v>1324</v>
      </c>
      <c r="GJ272" t="s">
        <v>1324</v>
      </c>
      <c r="GT272" t="s">
        <v>1325</v>
      </c>
      <c r="GU272" t="s">
        <v>1310</v>
      </c>
      <c r="GV272" t="s">
        <v>1309</v>
      </c>
      <c r="GW272" t="s">
        <v>1309</v>
      </c>
      <c r="GX272" t="s">
        <v>1309</v>
      </c>
      <c r="GY272" t="s">
        <v>1309</v>
      </c>
      <c r="GZ272" t="s">
        <v>1309</v>
      </c>
      <c r="HA272" t="s">
        <v>1309</v>
      </c>
      <c r="HB272" t="s">
        <v>1309</v>
      </c>
      <c r="HC272" t="s">
        <v>1309</v>
      </c>
      <c r="HD272" t="s">
        <v>1309</v>
      </c>
      <c r="HE272" t="s">
        <v>1309</v>
      </c>
      <c r="HF272" t="s">
        <v>1309</v>
      </c>
      <c r="HH272" t="s">
        <v>1326</v>
      </c>
      <c r="HI272" t="s">
        <v>1308</v>
      </c>
      <c r="HJ272" t="s">
        <v>1326</v>
      </c>
      <c r="HK272" t="s">
        <v>1327</v>
      </c>
      <c r="HL272" t="s">
        <v>1437</v>
      </c>
      <c r="HM272" t="s">
        <v>1326</v>
      </c>
      <c r="HN272" t="s">
        <v>2539</v>
      </c>
      <c r="HO272" t="s">
        <v>1309</v>
      </c>
      <c r="HP272" t="s">
        <v>1310</v>
      </c>
      <c r="HQ272" t="s">
        <v>1309</v>
      </c>
      <c r="HR272" t="s">
        <v>1309</v>
      </c>
      <c r="HS272" t="s">
        <v>1309</v>
      </c>
      <c r="HT272" t="s">
        <v>1310</v>
      </c>
      <c r="HU272" t="s">
        <v>1309</v>
      </c>
      <c r="HV272" t="s">
        <v>1309</v>
      </c>
      <c r="HW272" t="s">
        <v>1309</v>
      </c>
      <c r="HX272" t="s">
        <v>1309</v>
      </c>
      <c r="HY272" t="s">
        <v>1309</v>
      </c>
      <c r="IA272" t="s">
        <v>1307</v>
      </c>
      <c r="IQ272" t="s">
        <v>1365</v>
      </c>
      <c r="IS272" t="s">
        <v>1316</v>
      </c>
      <c r="JF272" t="s">
        <v>1331</v>
      </c>
      <c r="JG272" t="s">
        <v>2540</v>
      </c>
      <c r="JH272" t="s">
        <v>1310</v>
      </c>
      <c r="JI272" t="s">
        <v>1310</v>
      </c>
      <c r="JJ272" t="s">
        <v>1309</v>
      </c>
      <c r="JK272" t="s">
        <v>1310</v>
      </c>
      <c r="JL272" t="s">
        <v>1309</v>
      </c>
      <c r="JM272" t="s">
        <v>1309</v>
      </c>
      <c r="JN272" t="s">
        <v>1309</v>
      </c>
      <c r="JO272" t="s">
        <v>1309</v>
      </c>
      <c r="JQ272" s="92" t="s">
        <v>1333</v>
      </c>
      <c r="JR272" s="92" t="s">
        <v>1334</v>
      </c>
      <c r="JS272" s="92">
        <v>29</v>
      </c>
      <c r="JT272" s="92" t="s">
        <v>1319</v>
      </c>
      <c r="JU272" s="92" t="s">
        <v>1335</v>
      </c>
      <c r="JV272" s="92" t="s">
        <v>1336</v>
      </c>
      <c r="JW272" s="92" t="s">
        <v>1296</v>
      </c>
      <c r="JX272" s="92" t="s">
        <v>71</v>
      </c>
      <c r="JY272" s="92" t="s">
        <v>5549</v>
      </c>
      <c r="JZ272" s="92" t="s">
        <v>1398</v>
      </c>
      <c r="KA272" s="92" t="s">
        <v>4845</v>
      </c>
      <c r="KB272" s="92" t="s">
        <v>1439</v>
      </c>
      <c r="KC272" s="92" t="s">
        <v>109</v>
      </c>
      <c r="KD272" s="92" t="s">
        <v>4847</v>
      </c>
      <c r="KE272" s="92" t="s">
        <v>1371</v>
      </c>
      <c r="KF272" s="92">
        <v>3500</v>
      </c>
      <c r="KG272" s="92" t="s">
        <v>4438</v>
      </c>
      <c r="KH272" s="92" t="s">
        <v>192</v>
      </c>
      <c r="KI272" s="92" t="s">
        <v>109</v>
      </c>
      <c r="KJ272" s="92" t="s">
        <v>192</v>
      </c>
      <c r="KK272" s="92" t="s">
        <v>109</v>
      </c>
      <c r="KL272" s="92" t="s">
        <v>1341</v>
      </c>
      <c r="KM272" s="92">
        <v>3700</v>
      </c>
      <c r="KN272" s="92" t="s">
        <v>4438</v>
      </c>
      <c r="KO272" s="92" t="s">
        <v>1341</v>
      </c>
      <c r="KP272" s="92" t="s">
        <v>1460</v>
      </c>
      <c r="KQ272" s="92" t="s">
        <v>192</v>
      </c>
      <c r="KR272" s="92">
        <v>17</v>
      </c>
      <c r="KS272" s="92" t="s">
        <v>1345</v>
      </c>
      <c r="KT272" s="92" t="s">
        <v>1344</v>
      </c>
      <c r="KU272" s="92">
        <v>22</v>
      </c>
      <c r="KV272" s="92" t="s">
        <v>1441</v>
      </c>
      <c r="KW272" s="92" t="s">
        <v>1344</v>
      </c>
      <c r="KX272" s="92" t="s">
        <v>1376</v>
      </c>
      <c r="KY272" s="92" t="s">
        <v>1377</v>
      </c>
      <c r="KZ272" s="92" t="s">
        <v>5795</v>
      </c>
      <c r="LA272" s="92" t="s">
        <v>109</v>
      </c>
      <c r="LB272" s="92" t="s">
        <v>109</v>
      </c>
      <c r="LC272" s="92" t="s">
        <v>4438</v>
      </c>
      <c r="LD272" s="92" t="s">
        <v>4438</v>
      </c>
      <c r="LE272" s="92" t="s">
        <v>192</v>
      </c>
      <c r="LF272" s="92" t="s">
        <v>192</v>
      </c>
    </row>
    <row r="273" spans="1:318" x14ac:dyDescent="0.25">
      <c r="A273" t="s">
        <v>2541</v>
      </c>
      <c r="B273" t="s">
        <v>2542</v>
      </c>
      <c r="C273" t="s">
        <v>1304</v>
      </c>
      <c r="D273" t="s">
        <v>1305</v>
      </c>
      <c r="E273" t="s">
        <v>1306</v>
      </c>
      <c r="G273" t="s">
        <v>1307</v>
      </c>
      <c r="H273">
        <v>5</v>
      </c>
      <c r="I273" t="s">
        <v>1307</v>
      </c>
      <c r="J273" t="s">
        <v>1614</v>
      </c>
      <c r="K273" t="s">
        <v>1309</v>
      </c>
      <c r="L273" t="s">
        <v>1310</v>
      </c>
      <c r="M273" t="s">
        <v>1310</v>
      </c>
      <c r="N273" t="s">
        <v>1309</v>
      </c>
      <c r="O273" t="s">
        <v>1310</v>
      </c>
      <c r="P273" t="s">
        <v>1309</v>
      </c>
      <c r="Q273" t="s">
        <v>1309</v>
      </c>
      <c r="R273" t="s">
        <v>1309</v>
      </c>
      <c r="S273">
        <v>1</v>
      </c>
      <c r="T273">
        <v>1</v>
      </c>
      <c r="U273" t="s">
        <v>1311</v>
      </c>
      <c r="V273" t="s">
        <v>1312</v>
      </c>
      <c r="W273" t="s">
        <v>1311</v>
      </c>
      <c r="X273" t="s">
        <v>1312</v>
      </c>
      <c r="Y273" t="s">
        <v>1312</v>
      </c>
      <c r="Z273" t="s">
        <v>1312</v>
      </c>
      <c r="AC273">
        <v>4</v>
      </c>
      <c r="AD273">
        <v>21000</v>
      </c>
      <c r="AE273">
        <v>18000</v>
      </c>
      <c r="AF273" t="s">
        <v>1351</v>
      </c>
      <c r="AH273" t="s">
        <v>1314</v>
      </c>
      <c r="AJ273" t="s">
        <v>1315</v>
      </c>
      <c r="AL273" t="s">
        <v>1316</v>
      </c>
      <c r="BS273" t="s">
        <v>1307</v>
      </c>
      <c r="CE273" t="s">
        <v>1317</v>
      </c>
      <c r="CF273" t="s">
        <v>1309</v>
      </c>
      <c r="CG273" t="s">
        <v>1309</v>
      </c>
      <c r="CH273" t="s">
        <v>1309</v>
      </c>
      <c r="CI273" t="s">
        <v>1309</v>
      </c>
      <c r="CJ273" t="s">
        <v>1309</v>
      </c>
      <c r="CK273" t="s">
        <v>1309</v>
      </c>
      <c r="CL273" t="s">
        <v>1309</v>
      </c>
      <c r="CM273" t="s">
        <v>1309</v>
      </c>
      <c r="CN273" t="s">
        <v>1310</v>
      </c>
      <c r="CO273" t="s">
        <v>1310</v>
      </c>
      <c r="CP273" t="s">
        <v>1309</v>
      </c>
      <c r="CQ273" t="s">
        <v>1309</v>
      </c>
      <c r="CR273" t="s">
        <v>1309</v>
      </c>
      <c r="CT273" t="s">
        <v>4436</v>
      </c>
      <c r="CV273" t="s">
        <v>1444</v>
      </c>
      <c r="CW273" t="s">
        <v>1309</v>
      </c>
      <c r="CX273" t="s">
        <v>1310</v>
      </c>
      <c r="CY273" t="s">
        <v>1309</v>
      </c>
      <c r="CZ273" t="s">
        <v>1309</v>
      </c>
      <c r="DA273" t="s">
        <v>1309</v>
      </c>
      <c r="DB273" t="s">
        <v>1309</v>
      </c>
      <c r="DC273" t="s">
        <v>1309</v>
      </c>
      <c r="DE273" t="s">
        <v>1358</v>
      </c>
      <c r="DG273">
        <v>350</v>
      </c>
      <c r="DI273">
        <v>1200</v>
      </c>
      <c r="DJ273" t="s">
        <v>1358</v>
      </c>
      <c r="DK273">
        <v>400</v>
      </c>
      <c r="DM273">
        <v>1300</v>
      </c>
      <c r="DN273" t="s">
        <v>1320</v>
      </c>
      <c r="DO273" t="s">
        <v>1310</v>
      </c>
      <c r="DP273" t="s">
        <v>1309</v>
      </c>
      <c r="DQ273" t="s">
        <v>1309</v>
      </c>
      <c r="DR273" t="s">
        <v>1309</v>
      </c>
      <c r="DS273" t="s">
        <v>1309</v>
      </c>
      <c r="DT273" t="s">
        <v>1310</v>
      </c>
      <c r="DU273" t="s">
        <v>1309</v>
      </c>
      <c r="DV273" t="s">
        <v>1309</v>
      </c>
      <c r="DW273" t="s">
        <v>1309</v>
      </c>
      <c r="DY273" t="s">
        <v>1446</v>
      </c>
      <c r="DZ273">
        <v>300</v>
      </c>
      <c r="EA273" t="s">
        <v>1319</v>
      </c>
      <c r="EC273" t="s">
        <v>1360</v>
      </c>
      <c r="ED273">
        <v>800</v>
      </c>
      <c r="EE273" t="s">
        <v>1319</v>
      </c>
      <c r="EG273" t="s">
        <v>5356</v>
      </c>
      <c r="EI273" t="s">
        <v>1307</v>
      </c>
      <c r="ET273" t="s">
        <v>1307</v>
      </c>
      <c r="EV273" t="s">
        <v>1319</v>
      </c>
      <c r="EW273" t="s">
        <v>1409</v>
      </c>
      <c r="EX273" t="s">
        <v>1319</v>
      </c>
      <c r="EY273" t="s">
        <v>1307</v>
      </c>
      <c r="EZ273" t="s">
        <v>1307</v>
      </c>
      <c r="FA273" t="s">
        <v>2543</v>
      </c>
      <c r="FB273" t="s">
        <v>1309</v>
      </c>
      <c r="FC273" t="s">
        <v>1309</v>
      </c>
      <c r="FD273" t="s">
        <v>1309</v>
      </c>
      <c r="FE273" t="s">
        <v>1309</v>
      </c>
      <c r="FF273" t="s">
        <v>1309</v>
      </c>
      <c r="FG273" t="s">
        <v>1309</v>
      </c>
      <c r="FH273" t="s">
        <v>1309</v>
      </c>
      <c r="FI273" t="s">
        <v>1309</v>
      </c>
      <c r="FJ273" t="s">
        <v>1309</v>
      </c>
      <c r="FK273" t="s">
        <v>1309</v>
      </c>
      <c r="FL273" t="s">
        <v>1309</v>
      </c>
      <c r="FM273" t="s">
        <v>1310</v>
      </c>
      <c r="FN273" t="s">
        <v>1310</v>
      </c>
      <c r="FO273" t="s">
        <v>1309</v>
      </c>
      <c r="FP273" t="s">
        <v>1309</v>
      </c>
      <c r="FQ273" t="s">
        <v>1309</v>
      </c>
      <c r="FR273" t="s">
        <v>1309</v>
      </c>
      <c r="FT273" t="s">
        <v>1307</v>
      </c>
      <c r="GI273" t="s">
        <v>1324</v>
      </c>
      <c r="GJ273" t="s">
        <v>1324</v>
      </c>
      <c r="GT273" t="s">
        <v>1325</v>
      </c>
      <c r="GU273" t="s">
        <v>1310</v>
      </c>
      <c r="GV273" t="s">
        <v>1309</v>
      </c>
      <c r="GW273" t="s">
        <v>1309</v>
      </c>
      <c r="GX273" t="s">
        <v>1309</v>
      </c>
      <c r="GY273" t="s">
        <v>1309</v>
      </c>
      <c r="GZ273" t="s">
        <v>1309</v>
      </c>
      <c r="HA273" t="s">
        <v>1309</v>
      </c>
      <c r="HB273" t="s">
        <v>1309</v>
      </c>
      <c r="HC273" t="s">
        <v>1309</v>
      </c>
      <c r="HD273" t="s">
        <v>1309</v>
      </c>
      <c r="HE273" t="s">
        <v>1309</v>
      </c>
      <c r="HF273" t="s">
        <v>1309</v>
      </c>
      <c r="HH273" t="s">
        <v>1326</v>
      </c>
      <c r="HI273" t="s">
        <v>1327</v>
      </c>
      <c r="HJ273" t="s">
        <v>1326</v>
      </c>
      <c r="HK273" t="s">
        <v>1327</v>
      </c>
      <c r="HL273" t="s">
        <v>1437</v>
      </c>
      <c r="HM273" t="s">
        <v>1326</v>
      </c>
      <c r="HN273" t="s">
        <v>1513</v>
      </c>
      <c r="HO273" t="s">
        <v>1309</v>
      </c>
      <c r="HP273" t="s">
        <v>1310</v>
      </c>
      <c r="HQ273" t="s">
        <v>1309</v>
      </c>
      <c r="HR273" t="s">
        <v>1309</v>
      </c>
      <c r="HS273" t="s">
        <v>1310</v>
      </c>
      <c r="HT273" t="s">
        <v>1309</v>
      </c>
      <c r="HU273" t="s">
        <v>1309</v>
      </c>
      <c r="HV273" t="s">
        <v>1309</v>
      </c>
      <c r="HW273" t="s">
        <v>1309</v>
      </c>
      <c r="HX273" t="s">
        <v>1309</v>
      </c>
      <c r="HY273" t="s">
        <v>1309</v>
      </c>
      <c r="IA273" t="s">
        <v>1307</v>
      </c>
      <c r="IQ273" t="s">
        <v>1308</v>
      </c>
      <c r="IS273" t="s">
        <v>1331</v>
      </c>
      <c r="JF273" t="s">
        <v>1331</v>
      </c>
      <c r="JG273" t="s">
        <v>1332</v>
      </c>
      <c r="JH273" t="s">
        <v>1309</v>
      </c>
      <c r="JI273" t="s">
        <v>1309</v>
      </c>
      <c r="JJ273" t="s">
        <v>1309</v>
      </c>
      <c r="JK273" t="s">
        <v>1309</v>
      </c>
      <c r="JL273" t="s">
        <v>1310</v>
      </c>
      <c r="JM273" t="s">
        <v>1309</v>
      </c>
      <c r="JN273" t="s">
        <v>1309</v>
      </c>
      <c r="JO273" t="s">
        <v>1309</v>
      </c>
      <c r="JQ273" s="92" t="s">
        <v>1333</v>
      </c>
      <c r="JR273" s="92" t="s">
        <v>2048</v>
      </c>
      <c r="JS273" s="92">
        <v>43</v>
      </c>
      <c r="JT273" s="92" t="s">
        <v>1319</v>
      </c>
      <c r="JU273" s="92" t="s">
        <v>1335</v>
      </c>
      <c r="JV273" s="92" t="s">
        <v>1336</v>
      </c>
      <c r="JW273" s="92" t="s">
        <v>1296</v>
      </c>
      <c r="JX273" s="92" t="s">
        <v>70</v>
      </c>
      <c r="JY273" s="92" t="s">
        <v>5549</v>
      </c>
      <c r="JZ273" s="92" t="s">
        <v>1337</v>
      </c>
      <c r="KA273" s="92" t="s">
        <v>4846</v>
      </c>
      <c r="KB273" s="92" t="s">
        <v>1370</v>
      </c>
      <c r="KC273" s="92" t="s">
        <v>109</v>
      </c>
      <c r="KD273" s="92" t="s">
        <v>4848</v>
      </c>
      <c r="KE273" s="92" t="s">
        <v>1416</v>
      </c>
      <c r="KF273" s="92">
        <v>1550</v>
      </c>
      <c r="KG273" s="92" t="s">
        <v>1372</v>
      </c>
      <c r="KH273" s="92" t="s">
        <v>192</v>
      </c>
      <c r="KI273" s="92" t="s">
        <v>109</v>
      </c>
      <c r="KJ273" s="92" t="s">
        <v>192</v>
      </c>
      <c r="KK273" s="92" t="s">
        <v>109</v>
      </c>
      <c r="KL273" s="92" t="s">
        <v>1440</v>
      </c>
      <c r="KM273" s="92">
        <v>1700</v>
      </c>
      <c r="KN273" s="92" t="s">
        <v>1372</v>
      </c>
      <c r="KO273" s="92" t="s">
        <v>1440</v>
      </c>
      <c r="KP273" s="92" t="s">
        <v>1375</v>
      </c>
      <c r="KQ273" s="92" t="s">
        <v>192</v>
      </c>
      <c r="KR273" s="92"/>
      <c r="KS273" s="92" t="s">
        <v>1343</v>
      </c>
      <c r="KT273" s="92" t="s">
        <v>1344</v>
      </c>
      <c r="KU273" s="92"/>
      <c r="KV273" s="92" t="s">
        <v>1441</v>
      </c>
      <c r="KW273" s="92" t="s">
        <v>1344</v>
      </c>
      <c r="KX273" s="92" t="s">
        <v>1376</v>
      </c>
      <c r="KY273" s="92" t="s">
        <v>1377</v>
      </c>
      <c r="KZ273" s="92" t="s">
        <v>5795</v>
      </c>
      <c r="LA273" s="92" t="s">
        <v>109</v>
      </c>
      <c r="LB273" s="92" t="s">
        <v>109</v>
      </c>
      <c r="LC273" s="92" t="s">
        <v>1372</v>
      </c>
      <c r="LD273" s="92" t="s">
        <v>1372</v>
      </c>
      <c r="LE273" s="92" t="s">
        <v>109</v>
      </c>
      <c r="LF273" s="92" t="s">
        <v>109</v>
      </c>
    </row>
    <row r="274" spans="1:318" x14ac:dyDescent="0.25">
      <c r="A274" t="s">
        <v>2544</v>
      </c>
      <c r="B274" t="s">
        <v>2545</v>
      </c>
      <c r="C274" t="s">
        <v>1304</v>
      </c>
      <c r="D274" t="s">
        <v>1305</v>
      </c>
      <c r="E274" t="s">
        <v>1306</v>
      </c>
      <c r="G274" t="s">
        <v>1307</v>
      </c>
      <c r="H274">
        <v>1</v>
      </c>
      <c r="J274" t="s">
        <v>1430</v>
      </c>
      <c r="K274" t="s">
        <v>1309</v>
      </c>
      <c r="L274" t="s">
        <v>1309</v>
      </c>
      <c r="M274" t="s">
        <v>1310</v>
      </c>
      <c r="N274" t="s">
        <v>1309</v>
      </c>
      <c r="O274" t="s">
        <v>1309</v>
      </c>
      <c r="P274" t="s">
        <v>1309</v>
      </c>
      <c r="Q274" t="s">
        <v>1309</v>
      </c>
      <c r="R274" t="s">
        <v>1309</v>
      </c>
      <c r="T274">
        <v>1</v>
      </c>
      <c r="U274" t="s">
        <v>1311</v>
      </c>
      <c r="V274" t="s">
        <v>1312</v>
      </c>
      <c r="W274" t="s">
        <v>1311</v>
      </c>
      <c r="X274" t="s">
        <v>1312</v>
      </c>
      <c r="Y274" t="s">
        <v>1312</v>
      </c>
      <c r="Z274" t="s">
        <v>1312</v>
      </c>
      <c r="AC274">
        <v>1</v>
      </c>
      <c r="AD274">
        <v>3500</v>
      </c>
      <c r="AE274">
        <v>2000</v>
      </c>
      <c r="AF274" t="s">
        <v>1313</v>
      </c>
      <c r="AH274" t="s">
        <v>1352</v>
      </c>
      <c r="AJ274" t="s">
        <v>1353</v>
      </c>
      <c r="AL274" t="s">
        <v>1354</v>
      </c>
      <c r="BA274" t="s">
        <v>1354</v>
      </c>
      <c r="BS274" t="s">
        <v>1307</v>
      </c>
      <c r="CE274" t="s">
        <v>1355</v>
      </c>
      <c r="CF274" t="s">
        <v>1309</v>
      </c>
      <c r="CG274" t="s">
        <v>1309</v>
      </c>
      <c r="CH274" t="s">
        <v>1309</v>
      </c>
      <c r="CI274" t="s">
        <v>1309</v>
      </c>
      <c r="CJ274" t="s">
        <v>1309</v>
      </c>
      <c r="CK274" t="s">
        <v>1309</v>
      </c>
      <c r="CL274" t="s">
        <v>1309</v>
      </c>
      <c r="CM274" t="s">
        <v>1309</v>
      </c>
      <c r="CN274" t="s">
        <v>1310</v>
      </c>
      <c r="CO274" t="s">
        <v>1309</v>
      </c>
      <c r="CP274" t="s">
        <v>1309</v>
      </c>
      <c r="CQ274" t="s">
        <v>1309</v>
      </c>
      <c r="CR274" t="s">
        <v>1309</v>
      </c>
      <c r="CT274" t="s">
        <v>4435</v>
      </c>
      <c r="CV274" t="s">
        <v>1308</v>
      </c>
      <c r="CW274" t="s">
        <v>1310</v>
      </c>
      <c r="CX274" t="s">
        <v>1309</v>
      </c>
      <c r="CY274" t="s">
        <v>1309</v>
      </c>
      <c r="CZ274" t="s">
        <v>1309</v>
      </c>
      <c r="DA274" t="s">
        <v>1309</v>
      </c>
      <c r="DB274" t="s">
        <v>1309</v>
      </c>
      <c r="DC274" t="s">
        <v>1309</v>
      </c>
      <c r="DE274" t="s">
        <v>1358</v>
      </c>
      <c r="DF274" t="s">
        <v>1307</v>
      </c>
      <c r="DH274">
        <v>1800</v>
      </c>
      <c r="DI274">
        <v>400</v>
      </c>
      <c r="DJ274" t="s">
        <v>1318</v>
      </c>
      <c r="DL274">
        <v>2000</v>
      </c>
      <c r="DM274">
        <v>500</v>
      </c>
      <c r="DN274" t="s">
        <v>1320</v>
      </c>
      <c r="DO274" t="s">
        <v>1310</v>
      </c>
      <c r="DP274" t="s">
        <v>1309</v>
      </c>
      <c r="DQ274" t="s">
        <v>1309</v>
      </c>
      <c r="DR274" t="s">
        <v>1309</v>
      </c>
      <c r="DS274" t="s">
        <v>1309</v>
      </c>
      <c r="DT274" t="s">
        <v>1310</v>
      </c>
      <c r="DU274" t="s">
        <v>1309</v>
      </c>
      <c r="DV274" t="s">
        <v>1309</v>
      </c>
      <c r="DW274" t="s">
        <v>1309</v>
      </c>
      <c r="DY274" t="s">
        <v>1481</v>
      </c>
      <c r="DZ274">
        <v>800</v>
      </c>
      <c r="EA274" t="s">
        <v>1319</v>
      </c>
      <c r="EC274" t="s">
        <v>1854</v>
      </c>
      <c r="ED274">
        <v>800</v>
      </c>
      <c r="EE274" t="s">
        <v>1319</v>
      </c>
      <c r="EG274" t="s">
        <v>5356</v>
      </c>
      <c r="EI274" t="s">
        <v>1307</v>
      </c>
      <c r="ET274" t="s">
        <v>1307</v>
      </c>
      <c r="EV274" t="s">
        <v>1319</v>
      </c>
      <c r="EW274" t="s">
        <v>1409</v>
      </c>
      <c r="EX274" t="s">
        <v>1319</v>
      </c>
      <c r="FA274" t="s">
        <v>1768</v>
      </c>
      <c r="FB274" t="s">
        <v>1309</v>
      </c>
      <c r="FC274" t="s">
        <v>1309</v>
      </c>
      <c r="FD274" t="s">
        <v>1309</v>
      </c>
      <c r="FE274" t="s">
        <v>1309</v>
      </c>
      <c r="FF274" t="s">
        <v>1309</v>
      </c>
      <c r="FG274" t="s">
        <v>1310</v>
      </c>
      <c r="FH274" t="s">
        <v>1310</v>
      </c>
      <c r="FI274" t="s">
        <v>1309</v>
      </c>
      <c r="FJ274" t="s">
        <v>1309</v>
      </c>
      <c r="FK274" t="s">
        <v>1309</v>
      </c>
      <c r="FL274" t="s">
        <v>1309</v>
      </c>
      <c r="FM274" t="s">
        <v>1309</v>
      </c>
      <c r="FN274" t="s">
        <v>1309</v>
      </c>
      <c r="FO274" t="s">
        <v>1309</v>
      </c>
      <c r="FP274" t="s">
        <v>1309</v>
      </c>
      <c r="FQ274" t="s">
        <v>1309</v>
      </c>
      <c r="FR274" t="s">
        <v>1309</v>
      </c>
      <c r="FT274" t="s">
        <v>1307</v>
      </c>
      <c r="GI274" t="s">
        <v>1324</v>
      </c>
      <c r="GJ274" t="s">
        <v>1324</v>
      </c>
      <c r="GT274" t="s">
        <v>1325</v>
      </c>
      <c r="GU274" t="s">
        <v>1310</v>
      </c>
      <c r="GV274" t="s">
        <v>1309</v>
      </c>
      <c r="GW274" t="s">
        <v>1309</v>
      </c>
      <c r="GX274" t="s">
        <v>1309</v>
      </c>
      <c r="GY274" t="s">
        <v>1309</v>
      </c>
      <c r="GZ274" t="s">
        <v>1309</v>
      </c>
      <c r="HA274" t="s">
        <v>1309</v>
      </c>
      <c r="HB274" t="s">
        <v>1309</v>
      </c>
      <c r="HC274" t="s">
        <v>1309</v>
      </c>
      <c r="HD274" t="s">
        <v>1309</v>
      </c>
      <c r="HE274" t="s">
        <v>1309</v>
      </c>
      <c r="HF274" t="s">
        <v>1309</v>
      </c>
      <c r="HH274" t="s">
        <v>1390</v>
      </c>
      <c r="HI274" t="s">
        <v>1327</v>
      </c>
      <c r="HJ274" t="s">
        <v>1390</v>
      </c>
      <c r="HK274" t="s">
        <v>1327</v>
      </c>
      <c r="HL274" t="s">
        <v>1437</v>
      </c>
      <c r="HM274" t="s">
        <v>1390</v>
      </c>
      <c r="HN274" t="s">
        <v>1803</v>
      </c>
      <c r="HO274" t="s">
        <v>1310</v>
      </c>
      <c r="HP274" t="s">
        <v>1310</v>
      </c>
      <c r="HQ274" t="s">
        <v>1309</v>
      </c>
      <c r="HR274" t="s">
        <v>1309</v>
      </c>
      <c r="HS274" t="s">
        <v>1310</v>
      </c>
      <c r="HT274" t="s">
        <v>1310</v>
      </c>
      <c r="HU274" t="s">
        <v>1309</v>
      </c>
      <c r="HV274" t="s">
        <v>1309</v>
      </c>
      <c r="HW274" t="s">
        <v>1309</v>
      </c>
      <c r="HX274" t="s">
        <v>1309</v>
      </c>
      <c r="HY274" t="s">
        <v>1309</v>
      </c>
      <c r="IA274" t="s">
        <v>1307</v>
      </c>
      <c r="IQ274" t="s">
        <v>1308</v>
      </c>
      <c r="IS274" t="s">
        <v>1316</v>
      </c>
      <c r="JF274" t="s">
        <v>1331</v>
      </c>
      <c r="JG274" t="s">
        <v>1523</v>
      </c>
      <c r="JH274" t="s">
        <v>1309</v>
      </c>
      <c r="JI274" t="s">
        <v>1309</v>
      </c>
      <c r="JJ274" t="s">
        <v>1309</v>
      </c>
      <c r="JK274" t="s">
        <v>1310</v>
      </c>
      <c r="JL274" t="s">
        <v>1309</v>
      </c>
      <c r="JM274" t="s">
        <v>1309</v>
      </c>
      <c r="JN274" t="s">
        <v>1309</v>
      </c>
      <c r="JO274" t="s">
        <v>1309</v>
      </c>
      <c r="JQ274" s="92" t="s">
        <v>1333</v>
      </c>
      <c r="JR274" s="92" t="s">
        <v>1334</v>
      </c>
      <c r="JS274" s="92">
        <v>68</v>
      </c>
      <c r="JT274" s="92" t="s">
        <v>1319</v>
      </c>
      <c r="JU274" s="92" t="s">
        <v>1335</v>
      </c>
      <c r="JV274" s="92" t="s">
        <v>1336</v>
      </c>
      <c r="JW274" s="92" t="s">
        <v>1296</v>
      </c>
      <c r="JX274" s="92" t="s">
        <v>71</v>
      </c>
      <c r="JY274" s="92" t="s">
        <v>5549</v>
      </c>
      <c r="JZ274" s="92" t="s">
        <v>1369</v>
      </c>
      <c r="KA274" s="92" t="s">
        <v>4844</v>
      </c>
      <c r="KB274" s="92" t="s">
        <v>1476</v>
      </c>
      <c r="KC274" s="92" t="s">
        <v>109</v>
      </c>
      <c r="KD274" s="92" t="s">
        <v>4844</v>
      </c>
      <c r="KE274" s="92" t="s">
        <v>5560</v>
      </c>
      <c r="KF274" s="92">
        <v>2200</v>
      </c>
      <c r="KG274" s="92" t="s">
        <v>1400</v>
      </c>
      <c r="KH274" s="92" t="s">
        <v>109</v>
      </c>
      <c r="KI274" s="92" t="s">
        <v>192</v>
      </c>
      <c r="KJ274" s="92" t="s">
        <v>109</v>
      </c>
      <c r="KK274" s="92" t="s">
        <v>192</v>
      </c>
      <c r="KL274" s="92" t="s">
        <v>1425</v>
      </c>
      <c r="KM274" s="92">
        <v>2500</v>
      </c>
      <c r="KN274" s="92" t="s">
        <v>1400</v>
      </c>
      <c r="KO274" s="92" t="s">
        <v>1425</v>
      </c>
      <c r="KP274" s="92" t="s">
        <v>1342</v>
      </c>
      <c r="KQ274" s="92" t="s">
        <v>109</v>
      </c>
      <c r="KR274" s="92">
        <v>36</v>
      </c>
      <c r="KS274" s="92" t="s">
        <v>1466</v>
      </c>
      <c r="KT274" s="92" t="s">
        <v>1344</v>
      </c>
      <c r="KU274" s="92">
        <v>32</v>
      </c>
      <c r="KV274" s="92" t="s">
        <v>1441</v>
      </c>
      <c r="KW274" s="92" t="s">
        <v>1344</v>
      </c>
      <c r="KX274" s="92" t="s">
        <v>1376</v>
      </c>
      <c r="KY274" s="92" t="s">
        <v>1377</v>
      </c>
      <c r="KZ274" s="92" t="s">
        <v>5795</v>
      </c>
      <c r="LA274" s="92" t="s">
        <v>109</v>
      </c>
      <c r="LB274" s="92" t="s">
        <v>109</v>
      </c>
      <c r="LC274" s="92" t="s">
        <v>1400</v>
      </c>
      <c r="LD274" s="92" t="s">
        <v>1400</v>
      </c>
      <c r="LE274" s="92" t="s">
        <v>192</v>
      </c>
      <c r="LF274" s="92" t="s">
        <v>192</v>
      </c>
    </row>
    <row r="275" spans="1:318" x14ac:dyDescent="0.25">
      <c r="A275" t="s">
        <v>2546</v>
      </c>
      <c r="B275" t="s">
        <v>2547</v>
      </c>
      <c r="C275" t="s">
        <v>1304</v>
      </c>
      <c r="D275" t="s">
        <v>1305</v>
      </c>
      <c r="E275" t="s">
        <v>1306</v>
      </c>
      <c r="G275" t="s">
        <v>1307</v>
      </c>
      <c r="H275">
        <v>2</v>
      </c>
      <c r="I275" t="s">
        <v>1307</v>
      </c>
      <c r="J275" t="s">
        <v>1308</v>
      </c>
      <c r="K275" t="s">
        <v>1309</v>
      </c>
      <c r="L275" t="s">
        <v>1309</v>
      </c>
      <c r="M275" t="s">
        <v>1309</v>
      </c>
      <c r="N275" t="s">
        <v>1309</v>
      </c>
      <c r="O275" t="s">
        <v>1309</v>
      </c>
      <c r="P275" t="s">
        <v>1309</v>
      </c>
      <c r="Q275" t="s">
        <v>1310</v>
      </c>
      <c r="R275" t="s">
        <v>1309</v>
      </c>
      <c r="U275" t="s">
        <v>1312</v>
      </c>
      <c r="V275" t="s">
        <v>1312</v>
      </c>
      <c r="W275" t="s">
        <v>1312</v>
      </c>
      <c r="X275" t="s">
        <v>1312</v>
      </c>
      <c r="Y275" t="s">
        <v>1312</v>
      </c>
      <c r="Z275" t="s">
        <v>1312</v>
      </c>
      <c r="AC275">
        <v>2</v>
      </c>
      <c r="AD275">
        <v>25000</v>
      </c>
      <c r="AE275">
        <v>15000</v>
      </c>
      <c r="AF275" t="s">
        <v>1313</v>
      </c>
      <c r="AH275" t="s">
        <v>1383</v>
      </c>
      <c r="AJ275" t="s">
        <v>1315</v>
      </c>
      <c r="AL275" t="s">
        <v>1354</v>
      </c>
      <c r="BS275" t="s">
        <v>1307</v>
      </c>
      <c r="CE275" t="s">
        <v>1355</v>
      </c>
      <c r="CF275" t="s">
        <v>1309</v>
      </c>
      <c r="CG275" t="s">
        <v>1309</v>
      </c>
      <c r="CH275" t="s">
        <v>1309</v>
      </c>
      <c r="CI275" t="s">
        <v>1309</v>
      </c>
      <c r="CJ275" t="s">
        <v>1309</v>
      </c>
      <c r="CK275" t="s">
        <v>1309</v>
      </c>
      <c r="CL275" t="s">
        <v>1309</v>
      </c>
      <c r="CM275" t="s">
        <v>1309</v>
      </c>
      <c r="CN275" t="s">
        <v>1310</v>
      </c>
      <c r="CO275" t="s">
        <v>1309</v>
      </c>
      <c r="CP275" t="s">
        <v>1309</v>
      </c>
      <c r="CQ275" t="s">
        <v>1309</v>
      </c>
      <c r="CR275" t="s">
        <v>1309</v>
      </c>
      <c r="CT275" t="s">
        <v>4435</v>
      </c>
      <c r="CV275" t="s">
        <v>1357</v>
      </c>
      <c r="CW275" t="s">
        <v>1309</v>
      </c>
      <c r="CX275" t="s">
        <v>1309</v>
      </c>
      <c r="CY275" t="s">
        <v>1309</v>
      </c>
      <c r="CZ275" t="s">
        <v>1309</v>
      </c>
      <c r="DA275" t="s">
        <v>1310</v>
      </c>
      <c r="DB275" t="s">
        <v>1309</v>
      </c>
      <c r="DC275" t="s">
        <v>1309</v>
      </c>
      <c r="DE275" t="s">
        <v>1358</v>
      </c>
      <c r="DF275" t="s">
        <v>1307</v>
      </c>
      <c r="DH275">
        <v>2000</v>
      </c>
      <c r="DI275">
        <v>500</v>
      </c>
      <c r="DJ275" t="s">
        <v>1358</v>
      </c>
      <c r="DL275">
        <v>2500</v>
      </c>
      <c r="DM275">
        <v>900</v>
      </c>
      <c r="DN275" t="s">
        <v>1320</v>
      </c>
      <c r="DO275" t="s">
        <v>1310</v>
      </c>
      <c r="DP275" t="s">
        <v>1309</v>
      </c>
      <c r="DQ275" t="s">
        <v>1309</v>
      </c>
      <c r="DR275" t="s">
        <v>1309</v>
      </c>
      <c r="DS275" t="s">
        <v>1309</v>
      </c>
      <c r="DT275" t="s">
        <v>1310</v>
      </c>
      <c r="DU275" t="s">
        <v>1309</v>
      </c>
      <c r="DV275" t="s">
        <v>1309</v>
      </c>
      <c r="DW275" t="s">
        <v>1309</v>
      </c>
      <c r="DY275" t="s">
        <v>1420</v>
      </c>
      <c r="DZ275">
        <v>300</v>
      </c>
      <c r="EA275" t="s">
        <v>1319</v>
      </c>
      <c r="EC275" t="s">
        <v>1322</v>
      </c>
      <c r="ED275">
        <v>550</v>
      </c>
      <c r="EE275" t="s">
        <v>1319</v>
      </c>
      <c r="EG275" t="s">
        <v>5357</v>
      </c>
      <c r="ET275" t="s">
        <v>1307</v>
      </c>
      <c r="EV275" t="s">
        <v>1319</v>
      </c>
      <c r="EW275" t="s">
        <v>1409</v>
      </c>
      <c r="EX275" t="s">
        <v>1307</v>
      </c>
      <c r="FT275" t="s">
        <v>1307</v>
      </c>
      <c r="GI275" t="s">
        <v>1436</v>
      </c>
      <c r="GJ275" t="s">
        <v>1436</v>
      </c>
      <c r="GK275" t="s">
        <v>1307</v>
      </c>
      <c r="GT275" t="s">
        <v>1325</v>
      </c>
      <c r="GU275" t="s">
        <v>1310</v>
      </c>
      <c r="GV275" t="s">
        <v>1309</v>
      </c>
      <c r="GW275" t="s">
        <v>1309</v>
      </c>
      <c r="GX275" t="s">
        <v>1309</v>
      </c>
      <c r="GY275" t="s">
        <v>1309</v>
      </c>
      <c r="GZ275" t="s">
        <v>1309</v>
      </c>
      <c r="HA275" t="s">
        <v>1309</v>
      </c>
      <c r="HB275" t="s">
        <v>1309</v>
      </c>
      <c r="HC275" t="s">
        <v>1309</v>
      </c>
      <c r="HD275" t="s">
        <v>1309</v>
      </c>
      <c r="HE275" t="s">
        <v>1309</v>
      </c>
      <c r="HF275" t="s">
        <v>1309</v>
      </c>
      <c r="HH275" t="s">
        <v>1326</v>
      </c>
      <c r="HI275" t="s">
        <v>1326</v>
      </c>
      <c r="HJ275" t="s">
        <v>1326</v>
      </c>
      <c r="HK275" t="s">
        <v>1327</v>
      </c>
      <c r="HL275" t="s">
        <v>1364</v>
      </c>
      <c r="HM275" t="s">
        <v>1390</v>
      </c>
      <c r="IA275" t="s">
        <v>1307</v>
      </c>
      <c r="IQ275" t="s">
        <v>1330</v>
      </c>
      <c r="IS275" t="s">
        <v>1331</v>
      </c>
      <c r="JF275" t="s">
        <v>1331</v>
      </c>
      <c r="JG275" t="s">
        <v>1414</v>
      </c>
      <c r="JH275" t="s">
        <v>1309</v>
      </c>
      <c r="JI275" t="s">
        <v>1309</v>
      </c>
      <c r="JJ275" t="s">
        <v>1309</v>
      </c>
      <c r="JK275" t="s">
        <v>1309</v>
      </c>
      <c r="JL275" t="s">
        <v>1309</v>
      </c>
      <c r="JM275" t="s">
        <v>1309</v>
      </c>
      <c r="JN275" t="s">
        <v>1310</v>
      </c>
      <c r="JO275" t="s">
        <v>1309</v>
      </c>
      <c r="JQ275" s="92" t="s">
        <v>1333</v>
      </c>
      <c r="JR275" s="92" t="s">
        <v>1334</v>
      </c>
      <c r="JS275" s="92">
        <v>32</v>
      </c>
      <c r="JT275" s="92" t="s">
        <v>1319</v>
      </c>
      <c r="JU275" s="92" t="s">
        <v>1335</v>
      </c>
      <c r="JV275" s="92" t="s">
        <v>1336</v>
      </c>
      <c r="JW275" s="92" t="s">
        <v>1296</v>
      </c>
      <c r="JX275" s="92" t="s">
        <v>71</v>
      </c>
      <c r="JY275" s="92" t="s">
        <v>5549</v>
      </c>
      <c r="JZ275" s="92" t="s">
        <v>1398</v>
      </c>
      <c r="KA275" s="92" t="s">
        <v>4845</v>
      </c>
      <c r="KB275" s="92" t="s">
        <v>1338</v>
      </c>
      <c r="KC275" s="92" t="s">
        <v>109</v>
      </c>
      <c r="KD275" s="92" t="s">
        <v>4847</v>
      </c>
      <c r="KE275" s="92" t="s">
        <v>1416</v>
      </c>
      <c r="KF275" s="92">
        <v>2500</v>
      </c>
      <c r="KG275" s="92" t="s">
        <v>1372</v>
      </c>
      <c r="KH275" s="92" t="s">
        <v>109</v>
      </c>
      <c r="KI275" s="92" t="s">
        <v>192</v>
      </c>
      <c r="KJ275" s="92" t="s">
        <v>109</v>
      </c>
      <c r="KK275" s="92" t="s">
        <v>192</v>
      </c>
      <c r="KL275" s="92" t="s">
        <v>1425</v>
      </c>
      <c r="KM275" s="92">
        <v>3400</v>
      </c>
      <c r="KN275" s="92" t="s">
        <v>4438</v>
      </c>
      <c r="KO275" s="92" t="s">
        <v>1341</v>
      </c>
      <c r="KP275" s="92" t="s">
        <v>1375</v>
      </c>
      <c r="KQ275" s="92" t="s">
        <v>109</v>
      </c>
      <c r="KR275" s="92">
        <v>12</v>
      </c>
      <c r="KS275" s="92" t="s">
        <v>1343</v>
      </c>
      <c r="KT275" s="92" t="s">
        <v>1344</v>
      </c>
      <c r="KU275" s="92">
        <v>16</v>
      </c>
      <c r="KV275" s="92" t="s">
        <v>1345</v>
      </c>
      <c r="KW275" s="92" t="s">
        <v>1344</v>
      </c>
      <c r="KX275" s="92" t="s">
        <v>1799</v>
      </c>
      <c r="KY275" s="92" t="s">
        <v>1347</v>
      </c>
      <c r="KZ275" s="92" t="s">
        <v>5795</v>
      </c>
      <c r="LA275" s="92" t="s">
        <v>109</v>
      </c>
      <c r="LB275" s="92" t="s">
        <v>109</v>
      </c>
      <c r="LC275" s="92" t="s">
        <v>4438</v>
      </c>
      <c r="LD275" s="92" t="s">
        <v>4438</v>
      </c>
      <c r="LE275" s="92" t="s">
        <v>109</v>
      </c>
      <c r="LF275" s="92" t="s">
        <v>109</v>
      </c>
    </row>
    <row r="276" spans="1:318" x14ac:dyDescent="0.25">
      <c r="A276" t="s">
        <v>2548</v>
      </c>
      <c r="B276" t="s">
        <v>2549</v>
      </c>
      <c r="C276" t="s">
        <v>1304</v>
      </c>
      <c r="D276" t="s">
        <v>1305</v>
      </c>
      <c r="E276" t="s">
        <v>1381</v>
      </c>
      <c r="G276" t="s">
        <v>1319</v>
      </c>
      <c r="H276">
        <v>3</v>
      </c>
      <c r="I276" t="s">
        <v>1358</v>
      </c>
      <c r="J276" t="s">
        <v>1406</v>
      </c>
      <c r="K276" t="s">
        <v>1309</v>
      </c>
      <c r="L276" t="s">
        <v>1310</v>
      </c>
      <c r="M276" t="s">
        <v>1309</v>
      </c>
      <c r="N276" t="s">
        <v>1309</v>
      </c>
      <c r="O276" t="s">
        <v>1309</v>
      </c>
      <c r="P276" t="s">
        <v>1309</v>
      </c>
      <c r="Q276" t="s">
        <v>1309</v>
      </c>
      <c r="R276" t="s">
        <v>1309</v>
      </c>
      <c r="S276">
        <v>1</v>
      </c>
      <c r="U276" t="s">
        <v>1312</v>
      </c>
      <c r="V276" t="s">
        <v>1312</v>
      </c>
      <c r="W276" t="s">
        <v>1312</v>
      </c>
      <c r="X276" t="s">
        <v>1312</v>
      </c>
      <c r="Y276" t="s">
        <v>1312</v>
      </c>
      <c r="Z276" t="s">
        <v>1312</v>
      </c>
      <c r="AC276">
        <v>3</v>
      </c>
      <c r="AD276">
        <v>11000</v>
      </c>
      <c r="AE276">
        <v>10000</v>
      </c>
      <c r="AF276" t="s">
        <v>1313</v>
      </c>
      <c r="AH276" t="s">
        <v>1383</v>
      </c>
      <c r="AJ276" t="s">
        <v>1315</v>
      </c>
      <c r="AL276" t="s">
        <v>1354</v>
      </c>
      <c r="BS276" t="s">
        <v>1307</v>
      </c>
      <c r="CE276" t="s">
        <v>1698</v>
      </c>
      <c r="CF276" t="s">
        <v>1309</v>
      </c>
      <c r="CG276" t="s">
        <v>1309</v>
      </c>
      <c r="CH276" t="s">
        <v>1309</v>
      </c>
      <c r="CI276" t="s">
        <v>1309</v>
      </c>
      <c r="CJ276" t="s">
        <v>1309</v>
      </c>
      <c r="CK276" t="s">
        <v>1309</v>
      </c>
      <c r="CL276" t="s">
        <v>1309</v>
      </c>
      <c r="CM276" t="s">
        <v>1309</v>
      </c>
      <c r="CN276" t="s">
        <v>1309</v>
      </c>
      <c r="CO276" t="s">
        <v>1309</v>
      </c>
      <c r="CP276" t="s">
        <v>1310</v>
      </c>
      <c r="CQ276" t="s">
        <v>1309</v>
      </c>
      <c r="CR276" t="s">
        <v>1309</v>
      </c>
      <c r="CS276" t="s">
        <v>2397</v>
      </c>
      <c r="CT276" t="s">
        <v>4434</v>
      </c>
      <c r="CV276" t="s">
        <v>1308</v>
      </c>
      <c r="CW276" t="s">
        <v>1310</v>
      </c>
      <c r="CX276" t="s">
        <v>1309</v>
      </c>
      <c r="CY276" t="s">
        <v>1309</v>
      </c>
      <c r="CZ276" t="s">
        <v>1309</v>
      </c>
      <c r="DA276" t="s">
        <v>1309</v>
      </c>
      <c r="DB276" t="s">
        <v>1309</v>
      </c>
      <c r="DC276" t="s">
        <v>1309</v>
      </c>
      <c r="DE276" t="s">
        <v>1358</v>
      </c>
      <c r="DG276">
        <v>1300</v>
      </c>
      <c r="DI276">
        <v>500</v>
      </c>
      <c r="DJ276" t="s">
        <v>1358</v>
      </c>
      <c r="DK276">
        <v>1800</v>
      </c>
      <c r="DM276">
        <v>500</v>
      </c>
      <c r="DN276" t="s">
        <v>1320</v>
      </c>
      <c r="DO276" t="s">
        <v>1310</v>
      </c>
      <c r="DP276" t="s">
        <v>1309</v>
      </c>
      <c r="DQ276" t="s">
        <v>1309</v>
      </c>
      <c r="DR276" t="s">
        <v>1309</v>
      </c>
      <c r="DS276" t="s">
        <v>1309</v>
      </c>
      <c r="DT276" t="s">
        <v>1310</v>
      </c>
      <c r="DU276" t="s">
        <v>1309</v>
      </c>
      <c r="DV276" t="s">
        <v>1309</v>
      </c>
      <c r="DW276" t="s">
        <v>1309</v>
      </c>
      <c r="DY276" t="s">
        <v>1456</v>
      </c>
      <c r="DZ276">
        <v>500</v>
      </c>
      <c r="EA276" t="s">
        <v>1319</v>
      </c>
      <c r="EC276" t="s">
        <v>1457</v>
      </c>
      <c r="ED276">
        <v>1000</v>
      </c>
      <c r="EE276" t="s">
        <v>1319</v>
      </c>
      <c r="EG276" t="s">
        <v>5357</v>
      </c>
      <c r="ET276" t="s">
        <v>1434</v>
      </c>
      <c r="EV276" t="s">
        <v>1319</v>
      </c>
      <c r="EW276" t="s">
        <v>1361</v>
      </c>
      <c r="EX276" t="s">
        <v>1319</v>
      </c>
      <c r="EY276" t="s">
        <v>1319</v>
      </c>
      <c r="FA276" t="s">
        <v>2550</v>
      </c>
      <c r="FB276" t="s">
        <v>1309</v>
      </c>
      <c r="FC276" t="s">
        <v>1309</v>
      </c>
      <c r="FD276" t="s">
        <v>1309</v>
      </c>
      <c r="FE276" t="s">
        <v>1309</v>
      </c>
      <c r="FF276" t="s">
        <v>1309</v>
      </c>
      <c r="FG276" t="s">
        <v>1309</v>
      </c>
      <c r="FH276" t="s">
        <v>1309</v>
      </c>
      <c r="FI276" t="s">
        <v>1309</v>
      </c>
      <c r="FJ276" t="s">
        <v>1309</v>
      </c>
      <c r="FK276" t="s">
        <v>1309</v>
      </c>
      <c r="FL276" t="s">
        <v>1310</v>
      </c>
      <c r="FM276" t="s">
        <v>1309</v>
      </c>
      <c r="FN276" t="s">
        <v>1310</v>
      </c>
      <c r="FO276" t="s">
        <v>1309</v>
      </c>
      <c r="FP276" t="s">
        <v>1309</v>
      </c>
      <c r="FQ276" t="s">
        <v>1309</v>
      </c>
      <c r="FR276" t="s">
        <v>1309</v>
      </c>
      <c r="FT276" t="s">
        <v>1319</v>
      </c>
      <c r="FU276" t="s">
        <v>1635</v>
      </c>
      <c r="FV276" t="s">
        <v>1310</v>
      </c>
      <c r="FW276" t="s">
        <v>1309</v>
      </c>
      <c r="FX276" t="s">
        <v>1309</v>
      </c>
      <c r="FY276" t="s">
        <v>1309</v>
      </c>
      <c r="FZ276" t="s">
        <v>1309</v>
      </c>
      <c r="GA276" t="s">
        <v>1310</v>
      </c>
      <c r="GB276" t="s">
        <v>1309</v>
      </c>
      <c r="GC276" t="s">
        <v>1309</v>
      </c>
      <c r="GD276" t="s">
        <v>1309</v>
      </c>
      <c r="GE276" t="s">
        <v>1309</v>
      </c>
      <c r="GF276" t="s">
        <v>1309</v>
      </c>
      <c r="GG276" t="s">
        <v>1309</v>
      </c>
      <c r="GI276" t="s">
        <v>1324</v>
      </c>
      <c r="GJ276" t="s">
        <v>1324</v>
      </c>
      <c r="GT276" t="s">
        <v>1325</v>
      </c>
      <c r="GU276" t="s">
        <v>1310</v>
      </c>
      <c r="GV276" t="s">
        <v>1309</v>
      </c>
      <c r="GW276" t="s">
        <v>1309</v>
      </c>
      <c r="GX276" t="s">
        <v>1309</v>
      </c>
      <c r="GY276" t="s">
        <v>1309</v>
      </c>
      <c r="GZ276" t="s">
        <v>1309</v>
      </c>
      <c r="HA276" t="s">
        <v>1309</v>
      </c>
      <c r="HB276" t="s">
        <v>1309</v>
      </c>
      <c r="HC276" t="s">
        <v>1309</v>
      </c>
      <c r="HD276" t="s">
        <v>1309</v>
      </c>
      <c r="HE276" t="s">
        <v>1309</v>
      </c>
      <c r="HF276" t="s">
        <v>1309</v>
      </c>
      <c r="HH276" t="s">
        <v>1390</v>
      </c>
      <c r="HI276" t="s">
        <v>1390</v>
      </c>
      <c r="HJ276" t="s">
        <v>1390</v>
      </c>
      <c r="HK276" t="s">
        <v>1390</v>
      </c>
      <c r="HL276" t="s">
        <v>1328</v>
      </c>
      <c r="HM276" t="s">
        <v>1390</v>
      </c>
      <c r="HN276" t="s">
        <v>1435</v>
      </c>
      <c r="HO276" t="s">
        <v>1309</v>
      </c>
      <c r="HP276" t="s">
        <v>1310</v>
      </c>
      <c r="HQ276" t="s">
        <v>1309</v>
      </c>
      <c r="HR276" t="s">
        <v>1309</v>
      </c>
      <c r="HS276" t="s">
        <v>1309</v>
      </c>
      <c r="HT276" t="s">
        <v>1309</v>
      </c>
      <c r="HU276" t="s">
        <v>1309</v>
      </c>
      <c r="HV276" t="s">
        <v>1309</v>
      </c>
      <c r="HW276" t="s">
        <v>1309</v>
      </c>
      <c r="HX276" t="s">
        <v>1309</v>
      </c>
      <c r="HY276" t="s">
        <v>1309</v>
      </c>
      <c r="IA276" t="s">
        <v>1319</v>
      </c>
      <c r="IB276" t="s">
        <v>1870</v>
      </c>
      <c r="IC276" t="s">
        <v>1309</v>
      </c>
      <c r="ID276" t="s">
        <v>1309</v>
      </c>
      <c r="IE276" t="s">
        <v>1309</v>
      </c>
      <c r="IF276" t="s">
        <v>1310</v>
      </c>
      <c r="IG276" t="s">
        <v>1310</v>
      </c>
      <c r="IH276" t="s">
        <v>1309</v>
      </c>
      <c r="II276" t="s">
        <v>1309</v>
      </c>
      <c r="IJ276" t="s">
        <v>1309</v>
      </c>
      <c r="IK276" t="s">
        <v>1309</v>
      </c>
      <c r="IL276" t="s">
        <v>1309</v>
      </c>
      <c r="IM276" t="s">
        <v>1309</v>
      </c>
      <c r="IN276" t="s">
        <v>1309</v>
      </c>
      <c r="IO276" t="s">
        <v>1309</v>
      </c>
      <c r="IQ276" t="s">
        <v>1330</v>
      </c>
      <c r="IS276" t="s">
        <v>1316</v>
      </c>
      <c r="JF276" t="s">
        <v>1316</v>
      </c>
      <c r="JG276" t="s">
        <v>1393</v>
      </c>
      <c r="JH276" t="s">
        <v>1310</v>
      </c>
      <c r="JI276" t="s">
        <v>1309</v>
      </c>
      <c r="JJ276" t="s">
        <v>1309</v>
      </c>
      <c r="JK276" t="s">
        <v>1309</v>
      </c>
      <c r="JL276" t="s">
        <v>1309</v>
      </c>
      <c r="JM276" t="s">
        <v>1309</v>
      </c>
      <c r="JN276" t="s">
        <v>1309</v>
      </c>
      <c r="JO276" t="s">
        <v>1309</v>
      </c>
      <c r="JQ276" s="92" t="s">
        <v>1333</v>
      </c>
      <c r="JR276" s="92" t="s">
        <v>1334</v>
      </c>
      <c r="JS276" s="92">
        <v>43</v>
      </c>
      <c r="JT276" s="92" t="s">
        <v>1319</v>
      </c>
      <c r="JU276" s="92" t="s">
        <v>1396</v>
      </c>
      <c r="JV276" s="92" t="s">
        <v>1336</v>
      </c>
      <c r="JW276" s="92" t="s">
        <v>1296</v>
      </c>
      <c r="JX276" s="92" t="s">
        <v>71</v>
      </c>
      <c r="JY276" s="92" t="s">
        <v>1397</v>
      </c>
      <c r="JZ276" s="92" t="s">
        <v>1337</v>
      </c>
      <c r="KA276" s="92" t="s">
        <v>4845</v>
      </c>
      <c r="KB276" s="92" t="s">
        <v>1415</v>
      </c>
      <c r="KC276" s="92" t="s">
        <v>109</v>
      </c>
      <c r="KD276" s="92" t="s">
        <v>4848</v>
      </c>
      <c r="KE276" s="92" t="s">
        <v>1371</v>
      </c>
      <c r="KF276" s="92">
        <v>1800</v>
      </c>
      <c r="KG276" s="92" t="s">
        <v>4438</v>
      </c>
      <c r="KH276" s="92" t="s">
        <v>192</v>
      </c>
      <c r="KI276" s="92" t="s">
        <v>109</v>
      </c>
      <c r="KJ276" s="92" t="s">
        <v>192</v>
      </c>
      <c r="KK276" s="92" t="s">
        <v>109</v>
      </c>
      <c r="KL276" s="92" t="s">
        <v>1440</v>
      </c>
      <c r="KM276" s="92">
        <v>2300</v>
      </c>
      <c r="KN276" s="92" t="s">
        <v>4438</v>
      </c>
      <c r="KO276" s="92" t="s">
        <v>1425</v>
      </c>
      <c r="KP276" s="92" t="s">
        <v>1460</v>
      </c>
      <c r="KQ276" s="92" t="s">
        <v>192</v>
      </c>
      <c r="KR276" s="92">
        <v>28</v>
      </c>
      <c r="KS276" s="92" t="s">
        <v>1345</v>
      </c>
      <c r="KT276" s="92" t="s">
        <v>1344</v>
      </c>
      <c r="KU276" s="92">
        <v>43</v>
      </c>
      <c r="KV276" s="92" t="s">
        <v>1461</v>
      </c>
      <c r="KW276" s="92" t="s">
        <v>1344</v>
      </c>
      <c r="KX276" s="92" t="s">
        <v>1376</v>
      </c>
      <c r="KY276" s="92" t="s">
        <v>1377</v>
      </c>
      <c r="KZ276" s="92" t="s">
        <v>1403</v>
      </c>
      <c r="LA276" s="92" t="s">
        <v>109</v>
      </c>
      <c r="LB276" s="92" t="s">
        <v>109</v>
      </c>
      <c r="LC276" s="92" t="s">
        <v>4438</v>
      </c>
      <c r="LD276" s="92" t="s">
        <v>4438</v>
      </c>
      <c r="LE276" s="92" t="s">
        <v>192</v>
      </c>
      <c r="LF276" s="92" t="s">
        <v>192</v>
      </c>
    </row>
    <row r="277" spans="1:318" x14ac:dyDescent="0.25">
      <c r="A277" t="s">
        <v>2551</v>
      </c>
      <c r="B277" t="s">
        <v>2552</v>
      </c>
      <c r="C277" t="s">
        <v>1304</v>
      </c>
      <c r="D277" t="s">
        <v>1305</v>
      </c>
      <c r="E277" t="s">
        <v>1306</v>
      </c>
      <c r="G277" t="s">
        <v>1307</v>
      </c>
      <c r="H277">
        <v>2</v>
      </c>
      <c r="I277" t="s">
        <v>1307</v>
      </c>
      <c r="J277" t="s">
        <v>1430</v>
      </c>
      <c r="K277" t="s">
        <v>1309</v>
      </c>
      <c r="L277" t="s">
        <v>1309</v>
      </c>
      <c r="M277" t="s">
        <v>1310</v>
      </c>
      <c r="N277" t="s">
        <v>1309</v>
      </c>
      <c r="O277" t="s">
        <v>1309</v>
      </c>
      <c r="P277" t="s">
        <v>1309</v>
      </c>
      <c r="Q277" t="s">
        <v>1309</v>
      </c>
      <c r="R277" t="s">
        <v>1309</v>
      </c>
      <c r="T277">
        <v>2</v>
      </c>
      <c r="U277" t="s">
        <v>1311</v>
      </c>
      <c r="V277" t="s">
        <v>1312</v>
      </c>
      <c r="W277" t="s">
        <v>1486</v>
      </c>
      <c r="X277" t="s">
        <v>1312</v>
      </c>
      <c r="Y277" t="s">
        <v>1311</v>
      </c>
      <c r="Z277" t="s">
        <v>1312</v>
      </c>
      <c r="AC277">
        <v>2</v>
      </c>
      <c r="AD277">
        <v>6000</v>
      </c>
      <c r="AE277">
        <v>5000</v>
      </c>
      <c r="AF277" t="s">
        <v>1313</v>
      </c>
      <c r="AH277" t="s">
        <v>1314</v>
      </c>
      <c r="AJ277" t="s">
        <v>1353</v>
      </c>
      <c r="AL277" t="s">
        <v>1316</v>
      </c>
      <c r="BA277" t="s">
        <v>1316</v>
      </c>
      <c r="BS277" t="s">
        <v>1307</v>
      </c>
      <c r="CE277" t="s">
        <v>1414</v>
      </c>
      <c r="CF277" t="s">
        <v>1309</v>
      </c>
      <c r="CG277" t="s">
        <v>1309</v>
      </c>
      <c r="CH277" t="s">
        <v>1309</v>
      </c>
      <c r="CI277" t="s">
        <v>1309</v>
      </c>
      <c r="CJ277" t="s">
        <v>1309</v>
      </c>
      <c r="CK277" t="s">
        <v>1309</v>
      </c>
      <c r="CL277" t="s">
        <v>1309</v>
      </c>
      <c r="CM277" t="s">
        <v>1309</v>
      </c>
      <c r="CN277" t="s">
        <v>1309</v>
      </c>
      <c r="CO277" t="s">
        <v>1309</v>
      </c>
      <c r="CP277" t="s">
        <v>1309</v>
      </c>
      <c r="CQ277" t="s">
        <v>1310</v>
      </c>
      <c r="CR277" t="s">
        <v>1309</v>
      </c>
      <c r="CT277" t="s">
        <v>4434</v>
      </c>
      <c r="CV277" t="s">
        <v>1308</v>
      </c>
      <c r="CW277" t="s">
        <v>1310</v>
      </c>
      <c r="CX277" t="s">
        <v>1309</v>
      </c>
      <c r="CY277" t="s">
        <v>1309</v>
      </c>
      <c r="CZ277" t="s">
        <v>1309</v>
      </c>
      <c r="DA277" t="s">
        <v>1309</v>
      </c>
      <c r="DB277" t="s">
        <v>1309</v>
      </c>
      <c r="DC277" t="s">
        <v>1309</v>
      </c>
      <c r="DE277" t="s">
        <v>1358</v>
      </c>
      <c r="DG277">
        <v>1100</v>
      </c>
      <c r="DI277">
        <v>400</v>
      </c>
      <c r="DJ277" t="s">
        <v>1358</v>
      </c>
      <c r="DK277">
        <v>1500</v>
      </c>
      <c r="DM277">
        <v>350</v>
      </c>
      <c r="DN277" t="s">
        <v>1647</v>
      </c>
      <c r="DO277" t="s">
        <v>1310</v>
      </c>
      <c r="DP277" t="s">
        <v>1309</v>
      </c>
      <c r="DQ277" t="s">
        <v>1309</v>
      </c>
      <c r="DR277" t="s">
        <v>1310</v>
      </c>
      <c r="DS277" t="s">
        <v>1309</v>
      </c>
      <c r="DT277" t="s">
        <v>1310</v>
      </c>
      <c r="DU277" t="s">
        <v>1309</v>
      </c>
      <c r="DV277" t="s">
        <v>1309</v>
      </c>
      <c r="DW277" t="s">
        <v>1309</v>
      </c>
      <c r="DY277" t="s">
        <v>1456</v>
      </c>
      <c r="DZ277">
        <v>500</v>
      </c>
      <c r="EA277" t="s">
        <v>1319</v>
      </c>
      <c r="EC277" t="s">
        <v>1457</v>
      </c>
      <c r="ED277">
        <v>800</v>
      </c>
      <c r="EE277" t="s">
        <v>1319</v>
      </c>
      <c r="EG277" t="s">
        <v>5356</v>
      </c>
      <c r="EI277" t="s">
        <v>1307</v>
      </c>
      <c r="ET277" t="s">
        <v>1544</v>
      </c>
      <c r="EV277" t="s">
        <v>1319</v>
      </c>
      <c r="EW277" t="s">
        <v>1361</v>
      </c>
      <c r="EX277" t="s">
        <v>1319</v>
      </c>
      <c r="EY277" t="s">
        <v>1319</v>
      </c>
      <c r="FA277" t="s">
        <v>2553</v>
      </c>
      <c r="FB277" t="s">
        <v>1310</v>
      </c>
      <c r="FC277" t="s">
        <v>1309</v>
      </c>
      <c r="FD277" t="s">
        <v>1310</v>
      </c>
      <c r="FE277" t="s">
        <v>1309</v>
      </c>
      <c r="FF277" t="s">
        <v>1309</v>
      </c>
      <c r="FG277" t="s">
        <v>1309</v>
      </c>
      <c r="FH277" t="s">
        <v>1309</v>
      </c>
      <c r="FI277" t="s">
        <v>1309</v>
      </c>
      <c r="FJ277" t="s">
        <v>1309</v>
      </c>
      <c r="FK277" t="s">
        <v>1309</v>
      </c>
      <c r="FL277" t="s">
        <v>1309</v>
      </c>
      <c r="FM277" t="s">
        <v>1309</v>
      </c>
      <c r="FN277" t="s">
        <v>1310</v>
      </c>
      <c r="FO277" t="s">
        <v>1309</v>
      </c>
      <c r="FP277" t="s">
        <v>1309</v>
      </c>
      <c r="FQ277" t="s">
        <v>1309</v>
      </c>
      <c r="FR277" t="s">
        <v>1309</v>
      </c>
      <c r="FT277" t="s">
        <v>1319</v>
      </c>
      <c r="FU277" t="s">
        <v>1649</v>
      </c>
      <c r="FV277" t="s">
        <v>1310</v>
      </c>
      <c r="FW277" t="s">
        <v>1310</v>
      </c>
      <c r="FX277" t="s">
        <v>1309</v>
      </c>
      <c r="FY277" t="s">
        <v>1309</v>
      </c>
      <c r="FZ277" t="s">
        <v>1309</v>
      </c>
      <c r="GA277" t="s">
        <v>1309</v>
      </c>
      <c r="GB277" t="s">
        <v>1309</v>
      </c>
      <c r="GC277" t="s">
        <v>1309</v>
      </c>
      <c r="GD277" t="s">
        <v>1309</v>
      </c>
      <c r="GE277" t="s">
        <v>1309</v>
      </c>
      <c r="GF277" t="s">
        <v>1309</v>
      </c>
      <c r="GG277" t="s">
        <v>1309</v>
      </c>
      <c r="GI277" t="s">
        <v>1324</v>
      </c>
      <c r="GJ277" t="s">
        <v>1324</v>
      </c>
      <c r="GT277" t="s">
        <v>1325</v>
      </c>
      <c r="GU277" t="s">
        <v>1310</v>
      </c>
      <c r="GV277" t="s">
        <v>1309</v>
      </c>
      <c r="GW277" t="s">
        <v>1309</v>
      </c>
      <c r="GX277" t="s">
        <v>1309</v>
      </c>
      <c r="GY277" t="s">
        <v>1309</v>
      </c>
      <c r="GZ277" t="s">
        <v>1309</v>
      </c>
      <c r="HA277" t="s">
        <v>1309</v>
      </c>
      <c r="HB277" t="s">
        <v>1309</v>
      </c>
      <c r="HC277" t="s">
        <v>1309</v>
      </c>
      <c r="HD277" t="s">
        <v>1309</v>
      </c>
      <c r="HE277" t="s">
        <v>1309</v>
      </c>
      <c r="HF277" t="s">
        <v>1309</v>
      </c>
      <c r="HH277" t="s">
        <v>1390</v>
      </c>
      <c r="HI277" t="s">
        <v>1390</v>
      </c>
      <c r="HJ277" t="s">
        <v>1390</v>
      </c>
      <c r="HK277" t="s">
        <v>1390</v>
      </c>
      <c r="HL277" t="s">
        <v>1328</v>
      </c>
      <c r="HM277" t="s">
        <v>1390</v>
      </c>
      <c r="HN277" t="s">
        <v>1650</v>
      </c>
      <c r="HO277" t="s">
        <v>1310</v>
      </c>
      <c r="HP277" t="s">
        <v>1310</v>
      </c>
      <c r="HQ277" t="s">
        <v>1310</v>
      </c>
      <c r="HR277" t="s">
        <v>1309</v>
      </c>
      <c r="HS277" t="s">
        <v>1309</v>
      </c>
      <c r="HT277" t="s">
        <v>1309</v>
      </c>
      <c r="HU277" t="s">
        <v>1309</v>
      </c>
      <c r="HV277" t="s">
        <v>1309</v>
      </c>
      <c r="HW277" t="s">
        <v>1309</v>
      </c>
      <c r="HX277" t="s">
        <v>1309</v>
      </c>
      <c r="HY277" t="s">
        <v>1309</v>
      </c>
      <c r="IA277" t="s">
        <v>1307</v>
      </c>
      <c r="IQ277" t="s">
        <v>1330</v>
      </c>
      <c r="IS277" t="s">
        <v>1316</v>
      </c>
      <c r="JF277" t="s">
        <v>1316</v>
      </c>
      <c r="JG277" t="s">
        <v>1414</v>
      </c>
      <c r="JH277" t="s">
        <v>1309</v>
      </c>
      <c r="JI277" t="s">
        <v>1309</v>
      </c>
      <c r="JJ277" t="s">
        <v>1309</v>
      </c>
      <c r="JK277" t="s">
        <v>1309</v>
      </c>
      <c r="JL277" t="s">
        <v>1309</v>
      </c>
      <c r="JM277" t="s">
        <v>1309</v>
      </c>
      <c r="JN277" t="s">
        <v>1310</v>
      </c>
      <c r="JO277" t="s">
        <v>1309</v>
      </c>
      <c r="JQ277" s="92" t="s">
        <v>1333</v>
      </c>
      <c r="JR277" s="92" t="s">
        <v>1334</v>
      </c>
      <c r="JS277" s="92">
        <v>73</v>
      </c>
      <c r="JT277" s="92" t="s">
        <v>1319</v>
      </c>
      <c r="JU277" s="92" t="s">
        <v>1335</v>
      </c>
      <c r="JV277" s="92" t="s">
        <v>1336</v>
      </c>
      <c r="JW277" s="92" t="s">
        <v>1296</v>
      </c>
      <c r="JX277" s="92" t="s">
        <v>71</v>
      </c>
      <c r="JY277" s="92" t="s">
        <v>5549</v>
      </c>
      <c r="JZ277" s="92" t="s">
        <v>1369</v>
      </c>
      <c r="KA277" s="92" t="s">
        <v>4845</v>
      </c>
      <c r="KB277" s="92" t="s">
        <v>1476</v>
      </c>
      <c r="KC277" s="92" t="s">
        <v>192</v>
      </c>
      <c r="KD277" s="92" t="s">
        <v>4847</v>
      </c>
      <c r="KE277" s="92" t="s">
        <v>1424</v>
      </c>
      <c r="KF277" s="92">
        <v>1500</v>
      </c>
      <c r="KG277" s="92" t="s">
        <v>4438</v>
      </c>
      <c r="KH277" s="92" t="s">
        <v>192</v>
      </c>
      <c r="KI277" s="92" t="s">
        <v>109</v>
      </c>
      <c r="KJ277" s="92" t="s">
        <v>192</v>
      </c>
      <c r="KK277" s="92" t="s">
        <v>109</v>
      </c>
      <c r="KL277" s="92" t="s">
        <v>1440</v>
      </c>
      <c r="KM277" s="92">
        <v>1850</v>
      </c>
      <c r="KN277" s="92" t="s">
        <v>4439</v>
      </c>
      <c r="KO277" s="92" t="s">
        <v>1440</v>
      </c>
      <c r="KP277" s="92" t="s">
        <v>1460</v>
      </c>
      <c r="KQ277" s="92" t="s">
        <v>192</v>
      </c>
      <c r="KR277" s="92">
        <v>33</v>
      </c>
      <c r="KS277" s="92" t="s">
        <v>1345</v>
      </c>
      <c r="KT277" s="92" t="s">
        <v>1344</v>
      </c>
      <c r="KU277" s="92">
        <v>43</v>
      </c>
      <c r="KV277" s="92" t="s">
        <v>1441</v>
      </c>
      <c r="KW277" s="92" t="s">
        <v>1344</v>
      </c>
      <c r="KX277" s="92" t="s">
        <v>1376</v>
      </c>
      <c r="KY277" s="92" t="s">
        <v>1377</v>
      </c>
      <c r="KZ277" s="92" t="s">
        <v>5795</v>
      </c>
      <c r="LA277" s="92" t="s">
        <v>109</v>
      </c>
      <c r="LB277" s="92" t="s">
        <v>109</v>
      </c>
      <c r="LC277" s="92" t="s">
        <v>4438</v>
      </c>
      <c r="LD277" s="92" t="s">
        <v>4439</v>
      </c>
      <c r="LE277" s="92" t="s">
        <v>192</v>
      </c>
      <c r="LF277" s="92" t="s">
        <v>192</v>
      </c>
    </row>
    <row r="278" spans="1:318" x14ac:dyDescent="0.25">
      <c r="A278" t="s">
        <v>2554</v>
      </c>
      <c r="B278" t="s">
        <v>2555</v>
      </c>
      <c r="C278" t="s">
        <v>1304</v>
      </c>
      <c r="D278" t="s">
        <v>1305</v>
      </c>
      <c r="E278" t="s">
        <v>1306</v>
      </c>
      <c r="G278" t="s">
        <v>1307</v>
      </c>
      <c r="H278">
        <v>3</v>
      </c>
      <c r="I278" t="s">
        <v>1307</v>
      </c>
      <c r="J278" t="s">
        <v>1406</v>
      </c>
      <c r="K278" t="s">
        <v>1309</v>
      </c>
      <c r="L278" t="s">
        <v>1310</v>
      </c>
      <c r="M278" t="s">
        <v>1309</v>
      </c>
      <c r="N278" t="s">
        <v>1309</v>
      </c>
      <c r="O278" t="s">
        <v>1309</v>
      </c>
      <c r="P278" t="s">
        <v>1309</v>
      </c>
      <c r="Q278" t="s">
        <v>1309</v>
      </c>
      <c r="R278" t="s">
        <v>1309</v>
      </c>
      <c r="S278">
        <v>1</v>
      </c>
      <c r="U278" t="s">
        <v>1311</v>
      </c>
      <c r="V278" t="s">
        <v>1312</v>
      </c>
      <c r="W278" t="s">
        <v>1312</v>
      </c>
      <c r="X278" t="s">
        <v>1312</v>
      </c>
      <c r="Y278" t="s">
        <v>1312</v>
      </c>
      <c r="Z278" t="s">
        <v>1312</v>
      </c>
      <c r="AC278">
        <v>2</v>
      </c>
      <c r="AD278">
        <v>25000</v>
      </c>
      <c r="AE278">
        <v>20000</v>
      </c>
      <c r="AF278" t="s">
        <v>1313</v>
      </c>
      <c r="AH278" t="s">
        <v>1383</v>
      </c>
      <c r="AJ278" t="s">
        <v>1315</v>
      </c>
      <c r="AL278" t="s">
        <v>1316</v>
      </c>
      <c r="BS278" t="s">
        <v>1307</v>
      </c>
      <c r="CE278" t="s">
        <v>2556</v>
      </c>
      <c r="CF278" t="s">
        <v>1310</v>
      </c>
      <c r="CG278" t="s">
        <v>1309</v>
      </c>
      <c r="CH278" t="s">
        <v>1309</v>
      </c>
      <c r="CI278" t="s">
        <v>1309</v>
      </c>
      <c r="CJ278" t="s">
        <v>1310</v>
      </c>
      <c r="CK278" t="s">
        <v>1310</v>
      </c>
      <c r="CL278" t="s">
        <v>1309</v>
      </c>
      <c r="CM278" t="s">
        <v>1309</v>
      </c>
      <c r="CN278" t="s">
        <v>1310</v>
      </c>
      <c r="CO278" t="s">
        <v>1310</v>
      </c>
      <c r="CP278" t="s">
        <v>1309</v>
      </c>
      <c r="CQ278" t="s">
        <v>1309</v>
      </c>
      <c r="CR278" t="s">
        <v>1309</v>
      </c>
      <c r="CT278" t="s">
        <v>4434</v>
      </c>
      <c r="CV278" t="s">
        <v>1357</v>
      </c>
      <c r="CW278" t="s">
        <v>1309</v>
      </c>
      <c r="CX278" t="s">
        <v>1309</v>
      </c>
      <c r="CY278" t="s">
        <v>1309</v>
      </c>
      <c r="CZ278" t="s">
        <v>1309</v>
      </c>
      <c r="DA278" t="s">
        <v>1310</v>
      </c>
      <c r="DB278" t="s">
        <v>1309</v>
      </c>
      <c r="DC278" t="s">
        <v>1309</v>
      </c>
      <c r="DE278" t="s">
        <v>1358</v>
      </c>
      <c r="DG278">
        <v>2800</v>
      </c>
      <c r="DI278">
        <v>900</v>
      </c>
      <c r="DJ278" t="s">
        <v>1358</v>
      </c>
      <c r="DK278">
        <v>4100</v>
      </c>
      <c r="DM278">
        <v>900</v>
      </c>
      <c r="DN278" t="s">
        <v>1320</v>
      </c>
      <c r="DO278" t="s">
        <v>1310</v>
      </c>
      <c r="DP278" t="s">
        <v>1309</v>
      </c>
      <c r="DQ278" t="s">
        <v>1309</v>
      </c>
      <c r="DR278" t="s">
        <v>1309</v>
      </c>
      <c r="DS278" t="s">
        <v>1309</v>
      </c>
      <c r="DT278" t="s">
        <v>1310</v>
      </c>
      <c r="DU278" t="s">
        <v>1309</v>
      </c>
      <c r="DV278" t="s">
        <v>1309</v>
      </c>
      <c r="DW278" t="s">
        <v>1309</v>
      </c>
      <c r="DY278" t="s">
        <v>1456</v>
      </c>
      <c r="DZ278">
        <v>300</v>
      </c>
      <c r="EA278" t="s">
        <v>1319</v>
      </c>
      <c r="EC278" t="s">
        <v>1457</v>
      </c>
      <c r="ED278">
        <v>900</v>
      </c>
      <c r="EE278" t="s">
        <v>1319</v>
      </c>
      <c r="EG278" t="s">
        <v>5357</v>
      </c>
      <c r="ET278" t="s">
        <v>1434</v>
      </c>
      <c r="EV278" t="s">
        <v>1319</v>
      </c>
      <c r="EW278" t="s">
        <v>1421</v>
      </c>
      <c r="EX278" t="s">
        <v>1319</v>
      </c>
      <c r="EY278" t="s">
        <v>1307</v>
      </c>
      <c r="FA278" t="s">
        <v>2557</v>
      </c>
      <c r="FB278" t="s">
        <v>1309</v>
      </c>
      <c r="FC278" t="s">
        <v>1309</v>
      </c>
      <c r="FD278" t="s">
        <v>1309</v>
      </c>
      <c r="FE278" t="s">
        <v>1309</v>
      </c>
      <c r="FF278" t="s">
        <v>1309</v>
      </c>
      <c r="FG278" t="s">
        <v>1310</v>
      </c>
      <c r="FH278" t="s">
        <v>1310</v>
      </c>
      <c r="FI278" t="s">
        <v>1310</v>
      </c>
      <c r="FJ278" t="s">
        <v>1309</v>
      </c>
      <c r="FK278" t="s">
        <v>1309</v>
      </c>
      <c r="FL278" t="s">
        <v>1309</v>
      </c>
      <c r="FM278" t="s">
        <v>1310</v>
      </c>
      <c r="FN278" t="s">
        <v>1309</v>
      </c>
      <c r="FO278" t="s">
        <v>1309</v>
      </c>
      <c r="FP278" t="s">
        <v>1309</v>
      </c>
      <c r="FQ278" t="s">
        <v>1309</v>
      </c>
      <c r="FR278" t="s">
        <v>1309</v>
      </c>
      <c r="FT278" t="s">
        <v>1307</v>
      </c>
      <c r="GI278" t="s">
        <v>1448</v>
      </c>
      <c r="GJ278" t="s">
        <v>1448</v>
      </c>
      <c r="GT278" t="s">
        <v>1325</v>
      </c>
      <c r="GU278" t="s">
        <v>1310</v>
      </c>
      <c r="GV278" t="s">
        <v>1309</v>
      </c>
      <c r="GW278" t="s">
        <v>1309</v>
      </c>
      <c r="GX278" t="s">
        <v>1309</v>
      </c>
      <c r="GY278" t="s">
        <v>1309</v>
      </c>
      <c r="GZ278" t="s">
        <v>1309</v>
      </c>
      <c r="HA278" t="s">
        <v>1309</v>
      </c>
      <c r="HB278" t="s">
        <v>1309</v>
      </c>
      <c r="HC278" t="s">
        <v>1309</v>
      </c>
      <c r="HD278" t="s">
        <v>1309</v>
      </c>
      <c r="HE278" t="s">
        <v>1309</v>
      </c>
      <c r="HF278" t="s">
        <v>1309</v>
      </c>
      <c r="HH278" t="s">
        <v>1326</v>
      </c>
      <c r="HI278" t="s">
        <v>1326</v>
      </c>
      <c r="HJ278" t="s">
        <v>1326</v>
      </c>
      <c r="HK278" t="s">
        <v>1327</v>
      </c>
      <c r="HL278" t="s">
        <v>1364</v>
      </c>
      <c r="HM278" t="s">
        <v>1326</v>
      </c>
      <c r="IA278" t="s">
        <v>1319</v>
      </c>
      <c r="IB278" t="s">
        <v>1412</v>
      </c>
      <c r="IC278" t="s">
        <v>1309</v>
      </c>
      <c r="ID278" t="s">
        <v>1310</v>
      </c>
      <c r="IE278" t="s">
        <v>1309</v>
      </c>
      <c r="IF278" t="s">
        <v>1309</v>
      </c>
      <c r="IG278" t="s">
        <v>1310</v>
      </c>
      <c r="IH278" t="s">
        <v>1309</v>
      </c>
      <c r="II278" t="s">
        <v>1309</v>
      </c>
      <c r="IJ278" t="s">
        <v>1309</v>
      </c>
      <c r="IK278" t="s">
        <v>1309</v>
      </c>
      <c r="IL278" t="s">
        <v>1309</v>
      </c>
      <c r="IM278" t="s">
        <v>1309</v>
      </c>
      <c r="IN278" t="s">
        <v>1309</v>
      </c>
      <c r="IO278" t="s">
        <v>1309</v>
      </c>
      <c r="IQ278" t="s">
        <v>1308</v>
      </c>
      <c r="IS278" t="s">
        <v>1354</v>
      </c>
      <c r="JF278" t="s">
        <v>1316</v>
      </c>
      <c r="JG278" t="s">
        <v>1414</v>
      </c>
      <c r="JH278" t="s">
        <v>1309</v>
      </c>
      <c r="JI278" t="s">
        <v>1309</v>
      </c>
      <c r="JJ278" t="s">
        <v>1309</v>
      </c>
      <c r="JK278" t="s">
        <v>1309</v>
      </c>
      <c r="JL278" t="s">
        <v>1309</v>
      </c>
      <c r="JM278" t="s">
        <v>1309</v>
      </c>
      <c r="JN278" t="s">
        <v>1310</v>
      </c>
      <c r="JO278" t="s">
        <v>1309</v>
      </c>
      <c r="JQ278" s="92" t="s">
        <v>1333</v>
      </c>
      <c r="JR278" s="92" t="s">
        <v>1334</v>
      </c>
      <c r="JS278" s="92">
        <v>34</v>
      </c>
      <c r="JT278" s="92" t="s">
        <v>1319</v>
      </c>
      <c r="JU278" s="92" t="s">
        <v>1335</v>
      </c>
      <c r="JV278" s="92" t="s">
        <v>1336</v>
      </c>
      <c r="JW278" s="92" t="s">
        <v>1296</v>
      </c>
      <c r="JX278" s="92" t="s">
        <v>71</v>
      </c>
      <c r="JY278" s="92" t="s">
        <v>5549</v>
      </c>
      <c r="JZ278" s="92" t="s">
        <v>1398</v>
      </c>
      <c r="KA278" s="92" t="s">
        <v>4845</v>
      </c>
      <c r="KB278" s="92" t="s">
        <v>1415</v>
      </c>
      <c r="KC278" s="92" t="s">
        <v>109</v>
      </c>
      <c r="KD278" s="92" t="s">
        <v>4847</v>
      </c>
      <c r="KE278" s="92" t="s">
        <v>1416</v>
      </c>
      <c r="KF278" s="92">
        <v>3700</v>
      </c>
      <c r="KG278" s="92" t="s">
        <v>4438</v>
      </c>
      <c r="KH278" s="92" t="s">
        <v>192</v>
      </c>
      <c r="KI278" s="92" t="s">
        <v>109</v>
      </c>
      <c r="KJ278" s="92" t="s">
        <v>192</v>
      </c>
      <c r="KK278" s="92" t="s">
        <v>109</v>
      </c>
      <c r="KL278" s="92" t="s">
        <v>1341</v>
      </c>
      <c r="KM278" s="92">
        <v>5000</v>
      </c>
      <c r="KN278" s="92" t="s">
        <v>4438</v>
      </c>
      <c r="KO278" s="92" t="s">
        <v>1341</v>
      </c>
      <c r="KP278" s="92" t="s">
        <v>1375</v>
      </c>
      <c r="KQ278" s="92" t="s">
        <v>192</v>
      </c>
      <c r="KR278" s="92">
        <v>8</v>
      </c>
      <c r="KS278" s="92" t="s">
        <v>1343</v>
      </c>
      <c r="KT278" s="92" t="s">
        <v>1344</v>
      </c>
      <c r="KU278" s="92">
        <v>18</v>
      </c>
      <c r="KV278" s="92" t="s">
        <v>1461</v>
      </c>
      <c r="KW278" s="92" t="s">
        <v>1344</v>
      </c>
      <c r="KX278" s="92" t="s">
        <v>1376</v>
      </c>
      <c r="KY278" s="92" t="s">
        <v>1377</v>
      </c>
      <c r="KZ278" s="92" t="s">
        <v>5795</v>
      </c>
      <c r="LA278" s="92" t="s">
        <v>109</v>
      </c>
      <c r="LB278" s="92" t="s">
        <v>109</v>
      </c>
      <c r="LC278" s="92" t="s">
        <v>4438</v>
      </c>
      <c r="LD278" s="92" t="s">
        <v>4438</v>
      </c>
      <c r="LE278" s="92" t="s">
        <v>109</v>
      </c>
      <c r="LF278" s="92" t="s">
        <v>109</v>
      </c>
    </row>
    <row r="279" spans="1:318" x14ac:dyDescent="0.25">
      <c r="A279" t="s">
        <v>2558</v>
      </c>
      <c r="B279" t="s">
        <v>2559</v>
      </c>
      <c r="C279" t="s">
        <v>1304</v>
      </c>
      <c r="D279" t="s">
        <v>1429</v>
      </c>
      <c r="E279" t="s">
        <v>1306</v>
      </c>
      <c r="G279" t="s">
        <v>1307</v>
      </c>
      <c r="H279">
        <v>2</v>
      </c>
      <c r="I279" t="s">
        <v>1307</v>
      </c>
      <c r="J279" t="s">
        <v>1891</v>
      </c>
      <c r="K279" t="s">
        <v>1309</v>
      </c>
      <c r="L279" t="s">
        <v>1309</v>
      </c>
      <c r="M279" t="s">
        <v>1310</v>
      </c>
      <c r="N279" t="s">
        <v>1309</v>
      </c>
      <c r="O279" t="s">
        <v>1310</v>
      </c>
      <c r="P279" t="s">
        <v>1309</v>
      </c>
      <c r="Q279" t="s">
        <v>1309</v>
      </c>
      <c r="R279" t="s">
        <v>1309</v>
      </c>
      <c r="T279">
        <v>2</v>
      </c>
      <c r="U279" t="s">
        <v>1311</v>
      </c>
      <c r="V279" t="s">
        <v>1311</v>
      </c>
      <c r="W279" t="s">
        <v>1311</v>
      </c>
      <c r="X279" t="s">
        <v>1312</v>
      </c>
      <c r="Y279" t="s">
        <v>1312</v>
      </c>
      <c r="Z279" t="s">
        <v>1312</v>
      </c>
      <c r="AC279">
        <v>2</v>
      </c>
      <c r="AD279">
        <v>6000</v>
      </c>
      <c r="AE279">
        <v>3000</v>
      </c>
      <c r="AF279" t="s">
        <v>1313</v>
      </c>
      <c r="AH279" t="s">
        <v>1314</v>
      </c>
      <c r="AJ279" t="s">
        <v>1315</v>
      </c>
      <c r="AL279" t="s">
        <v>1316</v>
      </c>
      <c r="BS279" t="s">
        <v>1307</v>
      </c>
      <c r="CE279" t="s">
        <v>1414</v>
      </c>
      <c r="CF279" t="s">
        <v>1309</v>
      </c>
      <c r="CG279" t="s">
        <v>1309</v>
      </c>
      <c r="CH279" t="s">
        <v>1309</v>
      </c>
      <c r="CI279" t="s">
        <v>1309</v>
      </c>
      <c r="CJ279" t="s">
        <v>1309</v>
      </c>
      <c r="CK279" t="s">
        <v>1309</v>
      </c>
      <c r="CL279" t="s">
        <v>1309</v>
      </c>
      <c r="CM279" t="s">
        <v>1309</v>
      </c>
      <c r="CN279" t="s">
        <v>1309</v>
      </c>
      <c r="CO279" t="s">
        <v>1309</v>
      </c>
      <c r="CP279" t="s">
        <v>1309</v>
      </c>
      <c r="CQ279" t="s">
        <v>1310</v>
      </c>
      <c r="CR279" t="s">
        <v>1309</v>
      </c>
      <c r="CT279" t="s">
        <v>4435</v>
      </c>
      <c r="CV279" t="s">
        <v>1308</v>
      </c>
      <c r="CW279" t="s">
        <v>1310</v>
      </c>
      <c r="CX279" t="s">
        <v>1309</v>
      </c>
      <c r="CY279" t="s">
        <v>1309</v>
      </c>
      <c r="CZ279" t="s">
        <v>1309</v>
      </c>
      <c r="DA279" t="s">
        <v>1309</v>
      </c>
      <c r="DB279" t="s">
        <v>1309</v>
      </c>
      <c r="DC279" t="s">
        <v>1309</v>
      </c>
      <c r="DE279" t="s">
        <v>1358</v>
      </c>
      <c r="DF279" t="s">
        <v>1319</v>
      </c>
      <c r="DG279">
        <v>150</v>
      </c>
      <c r="DH279">
        <v>1500</v>
      </c>
      <c r="DI279">
        <v>200</v>
      </c>
      <c r="DJ279" t="s">
        <v>1358</v>
      </c>
      <c r="DK279">
        <v>150</v>
      </c>
      <c r="DL279">
        <v>2000</v>
      </c>
      <c r="DM279">
        <v>300</v>
      </c>
      <c r="DN279" t="s">
        <v>1320</v>
      </c>
      <c r="DO279" t="s">
        <v>1310</v>
      </c>
      <c r="DP279" t="s">
        <v>1309</v>
      </c>
      <c r="DQ279" t="s">
        <v>1309</v>
      </c>
      <c r="DR279" t="s">
        <v>1309</v>
      </c>
      <c r="DS279" t="s">
        <v>1309</v>
      </c>
      <c r="DT279" t="s">
        <v>1310</v>
      </c>
      <c r="DU279" t="s">
        <v>1309</v>
      </c>
      <c r="DV279" t="s">
        <v>1309</v>
      </c>
      <c r="DW279" t="s">
        <v>1309</v>
      </c>
      <c r="DY279" t="s">
        <v>1490</v>
      </c>
      <c r="DZ279">
        <v>400</v>
      </c>
      <c r="EA279" t="s">
        <v>1319</v>
      </c>
      <c r="EC279" t="s">
        <v>1322</v>
      </c>
      <c r="ED279">
        <v>800</v>
      </c>
      <c r="EE279" t="s">
        <v>1319</v>
      </c>
      <c r="EG279" t="s">
        <v>5356</v>
      </c>
      <c r="EI279" t="s">
        <v>1307</v>
      </c>
      <c r="ET279" t="s">
        <v>1307</v>
      </c>
      <c r="EV279" t="s">
        <v>1319</v>
      </c>
      <c r="EW279" t="s">
        <v>1421</v>
      </c>
      <c r="EX279" t="s">
        <v>1319</v>
      </c>
      <c r="EY279" t="s">
        <v>1307</v>
      </c>
      <c r="FA279" t="s">
        <v>2560</v>
      </c>
      <c r="FB279" t="s">
        <v>1309</v>
      </c>
      <c r="FC279" t="s">
        <v>1309</v>
      </c>
      <c r="FD279" t="s">
        <v>1309</v>
      </c>
      <c r="FE279" t="s">
        <v>1310</v>
      </c>
      <c r="FF279" t="s">
        <v>1309</v>
      </c>
      <c r="FG279" t="s">
        <v>1309</v>
      </c>
      <c r="FH279" t="s">
        <v>1309</v>
      </c>
      <c r="FI279" t="s">
        <v>1310</v>
      </c>
      <c r="FJ279" t="s">
        <v>1309</v>
      </c>
      <c r="FK279" t="s">
        <v>1309</v>
      </c>
      <c r="FL279" t="s">
        <v>1309</v>
      </c>
      <c r="FM279" t="s">
        <v>1309</v>
      </c>
      <c r="FN279" t="s">
        <v>1309</v>
      </c>
      <c r="FO279" t="s">
        <v>1309</v>
      </c>
      <c r="FP279" t="s">
        <v>1309</v>
      </c>
      <c r="FQ279" t="s">
        <v>1309</v>
      </c>
      <c r="FR279" t="s">
        <v>1309</v>
      </c>
      <c r="FT279" t="s">
        <v>1319</v>
      </c>
      <c r="FU279" t="s">
        <v>1389</v>
      </c>
      <c r="FV279" t="s">
        <v>1310</v>
      </c>
      <c r="FW279" t="s">
        <v>1310</v>
      </c>
      <c r="FX279" t="s">
        <v>1309</v>
      </c>
      <c r="FY279" t="s">
        <v>1309</v>
      </c>
      <c r="FZ279" t="s">
        <v>1309</v>
      </c>
      <c r="GA279" t="s">
        <v>1310</v>
      </c>
      <c r="GB279" t="s">
        <v>1309</v>
      </c>
      <c r="GC279" t="s">
        <v>1309</v>
      </c>
      <c r="GD279" t="s">
        <v>1309</v>
      </c>
      <c r="GE279" t="s">
        <v>1309</v>
      </c>
      <c r="GF279" t="s">
        <v>1309</v>
      </c>
      <c r="GG279" t="s">
        <v>1309</v>
      </c>
      <c r="GI279" t="s">
        <v>1324</v>
      </c>
      <c r="GJ279" t="s">
        <v>1436</v>
      </c>
      <c r="GK279" t="s">
        <v>1307</v>
      </c>
      <c r="GT279" t="s">
        <v>1325</v>
      </c>
      <c r="GU279" t="s">
        <v>1310</v>
      </c>
      <c r="GV279" t="s">
        <v>1309</v>
      </c>
      <c r="GW279" t="s">
        <v>1309</v>
      </c>
      <c r="GX279" t="s">
        <v>1309</v>
      </c>
      <c r="GY279" t="s">
        <v>1309</v>
      </c>
      <c r="GZ279" t="s">
        <v>1309</v>
      </c>
      <c r="HA279" t="s">
        <v>1309</v>
      </c>
      <c r="HB279" t="s">
        <v>1309</v>
      </c>
      <c r="HC279" t="s">
        <v>1309</v>
      </c>
      <c r="HD279" t="s">
        <v>1309</v>
      </c>
      <c r="HE279" t="s">
        <v>1309</v>
      </c>
      <c r="HF279" t="s">
        <v>1309</v>
      </c>
      <c r="HH279" t="s">
        <v>1363</v>
      </c>
      <c r="HI279" t="s">
        <v>1363</v>
      </c>
      <c r="HJ279" t="s">
        <v>1363</v>
      </c>
      <c r="HK279" t="s">
        <v>1327</v>
      </c>
      <c r="HL279" t="s">
        <v>1328</v>
      </c>
      <c r="HM279" t="s">
        <v>1363</v>
      </c>
      <c r="HN279" t="s">
        <v>1549</v>
      </c>
      <c r="HO279" t="s">
        <v>1310</v>
      </c>
      <c r="HP279" t="s">
        <v>1310</v>
      </c>
      <c r="HQ279" t="s">
        <v>1309</v>
      </c>
      <c r="HR279" t="s">
        <v>1309</v>
      </c>
      <c r="HS279" t="s">
        <v>1309</v>
      </c>
      <c r="HT279" t="s">
        <v>1309</v>
      </c>
      <c r="HU279" t="s">
        <v>1309</v>
      </c>
      <c r="HV279" t="s">
        <v>1309</v>
      </c>
      <c r="HW279" t="s">
        <v>1309</v>
      </c>
      <c r="HX279" t="s">
        <v>1309</v>
      </c>
      <c r="HY279" t="s">
        <v>1309</v>
      </c>
      <c r="IA279" t="s">
        <v>1307</v>
      </c>
      <c r="IQ279" t="s">
        <v>1365</v>
      </c>
      <c r="IS279" t="s">
        <v>1354</v>
      </c>
      <c r="JF279" t="s">
        <v>1354</v>
      </c>
      <c r="JG279" t="s">
        <v>1414</v>
      </c>
      <c r="JH279" t="s">
        <v>1309</v>
      </c>
      <c r="JI279" t="s">
        <v>1309</v>
      </c>
      <c r="JJ279" t="s">
        <v>1309</v>
      </c>
      <c r="JK279" t="s">
        <v>1309</v>
      </c>
      <c r="JL279" t="s">
        <v>1309</v>
      </c>
      <c r="JM279" t="s">
        <v>1309</v>
      </c>
      <c r="JN279" t="s">
        <v>1310</v>
      </c>
      <c r="JO279" t="s">
        <v>1309</v>
      </c>
      <c r="JQ279" s="92" t="s">
        <v>1333</v>
      </c>
      <c r="JR279" s="92" t="s">
        <v>1334</v>
      </c>
      <c r="JS279" s="92">
        <v>75</v>
      </c>
      <c r="JT279" s="92" t="s">
        <v>1319</v>
      </c>
      <c r="JU279" s="92" t="s">
        <v>1335</v>
      </c>
      <c r="JV279" s="92" t="s">
        <v>1336</v>
      </c>
      <c r="JW279" s="92" t="s">
        <v>1296</v>
      </c>
      <c r="JX279" s="92" t="s">
        <v>71</v>
      </c>
      <c r="JY279" s="92" t="s">
        <v>5549</v>
      </c>
      <c r="JZ279" s="92" t="s">
        <v>1369</v>
      </c>
      <c r="KA279" s="92" t="s">
        <v>4845</v>
      </c>
      <c r="KB279" s="92" t="s">
        <v>1476</v>
      </c>
      <c r="KC279" s="92" t="s">
        <v>109</v>
      </c>
      <c r="KD279" s="92" t="s">
        <v>4847</v>
      </c>
      <c r="KE279" s="92" t="s">
        <v>1424</v>
      </c>
      <c r="KF279" s="92">
        <v>1850</v>
      </c>
      <c r="KG279" s="92" t="s">
        <v>4439</v>
      </c>
      <c r="KH279" s="92" t="s">
        <v>192</v>
      </c>
      <c r="KI279" s="92" t="s">
        <v>192</v>
      </c>
      <c r="KJ279" s="92" t="s">
        <v>192</v>
      </c>
      <c r="KK279" s="92" t="s">
        <v>192</v>
      </c>
      <c r="KL279" s="92" t="s">
        <v>1440</v>
      </c>
      <c r="KM279" s="92">
        <v>2450</v>
      </c>
      <c r="KN279" s="92" t="s">
        <v>4439</v>
      </c>
      <c r="KO279" s="92" t="s">
        <v>1425</v>
      </c>
      <c r="KP279" s="92" t="s">
        <v>1342</v>
      </c>
      <c r="KQ279" s="92" t="s">
        <v>192</v>
      </c>
      <c r="KR279" s="92">
        <v>22</v>
      </c>
      <c r="KS279" s="92" t="s">
        <v>1343</v>
      </c>
      <c r="KT279" s="92" t="s">
        <v>1344</v>
      </c>
      <c r="KU279" s="92">
        <v>33</v>
      </c>
      <c r="KV279" s="92" t="s">
        <v>1441</v>
      </c>
      <c r="KW279" s="92" t="s">
        <v>1344</v>
      </c>
      <c r="KX279" s="92" t="s">
        <v>1346</v>
      </c>
      <c r="KY279" s="92" t="s">
        <v>1347</v>
      </c>
      <c r="KZ279" s="92" t="s">
        <v>5795</v>
      </c>
      <c r="LA279" s="92" t="s">
        <v>109</v>
      </c>
      <c r="LB279" s="92" t="s">
        <v>109</v>
      </c>
      <c r="LC279" s="92" t="s">
        <v>4439</v>
      </c>
      <c r="LD279" s="92" t="s">
        <v>4439</v>
      </c>
      <c r="LE279" s="92" t="s">
        <v>109</v>
      </c>
      <c r="LF279" s="92" t="s">
        <v>109</v>
      </c>
    </row>
    <row r="280" spans="1:318" x14ac:dyDescent="0.25">
      <c r="A280" t="s">
        <v>2561</v>
      </c>
      <c r="B280" t="s">
        <v>2562</v>
      </c>
      <c r="C280" t="s">
        <v>1304</v>
      </c>
      <c r="D280" t="s">
        <v>1305</v>
      </c>
      <c r="E280" t="s">
        <v>1306</v>
      </c>
      <c r="G280" t="s">
        <v>1307</v>
      </c>
      <c r="H280">
        <v>5</v>
      </c>
      <c r="I280" t="s">
        <v>1307</v>
      </c>
      <c r="J280" t="s">
        <v>1406</v>
      </c>
      <c r="K280" t="s">
        <v>1309</v>
      </c>
      <c r="L280" t="s">
        <v>1310</v>
      </c>
      <c r="M280" t="s">
        <v>1309</v>
      </c>
      <c r="N280" t="s">
        <v>1309</v>
      </c>
      <c r="O280" t="s">
        <v>1309</v>
      </c>
      <c r="P280" t="s">
        <v>1309</v>
      </c>
      <c r="Q280" t="s">
        <v>1309</v>
      </c>
      <c r="R280" t="s">
        <v>1309</v>
      </c>
      <c r="S280">
        <v>3</v>
      </c>
      <c r="U280" t="s">
        <v>1312</v>
      </c>
      <c r="V280" t="s">
        <v>1312</v>
      </c>
      <c r="W280" t="s">
        <v>1312</v>
      </c>
      <c r="X280" t="s">
        <v>1312</v>
      </c>
      <c r="Y280" t="s">
        <v>1312</v>
      </c>
      <c r="Z280" t="s">
        <v>1312</v>
      </c>
      <c r="AC280">
        <v>1</v>
      </c>
      <c r="AD280">
        <v>21000</v>
      </c>
      <c r="AE280">
        <v>20000</v>
      </c>
      <c r="AF280" t="s">
        <v>1313</v>
      </c>
      <c r="AH280" t="s">
        <v>1383</v>
      </c>
      <c r="AJ280" t="s">
        <v>1315</v>
      </c>
      <c r="AL280" t="s">
        <v>1316</v>
      </c>
      <c r="BS280" t="s">
        <v>1307</v>
      </c>
      <c r="CE280" t="s">
        <v>1355</v>
      </c>
      <c r="CF280" t="s">
        <v>1309</v>
      </c>
      <c r="CG280" t="s">
        <v>1309</v>
      </c>
      <c r="CH280" t="s">
        <v>1309</v>
      </c>
      <c r="CI280" t="s">
        <v>1309</v>
      </c>
      <c r="CJ280" t="s">
        <v>1309</v>
      </c>
      <c r="CK280" t="s">
        <v>1309</v>
      </c>
      <c r="CL280" t="s">
        <v>1309</v>
      </c>
      <c r="CM280" t="s">
        <v>1309</v>
      </c>
      <c r="CN280" t="s">
        <v>1310</v>
      </c>
      <c r="CO280" t="s">
        <v>1309</v>
      </c>
      <c r="CP280" t="s">
        <v>1309</v>
      </c>
      <c r="CQ280" t="s">
        <v>1309</v>
      </c>
      <c r="CR280" t="s">
        <v>1309</v>
      </c>
      <c r="CT280" t="s">
        <v>4434</v>
      </c>
      <c r="CV280" t="s">
        <v>1357</v>
      </c>
      <c r="CW280" t="s">
        <v>1309</v>
      </c>
      <c r="CX280" t="s">
        <v>1309</v>
      </c>
      <c r="CY280" t="s">
        <v>1309</v>
      </c>
      <c r="CZ280" t="s">
        <v>1309</v>
      </c>
      <c r="DA280" t="s">
        <v>1310</v>
      </c>
      <c r="DB280" t="s">
        <v>1309</v>
      </c>
      <c r="DC280" t="s">
        <v>1309</v>
      </c>
      <c r="DE280" t="s">
        <v>1358</v>
      </c>
      <c r="DG280">
        <v>2400</v>
      </c>
      <c r="DI280">
        <v>800</v>
      </c>
      <c r="DJ280" t="s">
        <v>1358</v>
      </c>
      <c r="DK280">
        <v>3300</v>
      </c>
      <c r="DM280">
        <v>800</v>
      </c>
      <c r="DN280" t="s">
        <v>1445</v>
      </c>
      <c r="DO280" t="s">
        <v>1310</v>
      </c>
      <c r="DP280" t="s">
        <v>1310</v>
      </c>
      <c r="DQ280" t="s">
        <v>1309</v>
      </c>
      <c r="DR280" t="s">
        <v>1309</v>
      </c>
      <c r="DS280" t="s">
        <v>1309</v>
      </c>
      <c r="DT280" t="s">
        <v>1310</v>
      </c>
      <c r="DU280" t="s">
        <v>1309</v>
      </c>
      <c r="DV280" t="s">
        <v>1309</v>
      </c>
      <c r="DW280" t="s">
        <v>1309</v>
      </c>
      <c r="DY280" t="s">
        <v>1456</v>
      </c>
      <c r="DZ280">
        <v>500</v>
      </c>
      <c r="EA280" t="s">
        <v>1319</v>
      </c>
      <c r="EC280" t="s">
        <v>1457</v>
      </c>
      <c r="ED280">
        <v>1000</v>
      </c>
      <c r="EE280" t="s">
        <v>1319</v>
      </c>
      <c r="EG280" t="s">
        <v>5357</v>
      </c>
      <c r="ET280" t="s">
        <v>1307</v>
      </c>
      <c r="EV280" t="s">
        <v>1319</v>
      </c>
      <c r="EW280" t="s">
        <v>1421</v>
      </c>
      <c r="EX280" t="s">
        <v>1319</v>
      </c>
      <c r="EY280" t="s">
        <v>1307</v>
      </c>
      <c r="FA280" t="s">
        <v>2392</v>
      </c>
      <c r="FB280" t="s">
        <v>1309</v>
      </c>
      <c r="FC280" t="s">
        <v>1309</v>
      </c>
      <c r="FD280" t="s">
        <v>1309</v>
      </c>
      <c r="FE280" t="s">
        <v>1309</v>
      </c>
      <c r="FF280" t="s">
        <v>1309</v>
      </c>
      <c r="FG280" t="s">
        <v>1310</v>
      </c>
      <c r="FH280" t="s">
        <v>1310</v>
      </c>
      <c r="FI280" t="s">
        <v>1310</v>
      </c>
      <c r="FJ280" t="s">
        <v>1309</v>
      </c>
      <c r="FK280" t="s">
        <v>1309</v>
      </c>
      <c r="FL280" t="s">
        <v>1310</v>
      </c>
      <c r="FM280" t="s">
        <v>1310</v>
      </c>
      <c r="FN280" t="s">
        <v>1309</v>
      </c>
      <c r="FO280" t="s">
        <v>1309</v>
      </c>
      <c r="FP280" t="s">
        <v>1309</v>
      </c>
      <c r="FQ280" t="s">
        <v>1309</v>
      </c>
      <c r="FR280" t="s">
        <v>1309</v>
      </c>
      <c r="FT280" t="s">
        <v>1319</v>
      </c>
      <c r="FU280" t="s">
        <v>2563</v>
      </c>
      <c r="FV280" t="s">
        <v>1309</v>
      </c>
      <c r="FW280" t="s">
        <v>1309</v>
      </c>
      <c r="FX280" t="s">
        <v>1310</v>
      </c>
      <c r="FY280" t="s">
        <v>1309</v>
      </c>
      <c r="FZ280" t="s">
        <v>1309</v>
      </c>
      <c r="GA280" t="s">
        <v>1309</v>
      </c>
      <c r="GB280" t="s">
        <v>1309</v>
      </c>
      <c r="GC280" t="s">
        <v>1309</v>
      </c>
      <c r="GD280" t="s">
        <v>1310</v>
      </c>
      <c r="GE280" t="s">
        <v>1309</v>
      </c>
      <c r="GF280" t="s">
        <v>1309</v>
      </c>
      <c r="GG280" t="s">
        <v>1309</v>
      </c>
      <c r="GI280" t="s">
        <v>1448</v>
      </c>
      <c r="GJ280" t="s">
        <v>1324</v>
      </c>
      <c r="GT280" t="s">
        <v>1325</v>
      </c>
      <c r="GU280" t="s">
        <v>1310</v>
      </c>
      <c r="GV280" t="s">
        <v>1309</v>
      </c>
      <c r="GW280" t="s">
        <v>1309</v>
      </c>
      <c r="GX280" t="s">
        <v>1309</v>
      </c>
      <c r="GY280" t="s">
        <v>1309</v>
      </c>
      <c r="GZ280" t="s">
        <v>1309</v>
      </c>
      <c r="HA280" t="s">
        <v>1309</v>
      </c>
      <c r="HB280" t="s">
        <v>1309</v>
      </c>
      <c r="HC280" t="s">
        <v>1309</v>
      </c>
      <c r="HD280" t="s">
        <v>1309</v>
      </c>
      <c r="HE280" t="s">
        <v>1309</v>
      </c>
      <c r="HF280" t="s">
        <v>1309</v>
      </c>
      <c r="HH280" t="s">
        <v>1326</v>
      </c>
      <c r="HI280" t="s">
        <v>1326</v>
      </c>
      <c r="HJ280" t="s">
        <v>1390</v>
      </c>
      <c r="HK280" t="s">
        <v>1327</v>
      </c>
      <c r="HL280" t="s">
        <v>1364</v>
      </c>
      <c r="HM280" t="s">
        <v>1326</v>
      </c>
      <c r="IA280" t="s">
        <v>1307</v>
      </c>
      <c r="IQ280" t="s">
        <v>1330</v>
      </c>
      <c r="IS280" t="s">
        <v>1354</v>
      </c>
      <c r="JF280" t="s">
        <v>1331</v>
      </c>
      <c r="JG280" t="s">
        <v>1523</v>
      </c>
      <c r="JH280" t="s">
        <v>1309</v>
      </c>
      <c r="JI280" t="s">
        <v>1309</v>
      </c>
      <c r="JJ280" t="s">
        <v>1309</v>
      </c>
      <c r="JK280" t="s">
        <v>1310</v>
      </c>
      <c r="JL280" t="s">
        <v>1309</v>
      </c>
      <c r="JM280" t="s">
        <v>1309</v>
      </c>
      <c r="JN280" t="s">
        <v>1309</v>
      </c>
      <c r="JO280" t="s">
        <v>1309</v>
      </c>
      <c r="JQ280" s="92" t="s">
        <v>1333</v>
      </c>
      <c r="JR280" s="92" t="s">
        <v>1334</v>
      </c>
      <c r="JS280" s="92">
        <v>36</v>
      </c>
      <c r="JT280" s="92" t="s">
        <v>1319</v>
      </c>
      <c r="JU280" s="92" t="s">
        <v>1335</v>
      </c>
      <c r="JV280" s="92" t="s">
        <v>1336</v>
      </c>
      <c r="JW280" s="92" t="s">
        <v>1296</v>
      </c>
      <c r="JX280" s="92" t="s">
        <v>71</v>
      </c>
      <c r="JY280" s="92" t="s">
        <v>5549</v>
      </c>
      <c r="JZ280" s="92" t="s">
        <v>1337</v>
      </c>
      <c r="KA280" s="92" t="s">
        <v>4846</v>
      </c>
      <c r="KB280" s="92" t="s">
        <v>1415</v>
      </c>
      <c r="KC280" s="92" t="s">
        <v>109</v>
      </c>
      <c r="KD280" s="92" t="s">
        <v>4844</v>
      </c>
      <c r="KE280" s="92" t="s">
        <v>1416</v>
      </c>
      <c r="KF280" s="92">
        <v>3200</v>
      </c>
      <c r="KG280" s="92" t="s">
        <v>4438</v>
      </c>
      <c r="KH280" s="92" t="s">
        <v>192</v>
      </c>
      <c r="KI280" s="92" t="s">
        <v>109</v>
      </c>
      <c r="KJ280" s="92" t="s">
        <v>192</v>
      </c>
      <c r="KK280" s="92" t="s">
        <v>109</v>
      </c>
      <c r="KL280" s="92" t="s">
        <v>1341</v>
      </c>
      <c r="KM280" s="92">
        <v>4100</v>
      </c>
      <c r="KN280" s="92" t="s">
        <v>4438</v>
      </c>
      <c r="KO280" s="92" t="s">
        <v>1341</v>
      </c>
      <c r="KP280" s="92" t="s">
        <v>1375</v>
      </c>
      <c r="KQ280" s="92" t="s">
        <v>192</v>
      </c>
      <c r="KR280" s="92">
        <v>16</v>
      </c>
      <c r="KS280" s="92" t="s">
        <v>1345</v>
      </c>
      <c r="KT280" s="92" t="s">
        <v>1344</v>
      </c>
      <c r="KU280" s="92">
        <v>24</v>
      </c>
      <c r="KV280" s="92" t="s">
        <v>1461</v>
      </c>
      <c r="KW280" s="92" t="s">
        <v>1344</v>
      </c>
      <c r="KX280" s="92" t="s">
        <v>1376</v>
      </c>
      <c r="KY280" s="92" t="s">
        <v>1377</v>
      </c>
      <c r="KZ280" s="92" t="s">
        <v>5795</v>
      </c>
      <c r="LA280" s="92" t="s">
        <v>109</v>
      </c>
      <c r="LB280" s="92" t="s">
        <v>109</v>
      </c>
      <c r="LC280" s="92" t="s">
        <v>4438</v>
      </c>
      <c r="LD280" s="92" t="s">
        <v>4438</v>
      </c>
      <c r="LE280" s="92" t="s">
        <v>192</v>
      </c>
      <c r="LF280" s="92" t="s">
        <v>192</v>
      </c>
    </row>
    <row r="281" spans="1:318" x14ac:dyDescent="0.25">
      <c r="A281" t="s">
        <v>2564</v>
      </c>
      <c r="B281" t="s">
        <v>2565</v>
      </c>
      <c r="C281" t="s">
        <v>1304</v>
      </c>
      <c r="D281" t="s">
        <v>1305</v>
      </c>
      <c r="E281" t="s">
        <v>1306</v>
      </c>
      <c r="G281" t="s">
        <v>1307</v>
      </c>
      <c r="H281">
        <v>2</v>
      </c>
      <c r="I281" t="s">
        <v>1307</v>
      </c>
      <c r="J281" t="s">
        <v>1571</v>
      </c>
      <c r="K281" t="s">
        <v>1310</v>
      </c>
      <c r="L281" t="s">
        <v>1309</v>
      </c>
      <c r="M281" t="s">
        <v>1309</v>
      </c>
      <c r="N281" t="s">
        <v>1309</v>
      </c>
      <c r="O281" t="s">
        <v>1309</v>
      </c>
      <c r="P281" t="s">
        <v>1309</v>
      </c>
      <c r="Q281" t="s">
        <v>1309</v>
      </c>
      <c r="R281" t="s">
        <v>1309</v>
      </c>
      <c r="U281" t="s">
        <v>1311</v>
      </c>
      <c r="V281" t="s">
        <v>1312</v>
      </c>
      <c r="W281" t="s">
        <v>1311</v>
      </c>
      <c r="X281" t="s">
        <v>1312</v>
      </c>
      <c r="Y281" t="s">
        <v>1312</v>
      </c>
      <c r="Z281" t="s">
        <v>1312</v>
      </c>
      <c r="AC281">
        <v>1</v>
      </c>
      <c r="AE281">
        <v>20000</v>
      </c>
      <c r="AF281" t="s">
        <v>1313</v>
      </c>
      <c r="AH281" t="s">
        <v>1383</v>
      </c>
      <c r="AJ281" t="s">
        <v>1315</v>
      </c>
      <c r="AL281" t="s">
        <v>1331</v>
      </c>
      <c r="BS281" t="s">
        <v>1307</v>
      </c>
      <c r="CE281" t="s">
        <v>1885</v>
      </c>
      <c r="CF281" t="s">
        <v>1309</v>
      </c>
      <c r="CG281" t="s">
        <v>1309</v>
      </c>
      <c r="CH281" t="s">
        <v>1309</v>
      </c>
      <c r="CI281" t="s">
        <v>1309</v>
      </c>
      <c r="CJ281" t="s">
        <v>1309</v>
      </c>
      <c r="CK281" t="s">
        <v>1310</v>
      </c>
      <c r="CL281" t="s">
        <v>1309</v>
      </c>
      <c r="CM281" t="s">
        <v>1309</v>
      </c>
      <c r="CN281" t="s">
        <v>1310</v>
      </c>
      <c r="CO281" t="s">
        <v>1310</v>
      </c>
      <c r="CP281" t="s">
        <v>1309</v>
      </c>
      <c r="CQ281" t="s">
        <v>1309</v>
      </c>
      <c r="CR281" t="s">
        <v>1309</v>
      </c>
      <c r="CT281" t="s">
        <v>4434</v>
      </c>
      <c r="CV281" t="s">
        <v>1357</v>
      </c>
      <c r="CW281" t="s">
        <v>1309</v>
      </c>
      <c r="CX281" t="s">
        <v>1309</v>
      </c>
      <c r="CY281" t="s">
        <v>1309</v>
      </c>
      <c r="CZ281" t="s">
        <v>1309</v>
      </c>
      <c r="DA281" t="s">
        <v>1310</v>
      </c>
      <c r="DB281" t="s">
        <v>1309</v>
      </c>
      <c r="DC281" t="s">
        <v>1309</v>
      </c>
      <c r="DE281" t="s">
        <v>1358</v>
      </c>
      <c r="DG281">
        <v>2900</v>
      </c>
      <c r="DI281">
        <v>750</v>
      </c>
      <c r="DJ281" t="s">
        <v>1358</v>
      </c>
      <c r="DK281">
        <v>3100</v>
      </c>
      <c r="DM281">
        <v>800</v>
      </c>
      <c r="DN281" t="s">
        <v>1445</v>
      </c>
      <c r="DO281" t="s">
        <v>1310</v>
      </c>
      <c r="DP281" t="s">
        <v>1310</v>
      </c>
      <c r="DQ281" t="s">
        <v>1309</v>
      </c>
      <c r="DR281" t="s">
        <v>1309</v>
      </c>
      <c r="DS281" t="s">
        <v>1309</v>
      </c>
      <c r="DT281" t="s">
        <v>1310</v>
      </c>
      <c r="DU281" t="s">
        <v>1309</v>
      </c>
      <c r="DV281" t="s">
        <v>1309</v>
      </c>
      <c r="DW281" t="s">
        <v>1309</v>
      </c>
      <c r="DY281" t="s">
        <v>1481</v>
      </c>
      <c r="DZ281">
        <v>300</v>
      </c>
      <c r="EA281" t="s">
        <v>1319</v>
      </c>
      <c r="EC281" t="s">
        <v>1624</v>
      </c>
      <c r="ED281">
        <v>1000</v>
      </c>
      <c r="EE281" t="s">
        <v>1319</v>
      </c>
      <c r="EG281" t="s">
        <v>5357</v>
      </c>
      <c r="ET281" t="s">
        <v>1307</v>
      </c>
      <c r="EV281" t="s">
        <v>1319</v>
      </c>
      <c r="EW281" t="s">
        <v>1361</v>
      </c>
      <c r="EX281" t="s">
        <v>1307</v>
      </c>
      <c r="EY281" t="s">
        <v>1319</v>
      </c>
      <c r="FA281" t="s">
        <v>1323</v>
      </c>
      <c r="FB281" t="s">
        <v>1310</v>
      </c>
      <c r="FC281" t="s">
        <v>1309</v>
      </c>
      <c r="FD281" t="s">
        <v>1309</v>
      </c>
      <c r="FE281" t="s">
        <v>1309</v>
      </c>
      <c r="FF281" t="s">
        <v>1309</v>
      </c>
      <c r="FG281" t="s">
        <v>1309</v>
      </c>
      <c r="FH281" t="s">
        <v>1309</v>
      </c>
      <c r="FI281" t="s">
        <v>1309</v>
      </c>
      <c r="FJ281" t="s">
        <v>1309</v>
      </c>
      <c r="FK281" t="s">
        <v>1309</v>
      </c>
      <c r="FL281" t="s">
        <v>1309</v>
      </c>
      <c r="FM281" t="s">
        <v>1309</v>
      </c>
      <c r="FN281" t="s">
        <v>1309</v>
      </c>
      <c r="FO281" t="s">
        <v>1309</v>
      </c>
      <c r="FP281" t="s">
        <v>1309</v>
      </c>
      <c r="FQ281" t="s">
        <v>1309</v>
      </c>
      <c r="FR281" t="s">
        <v>1309</v>
      </c>
      <c r="FT281" t="s">
        <v>1307</v>
      </c>
      <c r="GI281" t="s">
        <v>1324</v>
      </c>
      <c r="GJ281" t="s">
        <v>1324</v>
      </c>
      <c r="GT281" t="s">
        <v>1325</v>
      </c>
      <c r="GU281" t="s">
        <v>1310</v>
      </c>
      <c r="GV281" t="s">
        <v>1309</v>
      </c>
      <c r="GW281" t="s">
        <v>1309</v>
      </c>
      <c r="GX281" t="s">
        <v>1309</v>
      </c>
      <c r="GY281" t="s">
        <v>1309</v>
      </c>
      <c r="GZ281" t="s">
        <v>1309</v>
      </c>
      <c r="HA281" t="s">
        <v>1309</v>
      </c>
      <c r="HB281" t="s">
        <v>1309</v>
      </c>
      <c r="HC281" t="s">
        <v>1309</v>
      </c>
      <c r="HD281" t="s">
        <v>1309</v>
      </c>
      <c r="HE281" t="s">
        <v>1309</v>
      </c>
      <c r="HF281" t="s">
        <v>1309</v>
      </c>
      <c r="HH281" t="s">
        <v>1308</v>
      </c>
      <c r="HI281" t="s">
        <v>1326</v>
      </c>
      <c r="HJ281" t="s">
        <v>1326</v>
      </c>
      <c r="HK281" t="s">
        <v>1327</v>
      </c>
      <c r="HL281" t="s">
        <v>1364</v>
      </c>
      <c r="HM281" t="s">
        <v>1326</v>
      </c>
      <c r="IA281" t="s">
        <v>1319</v>
      </c>
      <c r="IB281" t="s">
        <v>2433</v>
      </c>
      <c r="IC281" t="s">
        <v>1309</v>
      </c>
      <c r="ID281" t="s">
        <v>1309</v>
      </c>
      <c r="IE281" t="s">
        <v>1309</v>
      </c>
      <c r="IF281" t="s">
        <v>1310</v>
      </c>
      <c r="IG281" t="s">
        <v>1310</v>
      </c>
      <c r="IH281" t="s">
        <v>1309</v>
      </c>
      <c r="II281" t="s">
        <v>1309</v>
      </c>
      <c r="IJ281" t="s">
        <v>1309</v>
      </c>
      <c r="IK281" t="s">
        <v>1309</v>
      </c>
      <c r="IL281" t="s">
        <v>1309</v>
      </c>
      <c r="IM281" t="s">
        <v>1309</v>
      </c>
      <c r="IN281" t="s">
        <v>1309</v>
      </c>
      <c r="IO281" t="s">
        <v>1309</v>
      </c>
      <c r="IQ281" t="s">
        <v>1308</v>
      </c>
      <c r="IS281" t="s">
        <v>1316</v>
      </c>
      <c r="JF281" t="s">
        <v>1413</v>
      </c>
      <c r="JG281" t="s">
        <v>1507</v>
      </c>
      <c r="JH281" t="s">
        <v>1309</v>
      </c>
      <c r="JI281" t="s">
        <v>1309</v>
      </c>
      <c r="JJ281" t="s">
        <v>1310</v>
      </c>
      <c r="JK281" t="s">
        <v>1310</v>
      </c>
      <c r="JL281" t="s">
        <v>1309</v>
      </c>
      <c r="JM281" t="s">
        <v>1309</v>
      </c>
      <c r="JN281" t="s">
        <v>1309</v>
      </c>
      <c r="JO281" t="s">
        <v>1309</v>
      </c>
      <c r="JQ281" s="92" t="s">
        <v>1333</v>
      </c>
      <c r="JR281" s="92" t="s">
        <v>1334</v>
      </c>
      <c r="JS281" s="92">
        <v>34</v>
      </c>
      <c r="JT281" s="92" t="s">
        <v>1319</v>
      </c>
      <c r="JU281" s="92" t="s">
        <v>1335</v>
      </c>
      <c r="JV281" s="92" t="s">
        <v>1336</v>
      </c>
      <c r="JW281" s="92" t="s">
        <v>1296</v>
      </c>
      <c r="JX281" s="92" t="s">
        <v>71</v>
      </c>
      <c r="JY281" s="92" t="s">
        <v>5549</v>
      </c>
      <c r="JZ281" s="92" t="s">
        <v>1398</v>
      </c>
      <c r="KA281" s="92" t="s">
        <v>4845</v>
      </c>
      <c r="KB281" s="92" t="s">
        <v>1338</v>
      </c>
      <c r="KC281" s="92" t="s">
        <v>109</v>
      </c>
      <c r="KD281" s="92" t="s">
        <v>4844</v>
      </c>
      <c r="KE281" s="92" t="s">
        <v>1340</v>
      </c>
      <c r="KF281" s="92">
        <v>3650</v>
      </c>
      <c r="KG281" s="92" t="s">
        <v>1340</v>
      </c>
      <c r="KH281" s="92" t="s">
        <v>192</v>
      </c>
      <c r="KI281" s="92" t="s">
        <v>109</v>
      </c>
      <c r="KJ281" s="92" t="s">
        <v>192</v>
      </c>
      <c r="KK281" s="92" t="s">
        <v>109</v>
      </c>
      <c r="KL281" s="92" t="s">
        <v>1341</v>
      </c>
      <c r="KM281" s="92">
        <v>3900</v>
      </c>
      <c r="KN281" s="92" t="s">
        <v>1340</v>
      </c>
      <c r="KO281" s="92" t="s">
        <v>1341</v>
      </c>
      <c r="KP281" s="92" t="s">
        <v>1375</v>
      </c>
      <c r="KQ281" s="92" t="s">
        <v>192</v>
      </c>
      <c r="KR281" s="92">
        <v>8</v>
      </c>
      <c r="KS281" s="92" t="s">
        <v>1343</v>
      </c>
      <c r="KT281" s="92" t="s">
        <v>1344</v>
      </c>
      <c r="KU281" s="92">
        <v>26</v>
      </c>
      <c r="KV281" s="92" t="s">
        <v>1461</v>
      </c>
      <c r="KW281" s="92" t="s">
        <v>1344</v>
      </c>
      <c r="KX281" s="92" t="s">
        <v>1376</v>
      </c>
      <c r="KY281" s="92" t="s">
        <v>1377</v>
      </c>
      <c r="KZ281" s="92" t="s">
        <v>5795</v>
      </c>
      <c r="LA281" s="92" t="s">
        <v>109</v>
      </c>
      <c r="LB281" s="92" t="s">
        <v>109</v>
      </c>
      <c r="LC281" s="92" t="s">
        <v>5566</v>
      </c>
      <c r="LD281" s="92" t="s">
        <v>5566</v>
      </c>
      <c r="LE281" s="92"/>
      <c r="LF281" s="92"/>
    </row>
    <row r="282" spans="1:318" x14ac:dyDescent="0.25">
      <c r="A282" t="s">
        <v>2566</v>
      </c>
      <c r="B282" t="s">
        <v>2567</v>
      </c>
      <c r="C282" t="s">
        <v>1304</v>
      </c>
      <c r="D282" t="s">
        <v>1305</v>
      </c>
      <c r="E282" t="s">
        <v>1381</v>
      </c>
      <c r="G282" t="s">
        <v>1319</v>
      </c>
      <c r="H282">
        <v>4</v>
      </c>
      <c r="I282" t="s">
        <v>1358</v>
      </c>
      <c r="J282" t="s">
        <v>1614</v>
      </c>
      <c r="K282" t="s">
        <v>1309</v>
      </c>
      <c r="L282" t="s">
        <v>1310</v>
      </c>
      <c r="M282" t="s">
        <v>1310</v>
      </c>
      <c r="N282" t="s">
        <v>1309</v>
      </c>
      <c r="O282" t="s">
        <v>1310</v>
      </c>
      <c r="P282" t="s">
        <v>1309</v>
      </c>
      <c r="Q282" t="s">
        <v>1309</v>
      </c>
      <c r="R282" t="s">
        <v>1309</v>
      </c>
      <c r="S282">
        <v>1</v>
      </c>
      <c r="T282">
        <v>2</v>
      </c>
      <c r="U282" t="s">
        <v>1311</v>
      </c>
      <c r="V282" t="s">
        <v>1312</v>
      </c>
      <c r="W282" t="s">
        <v>1311</v>
      </c>
      <c r="X282" t="s">
        <v>1312</v>
      </c>
      <c r="Y282" t="s">
        <v>1312</v>
      </c>
      <c r="Z282" t="s">
        <v>1312</v>
      </c>
      <c r="AC282">
        <v>4</v>
      </c>
      <c r="AD282">
        <v>10000</v>
      </c>
      <c r="AE282">
        <v>6000</v>
      </c>
      <c r="AF282" t="s">
        <v>1313</v>
      </c>
      <c r="AH282" t="s">
        <v>1383</v>
      </c>
      <c r="AJ282" t="s">
        <v>1315</v>
      </c>
      <c r="AL282" t="s">
        <v>1316</v>
      </c>
      <c r="BS282" t="s">
        <v>1307</v>
      </c>
      <c r="CE282" t="s">
        <v>2568</v>
      </c>
      <c r="CF282" t="s">
        <v>1310</v>
      </c>
      <c r="CG282" t="s">
        <v>1309</v>
      </c>
      <c r="CH282" t="s">
        <v>1309</v>
      </c>
      <c r="CI282" t="s">
        <v>1310</v>
      </c>
      <c r="CJ282" t="s">
        <v>1310</v>
      </c>
      <c r="CK282" t="s">
        <v>1309</v>
      </c>
      <c r="CL282" t="s">
        <v>1310</v>
      </c>
      <c r="CM282" t="s">
        <v>1309</v>
      </c>
      <c r="CN282" t="s">
        <v>1310</v>
      </c>
      <c r="CO282" t="s">
        <v>1309</v>
      </c>
      <c r="CP282" t="s">
        <v>1309</v>
      </c>
      <c r="CQ282" t="s">
        <v>1309</v>
      </c>
      <c r="CR282" t="s">
        <v>1309</v>
      </c>
      <c r="CT282" t="s">
        <v>4435</v>
      </c>
      <c r="CV282" t="s">
        <v>1357</v>
      </c>
      <c r="CW282" t="s">
        <v>1309</v>
      </c>
      <c r="CX282" t="s">
        <v>1309</v>
      </c>
      <c r="CY282" t="s">
        <v>1309</v>
      </c>
      <c r="CZ282" t="s">
        <v>1309</v>
      </c>
      <c r="DA282" t="s">
        <v>1310</v>
      </c>
      <c r="DB282" t="s">
        <v>1309</v>
      </c>
      <c r="DC282" t="s">
        <v>1309</v>
      </c>
      <c r="DE282" t="s">
        <v>1358</v>
      </c>
      <c r="DF282" t="s">
        <v>1307</v>
      </c>
      <c r="DH282">
        <v>2000</v>
      </c>
      <c r="DI282">
        <v>300</v>
      </c>
      <c r="DJ282" t="s">
        <v>1358</v>
      </c>
      <c r="DL282">
        <v>2500</v>
      </c>
      <c r="DM282">
        <v>300</v>
      </c>
      <c r="DN282" t="s">
        <v>1584</v>
      </c>
      <c r="DO282" t="s">
        <v>1310</v>
      </c>
      <c r="DP282" t="s">
        <v>1309</v>
      </c>
      <c r="DQ282" t="s">
        <v>1309</v>
      </c>
      <c r="DR282" t="s">
        <v>1309</v>
      </c>
      <c r="DS282" t="s">
        <v>1310</v>
      </c>
      <c r="DT282" t="s">
        <v>1310</v>
      </c>
      <c r="DU282" t="s">
        <v>1309</v>
      </c>
      <c r="DV282" t="s">
        <v>1309</v>
      </c>
      <c r="DW282" t="s">
        <v>1309</v>
      </c>
      <c r="DY282" t="s">
        <v>1481</v>
      </c>
      <c r="DZ282">
        <v>400</v>
      </c>
      <c r="EA282" t="s">
        <v>1319</v>
      </c>
      <c r="EC282" t="s">
        <v>1624</v>
      </c>
      <c r="ED282">
        <v>800</v>
      </c>
      <c r="EE282" t="s">
        <v>1319</v>
      </c>
      <c r="EG282" t="s">
        <v>5356</v>
      </c>
      <c r="EI282" t="s">
        <v>1307</v>
      </c>
      <c r="ET282" t="s">
        <v>1307</v>
      </c>
      <c r="EV282" t="s">
        <v>1319</v>
      </c>
      <c r="EW282" t="s">
        <v>1409</v>
      </c>
      <c r="EX282" t="s">
        <v>1319</v>
      </c>
      <c r="FA282" t="s">
        <v>2199</v>
      </c>
      <c r="FB282" t="s">
        <v>1309</v>
      </c>
      <c r="FC282" t="s">
        <v>1309</v>
      </c>
      <c r="FD282" t="s">
        <v>1309</v>
      </c>
      <c r="FE282" t="s">
        <v>1310</v>
      </c>
      <c r="FF282" t="s">
        <v>1309</v>
      </c>
      <c r="FG282" t="s">
        <v>1309</v>
      </c>
      <c r="FH282" t="s">
        <v>1309</v>
      </c>
      <c r="FI282" t="s">
        <v>1310</v>
      </c>
      <c r="FJ282" t="s">
        <v>1309</v>
      </c>
      <c r="FK282" t="s">
        <v>1309</v>
      </c>
      <c r="FL282" t="s">
        <v>1309</v>
      </c>
      <c r="FM282" t="s">
        <v>1309</v>
      </c>
      <c r="FN282" t="s">
        <v>1309</v>
      </c>
      <c r="FO282" t="s">
        <v>1309</v>
      </c>
      <c r="FP282" t="s">
        <v>1309</v>
      </c>
      <c r="FQ282" t="s">
        <v>1309</v>
      </c>
      <c r="FR282" t="s">
        <v>1309</v>
      </c>
      <c r="FT282" t="s">
        <v>1319</v>
      </c>
      <c r="FU282" t="s">
        <v>2569</v>
      </c>
      <c r="FV282" t="s">
        <v>1310</v>
      </c>
      <c r="FW282" t="s">
        <v>1310</v>
      </c>
      <c r="FX282" t="s">
        <v>1309</v>
      </c>
      <c r="FY282" t="s">
        <v>1309</v>
      </c>
      <c r="FZ282" t="s">
        <v>1309</v>
      </c>
      <c r="GA282" t="s">
        <v>1310</v>
      </c>
      <c r="GB282" t="s">
        <v>1309</v>
      </c>
      <c r="GC282" t="s">
        <v>1309</v>
      </c>
      <c r="GD282" t="s">
        <v>1310</v>
      </c>
      <c r="GE282" t="s">
        <v>1309</v>
      </c>
      <c r="GF282" t="s">
        <v>1309</v>
      </c>
      <c r="GG282" t="s">
        <v>1309</v>
      </c>
      <c r="GI282" t="s">
        <v>1436</v>
      </c>
      <c r="GJ282" t="s">
        <v>1436</v>
      </c>
      <c r="GK282" t="s">
        <v>1319</v>
      </c>
      <c r="GL282" t="s">
        <v>1619</v>
      </c>
      <c r="GM282" t="s">
        <v>1310</v>
      </c>
      <c r="GN282" t="s">
        <v>1309</v>
      </c>
      <c r="GO282" t="s">
        <v>1309</v>
      </c>
      <c r="GP282" t="s">
        <v>1309</v>
      </c>
      <c r="GQ282" t="s">
        <v>1309</v>
      </c>
      <c r="GR282" t="s">
        <v>1309</v>
      </c>
      <c r="GT282" t="s">
        <v>1325</v>
      </c>
      <c r="GU282" t="s">
        <v>1310</v>
      </c>
      <c r="GV282" t="s">
        <v>1309</v>
      </c>
      <c r="GW282" t="s">
        <v>1309</v>
      </c>
      <c r="GX282" t="s">
        <v>1309</v>
      </c>
      <c r="GY282" t="s">
        <v>1309</v>
      </c>
      <c r="GZ282" t="s">
        <v>1309</v>
      </c>
      <c r="HA282" t="s">
        <v>1309</v>
      </c>
      <c r="HB282" t="s">
        <v>1309</v>
      </c>
      <c r="HC282" t="s">
        <v>1309</v>
      </c>
      <c r="HD282" t="s">
        <v>1309</v>
      </c>
      <c r="HE282" t="s">
        <v>1309</v>
      </c>
      <c r="HF282" t="s">
        <v>1309</v>
      </c>
      <c r="HH282" t="s">
        <v>1390</v>
      </c>
      <c r="HI282" t="s">
        <v>1363</v>
      </c>
      <c r="HJ282" t="s">
        <v>1363</v>
      </c>
      <c r="HK282" t="s">
        <v>1327</v>
      </c>
      <c r="HL282" t="s">
        <v>1328</v>
      </c>
      <c r="HM282" t="s">
        <v>1363</v>
      </c>
      <c r="HN282" t="s">
        <v>1626</v>
      </c>
      <c r="HO282" t="s">
        <v>1310</v>
      </c>
      <c r="HP282" t="s">
        <v>1309</v>
      </c>
      <c r="HQ282" t="s">
        <v>1309</v>
      </c>
      <c r="HR282" t="s">
        <v>1309</v>
      </c>
      <c r="HS282" t="s">
        <v>1309</v>
      </c>
      <c r="HT282" t="s">
        <v>1309</v>
      </c>
      <c r="HU282" t="s">
        <v>1309</v>
      </c>
      <c r="HV282" t="s">
        <v>1309</v>
      </c>
      <c r="HW282" t="s">
        <v>1309</v>
      </c>
      <c r="HX282" t="s">
        <v>1309</v>
      </c>
      <c r="HY282" t="s">
        <v>1309</v>
      </c>
      <c r="IA282" t="s">
        <v>1307</v>
      </c>
      <c r="IQ282" t="s">
        <v>1365</v>
      </c>
      <c r="IS282" t="s">
        <v>1316</v>
      </c>
      <c r="JF282" t="s">
        <v>1316</v>
      </c>
      <c r="JG282" t="s">
        <v>1414</v>
      </c>
      <c r="JH282" t="s">
        <v>1309</v>
      </c>
      <c r="JI282" t="s">
        <v>1309</v>
      </c>
      <c r="JJ282" t="s">
        <v>1309</v>
      </c>
      <c r="JK282" t="s">
        <v>1309</v>
      </c>
      <c r="JL282" t="s">
        <v>1309</v>
      </c>
      <c r="JM282" t="s">
        <v>1309</v>
      </c>
      <c r="JN282" t="s">
        <v>1310</v>
      </c>
      <c r="JO282" t="s">
        <v>1309</v>
      </c>
      <c r="JQ282" s="92" t="s">
        <v>1333</v>
      </c>
      <c r="JR282" s="92" t="s">
        <v>1334</v>
      </c>
      <c r="JS282" s="92">
        <v>67</v>
      </c>
      <c r="JT282" s="92" t="s">
        <v>1319</v>
      </c>
      <c r="JU282" s="92" t="s">
        <v>1396</v>
      </c>
      <c r="JV282" s="92" t="s">
        <v>1336</v>
      </c>
      <c r="JW282" s="92" t="s">
        <v>1296</v>
      </c>
      <c r="JX282" s="92" t="s">
        <v>71</v>
      </c>
      <c r="JY282" s="92" t="s">
        <v>1397</v>
      </c>
      <c r="JZ282" s="92" t="s">
        <v>1369</v>
      </c>
      <c r="KA282" s="92" t="s">
        <v>4845</v>
      </c>
      <c r="KB282" s="92" t="s">
        <v>1370</v>
      </c>
      <c r="KC282" s="92" t="s">
        <v>109</v>
      </c>
      <c r="KD282" s="92" t="s">
        <v>4848</v>
      </c>
      <c r="KE282" s="92" t="s">
        <v>1424</v>
      </c>
      <c r="KF282" s="92">
        <v>2300</v>
      </c>
      <c r="KG282" s="92" t="s">
        <v>4438</v>
      </c>
      <c r="KH282" s="92" t="s">
        <v>109</v>
      </c>
      <c r="KI282" s="92" t="s">
        <v>192</v>
      </c>
      <c r="KJ282" s="92" t="s">
        <v>109</v>
      </c>
      <c r="KK282" s="92" t="s">
        <v>192</v>
      </c>
      <c r="KL282" s="92" t="s">
        <v>1425</v>
      </c>
      <c r="KM282" s="92">
        <v>2800</v>
      </c>
      <c r="KN282" s="92" t="s">
        <v>4439</v>
      </c>
      <c r="KO282" s="92" t="s">
        <v>1425</v>
      </c>
      <c r="KP282" s="92" t="s">
        <v>1375</v>
      </c>
      <c r="KQ282" s="92" t="s">
        <v>109</v>
      </c>
      <c r="KR282" s="92">
        <v>17</v>
      </c>
      <c r="KS282" s="92" t="s">
        <v>1343</v>
      </c>
      <c r="KT282" s="92" t="s">
        <v>1344</v>
      </c>
      <c r="KU282" s="92">
        <v>29</v>
      </c>
      <c r="KV282" s="92" t="s">
        <v>1441</v>
      </c>
      <c r="KW282" s="92" t="s">
        <v>1344</v>
      </c>
      <c r="KX282" s="92" t="s">
        <v>1376</v>
      </c>
      <c r="KY282" s="92" t="s">
        <v>1377</v>
      </c>
      <c r="KZ282" s="92" t="s">
        <v>1403</v>
      </c>
      <c r="LA282" s="92" t="s">
        <v>109</v>
      </c>
      <c r="LB282" s="92" t="s">
        <v>109</v>
      </c>
      <c r="LC282" s="92" t="s">
        <v>4439</v>
      </c>
      <c r="LD282" s="92" t="s">
        <v>4439</v>
      </c>
      <c r="LE282" s="92" t="s">
        <v>109</v>
      </c>
      <c r="LF282" s="92" t="s">
        <v>109</v>
      </c>
    </row>
    <row r="283" spans="1:318" x14ac:dyDescent="0.25">
      <c r="A283" t="s">
        <v>2570</v>
      </c>
      <c r="B283" t="s">
        <v>2571</v>
      </c>
      <c r="C283" t="s">
        <v>1304</v>
      </c>
      <c r="D283" t="s">
        <v>1305</v>
      </c>
      <c r="E283" t="s">
        <v>1306</v>
      </c>
      <c r="G283" t="s">
        <v>1307</v>
      </c>
      <c r="H283">
        <v>3</v>
      </c>
      <c r="I283" t="s">
        <v>1307</v>
      </c>
      <c r="J283" t="s">
        <v>2528</v>
      </c>
      <c r="K283" t="s">
        <v>1310</v>
      </c>
      <c r="L283" t="s">
        <v>1310</v>
      </c>
      <c r="M283" t="s">
        <v>1309</v>
      </c>
      <c r="N283" t="s">
        <v>1309</v>
      </c>
      <c r="O283" t="s">
        <v>1309</v>
      </c>
      <c r="P283" t="s">
        <v>1309</v>
      </c>
      <c r="Q283" t="s">
        <v>1309</v>
      </c>
      <c r="R283" t="s">
        <v>1309</v>
      </c>
      <c r="S283">
        <v>1</v>
      </c>
      <c r="U283" t="s">
        <v>1312</v>
      </c>
      <c r="V283" t="s">
        <v>1312</v>
      </c>
      <c r="W283" t="s">
        <v>1312</v>
      </c>
      <c r="X283" t="s">
        <v>1312</v>
      </c>
      <c r="Y283" t="s">
        <v>1312</v>
      </c>
      <c r="Z283" t="s">
        <v>1312</v>
      </c>
      <c r="AC283">
        <v>1</v>
      </c>
      <c r="AD283">
        <v>18000</v>
      </c>
      <c r="AE283">
        <v>15000</v>
      </c>
      <c r="AF283" t="s">
        <v>1313</v>
      </c>
      <c r="AH283" t="s">
        <v>1383</v>
      </c>
      <c r="AJ283" t="s">
        <v>1315</v>
      </c>
      <c r="AL283" t="s">
        <v>1316</v>
      </c>
      <c r="BS283" t="s">
        <v>1307</v>
      </c>
      <c r="CE283" t="s">
        <v>2572</v>
      </c>
      <c r="CF283" t="s">
        <v>1310</v>
      </c>
      <c r="CG283" t="s">
        <v>1309</v>
      </c>
      <c r="CH283" t="s">
        <v>1309</v>
      </c>
      <c r="CI283" t="s">
        <v>1309</v>
      </c>
      <c r="CJ283" t="s">
        <v>1310</v>
      </c>
      <c r="CK283" t="s">
        <v>1309</v>
      </c>
      <c r="CL283" t="s">
        <v>1310</v>
      </c>
      <c r="CM283" t="s">
        <v>1309</v>
      </c>
      <c r="CN283" t="s">
        <v>1310</v>
      </c>
      <c r="CO283" t="s">
        <v>1310</v>
      </c>
      <c r="CP283" t="s">
        <v>1309</v>
      </c>
      <c r="CQ283" t="s">
        <v>1309</v>
      </c>
      <c r="CR283" t="s">
        <v>1309</v>
      </c>
      <c r="CT283" t="s">
        <v>4434</v>
      </c>
      <c r="CV283" t="s">
        <v>1308</v>
      </c>
      <c r="CW283" t="s">
        <v>1310</v>
      </c>
      <c r="CX283" t="s">
        <v>1309</v>
      </c>
      <c r="CY283" t="s">
        <v>1309</v>
      </c>
      <c r="CZ283" t="s">
        <v>1309</v>
      </c>
      <c r="DA283" t="s">
        <v>1309</v>
      </c>
      <c r="DB283" t="s">
        <v>1309</v>
      </c>
      <c r="DC283" t="s">
        <v>1309</v>
      </c>
      <c r="DE283" t="s">
        <v>1358</v>
      </c>
      <c r="DG283">
        <v>3000</v>
      </c>
      <c r="DI283">
        <v>850</v>
      </c>
      <c r="DJ283" t="s">
        <v>1358</v>
      </c>
      <c r="DK283">
        <v>3400</v>
      </c>
      <c r="DM283">
        <v>900</v>
      </c>
      <c r="DN283" t="s">
        <v>2573</v>
      </c>
      <c r="DO283" t="s">
        <v>1310</v>
      </c>
      <c r="DP283" t="s">
        <v>1310</v>
      </c>
      <c r="DQ283" t="s">
        <v>1309</v>
      </c>
      <c r="DR283" t="s">
        <v>1310</v>
      </c>
      <c r="DS283" t="s">
        <v>1309</v>
      </c>
      <c r="DT283" t="s">
        <v>1310</v>
      </c>
      <c r="DU283" t="s">
        <v>1309</v>
      </c>
      <c r="DV283" t="s">
        <v>1309</v>
      </c>
      <c r="DW283" t="s">
        <v>1309</v>
      </c>
      <c r="DY283" t="s">
        <v>1481</v>
      </c>
      <c r="DZ283">
        <v>450</v>
      </c>
      <c r="EA283" t="s">
        <v>1319</v>
      </c>
      <c r="EC283" t="s">
        <v>1420</v>
      </c>
      <c r="ED283">
        <v>1000</v>
      </c>
      <c r="EE283" t="s">
        <v>1319</v>
      </c>
      <c r="EG283" t="s">
        <v>5357</v>
      </c>
      <c r="ET283" t="s">
        <v>1434</v>
      </c>
      <c r="EV283" t="s">
        <v>1319</v>
      </c>
      <c r="EW283" t="s">
        <v>1409</v>
      </c>
      <c r="EX283" t="s">
        <v>1319</v>
      </c>
      <c r="EY283" t="s">
        <v>1307</v>
      </c>
      <c r="FA283" t="s">
        <v>2574</v>
      </c>
      <c r="FB283" t="s">
        <v>1309</v>
      </c>
      <c r="FC283" t="s">
        <v>1309</v>
      </c>
      <c r="FD283" t="s">
        <v>1309</v>
      </c>
      <c r="FE283" t="s">
        <v>1309</v>
      </c>
      <c r="FF283" t="s">
        <v>1309</v>
      </c>
      <c r="FG283" t="s">
        <v>1310</v>
      </c>
      <c r="FH283" t="s">
        <v>1310</v>
      </c>
      <c r="FI283" t="s">
        <v>1309</v>
      </c>
      <c r="FJ283" t="s">
        <v>1309</v>
      </c>
      <c r="FK283" t="s">
        <v>1309</v>
      </c>
      <c r="FL283" t="s">
        <v>1309</v>
      </c>
      <c r="FM283" t="s">
        <v>1310</v>
      </c>
      <c r="FN283" t="s">
        <v>1309</v>
      </c>
      <c r="FO283" t="s">
        <v>1309</v>
      </c>
      <c r="FP283" t="s">
        <v>1309</v>
      </c>
      <c r="FQ283" t="s">
        <v>1309</v>
      </c>
      <c r="FR283" t="s">
        <v>1309</v>
      </c>
      <c r="FT283" t="s">
        <v>1319</v>
      </c>
      <c r="FU283" t="s">
        <v>2575</v>
      </c>
      <c r="FV283" t="s">
        <v>1309</v>
      </c>
      <c r="FW283" t="s">
        <v>1309</v>
      </c>
      <c r="FX283" t="s">
        <v>1309</v>
      </c>
      <c r="FY283" t="s">
        <v>1310</v>
      </c>
      <c r="FZ283" t="s">
        <v>1309</v>
      </c>
      <c r="GA283" t="s">
        <v>1310</v>
      </c>
      <c r="GB283" t="s">
        <v>1309</v>
      </c>
      <c r="GC283" t="s">
        <v>1309</v>
      </c>
      <c r="GD283" t="s">
        <v>1310</v>
      </c>
      <c r="GE283" t="s">
        <v>1309</v>
      </c>
      <c r="GF283" t="s">
        <v>1309</v>
      </c>
      <c r="GG283" t="s">
        <v>1309</v>
      </c>
      <c r="GI283" t="s">
        <v>1324</v>
      </c>
      <c r="GJ283" t="s">
        <v>1324</v>
      </c>
      <c r="GT283" t="s">
        <v>1325</v>
      </c>
      <c r="GU283" t="s">
        <v>1310</v>
      </c>
      <c r="GV283" t="s">
        <v>1309</v>
      </c>
      <c r="GW283" t="s">
        <v>1309</v>
      </c>
      <c r="GX283" t="s">
        <v>1309</v>
      </c>
      <c r="GY283" t="s">
        <v>1309</v>
      </c>
      <c r="GZ283" t="s">
        <v>1309</v>
      </c>
      <c r="HA283" t="s">
        <v>1309</v>
      </c>
      <c r="HB283" t="s">
        <v>1309</v>
      </c>
      <c r="HC283" t="s">
        <v>1309</v>
      </c>
      <c r="HD283" t="s">
        <v>1309</v>
      </c>
      <c r="HE283" t="s">
        <v>1309</v>
      </c>
      <c r="HF283" t="s">
        <v>1309</v>
      </c>
      <c r="HH283" t="s">
        <v>1326</v>
      </c>
      <c r="HI283" t="s">
        <v>1326</v>
      </c>
      <c r="HJ283" t="s">
        <v>1326</v>
      </c>
      <c r="HK283" t="s">
        <v>1327</v>
      </c>
      <c r="HL283" t="s">
        <v>1328</v>
      </c>
      <c r="HM283" t="s">
        <v>1326</v>
      </c>
      <c r="HN283" t="s">
        <v>1698</v>
      </c>
      <c r="HO283" t="s">
        <v>1309</v>
      </c>
      <c r="HP283" t="s">
        <v>1309</v>
      </c>
      <c r="HQ283" t="s">
        <v>1309</v>
      </c>
      <c r="HR283" t="s">
        <v>1309</v>
      </c>
      <c r="HS283" t="s">
        <v>1309</v>
      </c>
      <c r="HT283" t="s">
        <v>1309</v>
      </c>
      <c r="HU283" t="s">
        <v>1309</v>
      </c>
      <c r="HV283" t="s">
        <v>1309</v>
      </c>
      <c r="HW283" t="s">
        <v>1310</v>
      </c>
      <c r="HX283" t="s">
        <v>1309</v>
      </c>
      <c r="HY283" t="s">
        <v>1309</v>
      </c>
      <c r="HZ283" t="s">
        <v>2041</v>
      </c>
      <c r="IA283" t="s">
        <v>1319</v>
      </c>
      <c r="IB283" t="s">
        <v>1423</v>
      </c>
      <c r="IC283" t="s">
        <v>1309</v>
      </c>
      <c r="ID283" t="s">
        <v>1309</v>
      </c>
      <c r="IE283" t="s">
        <v>1309</v>
      </c>
      <c r="IF283" t="s">
        <v>1309</v>
      </c>
      <c r="IG283" t="s">
        <v>1310</v>
      </c>
      <c r="IH283" t="s">
        <v>1309</v>
      </c>
      <c r="II283" t="s">
        <v>1309</v>
      </c>
      <c r="IJ283" t="s">
        <v>1309</v>
      </c>
      <c r="IK283" t="s">
        <v>1309</v>
      </c>
      <c r="IL283" t="s">
        <v>1309</v>
      </c>
      <c r="IM283" t="s">
        <v>1309</v>
      </c>
      <c r="IN283" t="s">
        <v>1309</v>
      </c>
      <c r="IO283" t="s">
        <v>1309</v>
      </c>
      <c r="IQ283" t="s">
        <v>1308</v>
      </c>
      <c r="IS283" t="s">
        <v>1354</v>
      </c>
      <c r="JF283" t="s">
        <v>1331</v>
      </c>
      <c r="JG283" t="s">
        <v>1523</v>
      </c>
      <c r="JH283" t="s">
        <v>1309</v>
      </c>
      <c r="JI283" t="s">
        <v>1309</v>
      </c>
      <c r="JJ283" t="s">
        <v>1309</v>
      </c>
      <c r="JK283" t="s">
        <v>1310</v>
      </c>
      <c r="JL283" t="s">
        <v>1309</v>
      </c>
      <c r="JM283" t="s">
        <v>1309</v>
      </c>
      <c r="JN283" t="s">
        <v>1309</v>
      </c>
      <c r="JO283" t="s">
        <v>1309</v>
      </c>
      <c r="JQ283" s="92" t="s">
        <v>1333</v>
      </c>
      <c r="JR283" s="92" t="s">
        <v>1334</v>
      </c>
      <c r="JS283" s="92">
        <v>35</v>
      </c>
      <c r="JT283" s="92" t="s">
        <v>1319</v>
      </c>
      <c r="JU283" s="92" t="s">
        <v>1335</v>
      </c>
      <c r="JV283" s="92" t="s">
        <v>1336</v>
      </c>
      <c r="JW283" s="92" t="s">
        <v>1296</v>
      </c>
      <c r="JX283" s="92" t="s">
        <v>71</v>
      </c>
      <c r="JY283" s="92" t="s">
        <v>5549</v>
      </c>
      <c r="JZ283" s="92" t="s">
        <v>1337</v>
      </c>
      <c r="KA283" s="92" t="s">
        <v>4845</v>
      </c>
      <c r="KB283" s="92" t="s">
        <v>1415</v>
      </c>
      <c r="KC283" s="92" t="s">
        <v>109</v>
      </c>
      <c r="KD283" s="92" t="s">
        <v>4844</v>
      </c>
      <c r="KE283" s="92" t="s">
        <v>1452</v>
      </c>
      <c r="KF283" s="92">
        <v>3850</v>
      </c>
      <c r="KG283" s="92" t="s">
        <v>4438</v>
      </c>
      <c r="KH283" s="92" t="s">
        <v>192</v>
      </c>
      <c r="KI283" s="92" t="s">
        <v>109</v>
      </c>
      <c r="KJ283" s="92" t="s">
        <v>192</v>
      </c>
      <c r="KK283" s="92" t="s">
        <v>109</v>
      </c>
      <c r="KL283" s="92" t="s">
        <v>1341</v>
      </c>
      <c r="KM283" s="92">
        <v>4300</v>
      </c>
      <c r="KN283" s="92" t="s">
        <v>4438</v>
      </c>
      <c r="KO283" s="92" t="s">
        <v>1341</v>
      </c>
      <c r="KP283" s="92" t="s">
        <v>1460</v>
      </c>
      <c r="KQ283" s="92" t="s">
        <v>192</v>
      </c>
      <c r="KR283" s="92">
        <v>12</v>
      </c>
      <c r="KS283" s="92" t="s">
        <v>1343</v>
      </c>
      <c r="KT283" s="92" t="s">
        <v>1344</v>
      </c>
      <c r="KU283" s="92">
        <v>23</v>
      </c>
      <c r="KV283" s="92" t="s">
        <v>1461</v>
      </c>
      <c r="KW283" s="92" t="s">
        <v>1344</v>
      </c>
      <c r="KX283" s="92" t="s">
        <v>1376</v>
      </c>
      <c r="KY283" s="92" t="s">
        <v>1377</v>
      </c>
      <c r="KZ283" s="92" t="s">
        <v>5795</v>
      </c>
      <c r="LA283" s="92" t="s">
        <v>109</v>
      </c>
      <c r="LB283" s="92" t="s">
        <v>109</v>
      </c>
      <c r="LC283" s="92" t="s">
        <v>4438</v>
      </c>
      <c r="LD283" s="92" t="s">
        <v>4438</v>
      </c>
      <c r="LE283" s="92" t="s">
        <v>192</v>
      </c>
      <c r="LF283" s="92" t="s">
        <v>192</v>
      </c>
    </row>
    <row r="284" spans="1:318" x14ac:dyDescent="0.25">
      <c r="A284" t="s">
        <v>2576</v>
      </c>
      <c r="B284" t="s">
        <v>2577</v>
      </c>
      <c r="C284" t="s">
        <v>1304</v>
      </c>
      <c r="D284" t="s">
        <v>1429</v>
      </c>
      <c r="E284" t="s">
        <v>1306</v>
      </c>
      <c r="G284" t="s">
        <v>1307</v>
      </c>
      <c r="H284">
        <v>2</v>
      </c>
      <c r="I284" t="s">
        <v>1307</v>
      </c>
      <c r="J284" t="s">
        <v>1891</v>
      </c>
      <c r="K284" t="s">
        <v>1309</v>
      </c>
      <c r="L284" t="s">
        <v>1309</v>
      </c>
      <c r="M284" t="s">
        <v>1310</v>
      </c>
      <c r="N284" t="s">
        <v>1309</v>
      </c>
      <c r="O284" t="s">
        <v>1310</v>
      </c>
      <c r="P284" t="s">
        <v>1309</v>
      </c>
      <c r="Q284" t="s">
        <v>1309</v>
      </c>
      <c r="R284" t="s">
        <v>1309</v>
      </c>
      <c r="T284">
        <v>2</v>
      </c>
      <c r="U284" t="s">
        <v>1486</v>
      </c>
      <c r="V284" t="s">
        <v>1311</v>
      </c>
      <c r="W284" t="s">
        <v>1311</v>
      </c>
      <c r="X284" t="s">
        <v>1311</v>
      </c>
      <c r="Y284" t="s">
        <v>1311</v>
      </c>
      <c r="Z284" t="s">
        <v>1312</v>
      </c>
      <c r="AC284">
        <v>2</v>
      </c>
      <c r="AD284">
        <v>7500</v>
      </c>
      <c r="AE284">
        <v>9000</v>
      </c>
      <c r="AF284" t="s">
        <v>1313</v>
      </c>
      <c r="AH284" t="s">
        <v>1352</v>
      </c>
      <c r="AJ284" t="s">
        <v>1315</v>
      </c>
      <c r="AL284" t="s">
        <v>1316</v>
      </c>
      <c r="BS284" t="s">
        <v>1307</v>
      </c>
      <c r="CE284" t="s">
        <v>1355</v>
      </c>
      <c r="CF284" t="s">
        <v>1309</v>
      </c>
      <c r="CG284" t="s">
        <v>1309</v>
      </c>
      <c r="CH284" t="s">
        <v>1309</v>
      </c>
      <c r="CI284" t="s">
        <v>1309</v>
      </c>
      <c r="CJ284" t="s">
        <v>1309</v>
      </c>
      <c r="CK284" t="s">
        <v>1309</v>
      </c>
      <c r="CL284" t="s">
        <v>1309</v>
      </c>
      <c r="CM284" t="s">
        <v>1309</v>
      </c>
      <c r="CN284" t="s">
        <v>1310</v>
      </c>
      <c r="CO284" t="s">
        <v>1309</v>
      </c>
      <c r="CP284" t="s">
        <v>1309</v>
      </c>
      <c r="CQ284" t="s">
        <v>1309</v>
      </c>
      <c r="CR284" t="s">
        <v>1309</v>
      </c>
      <c r="CT284" t="s">
        <v>4435</v>
      </c>
      <c r="CV284" t="s">
        <v>1308</v>
      </c>
      <c r="CW284" t="s">
        <v>1310</v>
      </c>
      <c r="CX284" t="s">
        <v>1309</v>
      </c>
      <c r="CY284" t="s">
        <v>1309</v>
      </c>
      <c r="CZ284" t="s">
        <v>1309</v>
      </c>
      <c r="DA284" t="s">
        <v>1309</v>
      </c>
      <c r="DB284" t="s">
        <v>1309</v>
      </c>
      <c r="DC284" t="s">
        <v>1309</v>
      </c>
      <c r="DE284" t="s">
        <v>1318</v>
      </c>
      <c r="DF284" t="s">
        <v>1319</v>
      </c>
      <c r="DG284">
        <v>300</v>
      </c>
      <c r="DH284">
        <v>2300</v>
      </c>
      <c r="DI284">
        <v>250</v>
      </c>
      <c r="DJ284" t="s">
        <v>1318</v>
      </c>
      <c r="DK284">
        <v>550</v>
      </c>
      <c r="DL284">
        <v>2800</v>
      </c>
      <c r="DM284">
        <v>800</v>
      </c>
      <c r="DN284" t="s">
        <v>1647</v>
      </c>
      <c r="DO284" t="s">
        <v>1310</v>
      </c>
      <c r="DP284" t="s">
        <v>1309</v>
      </c>
      <c r="DQ284" t="s">
        <v>1309</v>
      </c>
      <c r="DR284" t="s">
        <v>1310</v>
      </c>
      <c r="DS284" t="s">
        <v>1309</v>
      </c>
      <c r="DT284" t="s">
        <v>1310</v>
      </c>
      <c r="DU284" t="s">
        <v>1309</v>
      </c>
      <c r="DV284" t="s">
        <v>1309</v>
      </c>
      <c r="DW284" t="s">
        <v>1309</v>
      </c>
      <c r="DY284" t="s">
        <v>1446</v>
      </c>
      <c r="DZ284">
        <v>500</v>
      </c>
      <c r="EA284" t="s">
        <v>1319</v>
      </c>
      <c r="EC284" t="s">
        <v>1322</v>
      </c>
      <c r="ED284">
        <v>800</v>
      </c>
      <c r="EE284" t="s">
        <v>1319</v>
      </c>
      <c r="EG284" t="s">
        <v>5357</v>
      </c>
      <c r="ET284" t="s">
        <v>1307</v>
      </c>
      <c r="EV284" t="s">
        <v>1307</v>
      </c>
      <c r="EX284" t="s">
        <v>1319</v>
      </c>
      <c r="EY284" t="s">
        <v>1319</v>
      </c>
      <c r="FA284" t="s">
        <v>1673</v>
      </c>
      <c r="FB284" t="s">
        <v>1309</v>
      </c>
      <c r="FC284" t="s">
        <v>1309</v>
      </c>
      <c r="FD284" t="s">
        <v>1309</v>
      </c>
      <c r="FE284" t="s">
        <v>1309</v>
      </c>
      <c r="FF284" t="s">
        <v>1309</v>
      </c>
      <c r="FG284" t="s">
        <v>1309</v>
      </c>
      <c r="FH284" t="s">
        <v>1309</v>
      </c>
      <c r="FI284" t="s">
        <v>1310</v>
      </c>
      <c r="FJ284" t="s">
        <v>1309</v>
      </c>
      <c r="FK284" t="s">
        <v>1310</v>
      </c>
      <c r="FL284" t="s">
        <v>1309</v>
      </c>
      <c r="FM284" t="s">
        <v>1309</v>
      </c>
      <c r="FN284" t="s">
        <v>1309</v>
      </c>
      <c r="FO284" t="s">
        <v>1309</v>
      </c>
      <c r="FP284" t="s">
        <v>1309</v>
      </c>
      <c r="FQ284" t="s">
        <v>1309</v>
      </c>
      <c r="FR284" t="s">
        <v>1309</v>
      </c>
      <c r="FT284" t="s">
        <v>1319</v>
      </c>
      <c r="FU284" t="s">
        <v>1626</v>
      </c>
      <c r="FV284" t="s">
        <v>1309</v>
      </c>
      <c r="FW284" t="s">
        <v>1310</v>
      </c>
      <c r="FX284" t="s">
        <v>1309</v>
      </c>
      <c r="FY284" t="s">
        <v>1309</v>
      </c>
      <c r="FZ284" t="s">
        <v>1309</v>
      </c>
      <c r="GA284" t="s">
        <v>1309</v>
      </c>
      <c r="GB284" t="s">
        <v>1309</v>
      </c>
      <c r="GC284" t="s">
        <v>1309</v>
      </c>
      <c r="GD284" t="s">
        <v>1309</v>
      </c>
      <c r="GE284" t="s">
        <v>1309</v>
      </c>
      <c r="GF284" t="s">
        <v>1309</v>
      </c>
      <c r="GG284" t="s">
        <v>1309</v>
      </c>
      <c r="GI284" t="s">
        <v>1436</v>
      </c>
      <c r="GJ284" t="s">
        <v>1436</v>
      </c>
      <c r="GK284" t="s">
        <v>1307</v>
      </c>
      <c r="GT284" t="s">
        <v>1325</v>
      </c>
      <c r="GU284" t="s">
        <v>1310</v>
      </c>
      <c r="GV284" t="s">
        <v>1309</v>
      </c>
      <c r="GW284" t="s">
        <v>1309</v>
      </c>
      <c r="GX284" t="s">
        <v>1309</v>
      </c>
      <c r="GY284" t="s">
        <v>1309</v>
      </c>
      <c r="GZ284" t="s">
        <v>1309</v>
      </c>
      <c r="HA284" t="s">
        <v>1309</v>
      </c>
      <c r="HB284" t="s">
        <v>1309</v>
      </c>
      <c r="HC284" t="s">
        <v>1309</v>
      </c>
      <c r="HD284" t="s">
        <v>1309</v>
      </c>
      <c r="HE284" t="s">
        <v>1309</v>
      </c>
      <c r="HF284" t="s">
        <v>1309</v>
      </c>
      <c r="HH284" t="s">
        <v>1390</v>
      </c>
      <c r="HI284" t="s">
        <v>1326</v>
      </c>
      <c r="HJ284" t="s">
        <v>1390</v>
      </c>
      <c r="HK284" t="s">
        <v>1327</v>
      </c>
      <c r="HL284" t="s">
        <v>1437</v>
      </c>
      <c r="HM284" t="s">
        <v>1326</v>
      </c>
      <c r="HN284" t="s">
        <v>1459</v>
      </c>
      <c r="HO284" t="s">
        <v>1310</v>
      </c>
      <c r="HP284" t="s">
        <v>1310</v>
      </c>
      <c r="HQ284" t="s">
        <v>1309</v>
      </c>
      <c r="HR284" t="s">
        <v>1310</v>
      </c>
      <c r="HS284" t="s">
        <v>1309</v>
      </c>
      <c r="HT284" t="s">
        <v>1309</v>
      </c>
      <c r="HU284" t="s">
        <v>1309</v>
      </c>
      <c r="HV284" t="s">
        <v>1309</v>
      </c>
      <c r="HW284" t="s">
        <v>1309</v>
      </c>
      <c r="HX284" t="s">
        <v>1309</v>
      </c>
      <c r="HY284" t="s">
        <v>1309</v>
      </c>
      <c r="IA284" t="s">
        <v>1319</v>
      </c>
      <c r="IB284" t="s">
        <v>1423</v>
      </c>
      <c r="IC284" t="s">
        <v>1309</v>
      </c>
      <c r="ID284" t="s">
        <v>1309</v>
      </c>
      <c r="IE284" t="s">
        <v>1309</v>
      </c>
      <c r="IF284" t="s">
        <v>1309</v>
      </c>
      <c r="IG284" t="s">
        <v>1310</v>
      </c>
      <c r="IH284" t="s">
        <v>1309</v>
      </c>
      <c r="II284" t="s">
        <v>1309</v>
      </c>
      <c r="IJ284" t="s">
        <v>1309</v>
      </c>
      <c r="IK284" t="s">
        <v>1309</v>
      </c>
      <c r="IL284" t="s">
        <v>1309</v>
      </c>
      <c r="IM284" t="s">
        <v>1309</v>
      </c>
      <c r="IN284" t="s">
        <v>1309</v>
      </c>
      <c r="IO284" t="s">
        <v>1309</v>
      </c>
      <c r="IQ284" t="s">
        <v>1330</v>
      </c>
      <c r="IS284" t="s">
        <v>1316</v>
      </c>
      <c r="JF284" t="s">
        <v>1331</v>
      </c>
      <c r="JG284" t="s">
        <v>1414</v>
      </c>
      <c r="JH284" t="s">
        <v>1309</v>
      </c>
      <c r="JI284" t="s">
        <v>1309</v>
      </c>
      <c r="JJ284" t="s">
        <v>1309</v>
      </c>
      <c r="JK284" t="s">
        <v>1309</v>
      </c>
      <c r="JL284" t="s">
        <v>1309</v>
      </c>
      <c r="JM284" t="s">
        <v>1309</v>
      </c>
      <c r="JN284" t="s">
        <v>1310</v>
      </c>
      <c r="JO284" t="s">
        <v>1309</v>
      </c>
      <c r="JQ284" s="92" t="s">
        <v>1333</v>
      </c>
      <c r="JR284" s="92" t="s">
        <v>1334</v>
      </c>
      <c r="JS284" s="92">
        <v>69</v>
      </c>
      <c r="JT284" s="92" t="s">
        <v>1319</v>
      </c>
      <c r="JU284" s="92" t="s">
        <v>1335</v>
      </c>
      <c r="JV284" s="92" t="s">
        <v>1336</v>
      </c>
      <c r="JW284" s="92" t="s">
        <v>1296</v>
      </c>
      <c r="JX284" s="92" t="s">
        <v>71</v>
      </c>
      <c r="JY284" s="92" t="s">
        <v>5549</v>
      </c>
      <c r="JZ284" s="92" t="s">
        <v>1369</v>
      </c>
      <c r="KA284" s="92" t="s">
        <v>4845</v>
      </c>
      <c r="KB284" s="92" t="s">
        <v>1476</v>
      </c>
      <c r="KC284" s="92" t="s">
        <v>192</v>
      </c>
      <c r="KD284" s="92" t="s">
        <v>4847</v>
      </c>
      <c r="KE284" s="92" t="s">
        <v>1424</v>
      </c>
      <c r="KF284" s="92">
        <v>2850</v>
      </c>
      <c r="KG284" s="92" t="s">
        <v>4439</v>
      </c>
      <c r="KH284" s="92" t="s">
        <v>192</v>
      </c>
      <c r="KI284" s="92" t="s">
        <v>192</v>
      </c>
      <c r="KJ284" s="92" t="s">
        <v>192</v>
      </c>
      <c r="KK284" s="92" t="s">
        <v>192</v>
      </c>
      <c r="KL284" s="92" t="s">
        <v>1425</v>
      </c>
      <c r="KM284" s="92">
        <v>4150</v>
      </c>
      <c r="KN284" s="92" t="s">
        <v>1400</v>
      </c>
      <c r="KO284" s="92" t="s">
        <v>1341</v>
      </c>
      <c r="KP284" s="92" t="s">
        <v>1342</v>
      </c>
      <c r="KQ284" s="92" t="s">
        <v>192</v>
      </c>
      <c r="KR284" s="92">
        <v>18</v>
      </c>
      <c r="KS284" s="92" t="s">
        <v>1345</v>
      </c>
      <c r="KT284" s="92" t="s">
        <v>1344</v>
      </c>
      <c r="KU284" s="92">
        <v>19</v>
      </c>
      <c r="KV284" s="92" t="s">
        <v>1441</v>
      </c>
      <c r="KW284" s="92" t="s">
        <v>1344</v>
      </c>
      <c r="KX284" s="92" t="s">
        <v>1376</v>
      </c>
      <c r="KY284" s="92" t="s">
        <v>1347</v>
      </c>
      <c r="KZ284" s="92" t="s">
        <v>5795</v>
      </c>
      <c r="LA284" s="92" t="s">
        <v>109</v>
      </c>
      <c r="LB284" s="92" t="s">
        <v>109</v>
      </c>
      <c r="LC284" s="92" t="s">
        <v>4438</v>
      </c>
      <c r="LD284" s="92" t="s">
        <v>4439</v>
      </c>
      <c r="LE284" s="92" t="s">
        <v>192</v>
      </c>
      <c r="LF284" s="92" t="s">
        <v>192</v>
      </c>
    </row>
    <row r="285" spans="1:318" x14ac:dyDescent="0.25">
      <c r="A285" t="s">
        <v>2578</v>
      </c>
      <c r="B285" t="s">
        <v>2579</v>
      </c>
      <c r="C285" t="s">
        <v>1304</v>
      </c>
      <c r="D285" t="s">
        <v>1305</v>
      </c>
      <c r="E285" t="s">
        <v>1381</v>
      </c>
      <c r="G285" t="s">
        <v>1319</v>
      </c>
      <c r="H285">
        <v>2</v>
      </c>
      <c r="I285" t="s">
        <v>1358</v>
      </c>
      <c r="J285" t="s">
        <v>1891</v>
      </c>
      <c r="K285" t="s">
        <v>1309</v>
      </c>
      <c r="L285" t="s">
        <v>1309</v>
      </c>
      <c r="M285" t="s">
        <v>1310</v>
      </c>
      <c r="N285" t="s">
        <v>1309</v>
      </c>
      <c r="O285" t="s">
        <v>1310</v>
      </c>
      <c r="P285" t="s">
        <v>1309</v>
      </c>
      <c r="Q285" t="s">
        <v>1309</v>
      </c>
      <c r="R285" t="s">
        <v>1309</v>
      </c>
      <c r="T285">
        <v>1</v>
      </c>
      <c r="U285" t="s">
        <v>1311</v>
      </c>
      <c r="V285" t="s">
        <v>1311</v>
      </c>
      <c r="W285" t="s">
        <v>1311</v>
      </c>
      <c r="X285" t="s">
        <v>1312</v>
      </c>
      <c r="Y285" t="s">
        <v>1312</v>
      </c>
      <c r="Z285" t="s">
        <v>1312</v>
      </c>
      <c r="AC285">
        <v>2</v>
      </c>
      <c r="AD285">
        <v>6500</v>
      </c>
      <c r="AE285">
        <v>4000</v>
      </c>
      <c r="AF285" t="s">
        <v>2222</v>
      </c>
      <c r="AH285" t="s">
        <v>1383</v>
      </c>
      <c r="AJ285" t="s">
        <v>1315</v>
      </c>
      <c r="AL285" t="s">
        <v>1354</v>
      </c>
      <c r="BS285" t="s">
        <v>1307</v>
      </c>
      <c r="CE285" t="s">
        <v>1414</v>
      </c>
      <c r="CF285" t="s">
        <v>1309</v>
      </c>
      <c r="CG285" t="s">
        <v>1309</v>
      </c>
      <c r="CH285" t="s">
        <v>1309</v>
      </c>
      <c r="CI285" t="s">
        <v>1309</v>
      </c>
      <c r="CJ285" t="s">
        <v>1309</v>
      </c>
      <c r="CK285" t="s">
        <v>1309</v>
      </c>
      <c r="CL285" t="s">
        <v>1309</v>
      </c>
      <c r="CM285" t="s">
        <v>1309</v>
      </c>
      <c r="CN285" t="s">
        <v>1309</v>
      </c>
      <c r="CO285" t="s">
        <v>1309</v>
      </c>
      <c r="CP285" t="s">
        <v>1309</v>
      </c>
      <c r="CQ285" t="s">
        <v>1310</v>
      </c>
      <c r="CR285" t="s">
        <v>1309</v>
      </c>
      <c r="CT285" t="s">
        <v>4434</v>
      </c>
      <c r="CV285" t="s">
        <v>1308</v>
      </c>
      <c r="CW285" t="s">
        <v>1310</v>
      </c>
      <c r="CX285" t="s">
        <v>1309</v>
      </c>
      <c r="CY285" t="s">
        <v>1309</v>
      </c>
      <c r="CZ285" t="s">
        <v>1309</v>
      </c>
      <c r="DA285" t="s">
        <v>1309</v>
      </c>
      <c r="DB285" t="s">
        <v>1309</v>
      </c>
      <c r="DC285" t="s">
        <v>1309</v>
      </c>
      <c r="DE285" t="s">
        <v>1358</v>
      </c>
      <c r="DG285">
        <v>2000</v>
      </c>
      <c r="DI285">
        <v>250</v>
      </c>
      <c r="DJ285" t="s">
        <v>1358</v>
      </c>
      <c r="DK285">
        <v>2000</v>
      </c>
      <c r="DM285">
        <v>350</v>
      </c>
      <c r="DN285" t="s">
        <v>1584</v>
      </c>
      <c r="DO285" t="s">
        <v>1310</v>
      </c>
      <c r="DP285" t="s">
        <v>1309</v>
      </c>
      <c r="DQ285" t="s">
        <v>1309</v>
      </c>
      <c r="DR285" t="s">
        <v>1309</v>
      </c>
      <c r="DS285" t="s">
        <v>1310</v>
      </c>
      <c r="DT285" t="s">
        <v>1310</v>
      </c>
      <c r="DU285" t="s">
        <v>1309</v>
      </c>
      <c r="DV285" t="s">
        <v>1309</v>
      </c>
      <c r="DW285" t="s">
        <v>1309</v>
      </c>
      <c r="DY285" t="s">
        <v>1456</v>
      </c>
      <c r="DZ285">
        <v>400</v>
      </c>
      <c r="EA285" t="s">
        <v>1319</v>
      </c>
      <c r="EC285" t="s">
        <v>1624</v>
      </c>
      <c r="ED285">
        <v>800</v>
      </c>
      <c r="EE285" t="s">
        <v>1319</v>
      </c>
      <c r="EG285" t="s">
        <v>5356</v>
      </c>
      <c r="EI285" t="s">
        <v>1307</v>
      </c>
      <c r="ET285" t="s">
        <v>1307</v>
      </c>
      <c r="EV285" t="s">
        <v>1319</v>
      </c>
      <c r="EW285" t="s">
        <v>1421</v>
      </c>
      <c r="EX285" t="s">
        <v>1319</v>
      </c>
      <c r="EY285" t="s">
        <v>1319</v>
      </c>
      <c r="FA285" t="s">
        <v>2027</v>
      </c>
      <c r="FB285" t="s">
        <v>1309</v>
      </c>
      <c r="FC285" t="s">
        <v>1309</v>
      </c>
      <c r="FD285" t="s">
        <v>1310</v>
      </c>
      <c r="FE285" t="s">
        <v>1310</v>
      </c>
      <c r="FF285" t="s">
        <v>1309</v>
      </c>
      <c r="FG285" t="s">
        <v>1309</v>
      </c>
      <c r="FH285" t="s">
        <v>1309</v>
      </c>
      <c r="FI285" t="s">
        <v>1310</v>
      </c>
      <c r="FJ285" t="s">
        <v>1310</v>
      </c>
      <c r="FK285" t="s">
        <v>1309</v>
      </c>
      <c r="FL285" t="s">
        <v>1309</v>
      </c>
      <c r="FM285" t="s">
        <v>1309</v>
      </c>
      <c r="FN285" t="s">
        <v>1310</v>
      </c>
      <c r="FO285" t="s">
        <v>1309</v>
      </c>
      <c r="FP285" t="s">
        <v>1309</v>
      </c>
      <c r="FQ285" t="s">
        <v>1309</v>
      </c>
      <c r="FR285" t="s">
        <v>1309</v>
      </c>
      <c r="FT285" t="s">
        <v>1319</v>
      </c>
      <c r="FU285" t="s">
        <v>1435</v>
      </c>
      <c r="FV285" t="s">
        <v>1310</v>
      </c>
      <c r="FW285" t="s">
        <v>1309</v>
      </c>
      <c r="FX285" t="s">
        <v>1309</v>
      </c>
      <c r="FY285" t="s">
        <v>1309</v>
      </c>
      <c r="FZ285" t="s">
        <v>1309</v>
      </c>
      <c r="GA285" t="s">
        <v>1309</v>
      </c>
      <c r="GB285" t="s">
        <v>1309</v>
      </c>
      <c r="GC285" t="s">
        <v>1309</v>
      </c>
      <c r="GD285" t="s">
        <v>1309</v>
      </c>
      <c r="GE285" t="s">
        <v>1309</v>
      </c>
      <c r="GF285" t="s">
        <v>1309</v>
      </c>
      <c r="GG285" t="s">
        <v>1309</v>
      </c>
      <c r="GI285" t="s">
        <v>1436</v>
      </c>
      <c r="GJ285" t="s">
        <v>1436</v>
      </c>
      <c r="GK285" t="s">
        <v>1319</v>
      </c>
      <c r="GL285" t="s">
        <v>1619</v>
      </c>
      <c r="GM285" t="s">
        <v>1310</v>
      </c>
      <c r="GN285" t="s">
        <v>1309</v>
      </c>
      <c r="GO285" t="s">
        <v>1309</v>
      </c>
      <c r="GP285" t="s">
        <v>1309</v>
      </c>
      <c r="GQ285" t="s">
        <v>1309</v>
      </c>
      <c r="GR285" t="s">
        <v>1309</v>
      </c>
      <c r="GT285" t="s">
        <v>1325</v>
      </c>
      <c r="GU285" t="s">
        <v>1310</v>
      </c>
      <c r="GV285" t="s">
        <v>1309</v>
      </c>
      <c r="GW285" t="s">
        <v>1309</v>
      </c>
      <c r="GX285" t="s">
        <v>1309</v>
      </c>
      <c r="GY285" t="s">
        <v>1309</v>
      </c>
      <c r="GZ285" t="s">
        <v>1309</v>
      </c>
      <c r="HA285" t="s">
        <v>1309</v>
      </c>
      <c r="HB285" t="s">
        <v>1309</v>
      </c>
      <c r="HC285" t="s">
        <v>1309</v>
      </c>
      <c r="HD285" t="s">
        <v>1309</v>
      </c>
      <c r="HE285" t="s">
        <v>1309</v>
      </c>
      <c r="HF285" t="s">
        <v>1309</v>
      </c>
      <c r="HH285" t="s">
        <v>1390</v>
      </c>
      <c r="HI285" t="s">
        <v>1390</v>
      </c>
      <c r="HJ285" t="s">
        <v>1390</v>
      </c>
      <c r="HK285" t="s">
        <v>1327</v>
      </c>
      <c r="HL285" t="s">
        <v>1328</v>
      </c>
      <c r="HM285" t="s">
        <v>1363</v>
      </c>
      <c r="HN285" t="s">
        <v>1879</v>
      </c>
      <c r="HO285" t="s">
        <v>1310</v>
      </c>
      <c r="HP285" t="s">
        <v>1309</v>
      </c>
      <c r="HQ285" t="s">
        <v>1309</v>
      </c>
      <c r="HR285" t="s">
        <v>1309</v>
      </c>
      <c r="HS285" t="s">
        <v>1310</v>
      </c>
      <c r="HT285" t="s">
        <v>1309</v>
      </c>
      <c r="HU285" t="s">
        <v>1309</v>
      </c>
      <c r="HV285" t="s">
        <v>1309</v>
      </c>
      <c r="HW285" t="s">
        <v>1309</v>
      </c>
      <c r="HX285" t="s">
        <v>1309</v>
      </c>
      <c r="HY285" t="s">
        <v>1309</v>
      </c>
      <c r="IA285" t="s">
        <v>1319</v>
      </c>
      <c r="IB285" t="s">
        <v>1423</v>
      </c>
      <c r="IC285" t="s">
        <v>1309</v>
      </c>
      <c r="ID285" t="s">
        <v>1309</v>
      </c>
      <c r="IE285" t="s">
        <v>1309</v>
      </c>
      <c r="IF285" t="s">
        <v>1309</v>
      </c>
      <c r="IG285" t="s">
        <v>1310</v>
      </c>
      <c r="IH285" t="s">
        <v>1309</v>
      </c>
      <c r="II285" t="s">
        <v>1309</v>
      </c>
      <c r="IJ285" t="s">
        <v>1309</v>
      </c>
      <c r="IK285" t="s">
        <v>1309</v>
      </c>
      <c r="IL285" t="s">
        <v>1309</v>
      </c>
      <c r="IM285" t="s">
        <v>1309</v>
      </c>
      <c r="IN285" t="s">
        <v>1309</v>
      </c>
      <c r="IO285" t="s">
        <v>1309</v>
      </c>
      <c r="IQ285" t="s">
        <v>1308</v>
      </c>
      <c r="IS285" t="s">
        <v>1316</v>
      </c>
      <c r="JF285" t="s">
        <v>1316</v>
      </c>
      <c r="JG285" t="s">
        <v>1414</v>
      </c>
      <c r="JH285" t="s">
        <v>1309</v>
      </c>
      <c r="JI285" t="s">
        <v>1309</v>
      </c>
      <c r="JJ285" t="s">
        <v>1309</v>
      </c>
      <c r="JK285" t="s">
        <v>1309</v>
      </c>
      <c r="JL285" t="s">
        <v>1309</v>
      </c>
      <c r="JM285" t="s">
        <v>1309</v>
      </c>
      <c r="JN285" t="s">
        <v>1310</v>
      </c>
      <c r="JO285" t="s">
        <v>1309</v>
      </c>
      <c r="JQ285" s="92" t="s">
        <v>1333</v>
      </c>
      <c r="JR285" s="92" t="s">
        <v>1334</v>
      </c>
      <c r="JS285" s="92">
        <v>58</v>
      </c>
      <c r="JT285" s="92" t="s">
        <v>1319</v>
      </c>
      <c r="JU285" s="92" t="s">
        <v>1575</v>
      </c>
      <c r="JV285" s="92" t="s">
        <v>1336</v>
      </c>
      <c r="JW285" s="92" t="s">
        <v>1296</v>
      </c>
      <c r="JX285" s="92" t="s">
        <v>71</v>
      </c>
      <c r="JY285" s="92" t="s">
        <v>1397</v>
      </c>
      <c r="JZ285" s="92" t="s">
        <v>1337</v>
      </c>
      <c r="KA285" s="92" t="s">
        <v>4845</v>
      </c>
      <c r="KB285" s="92" t="s">
        <v>1439</v>
      </c>
      <c r="KC285" s="92" t="s">
        <v>109</v>
      </c>
      <c r="KD285" s="92" t="s">
        <v>4847</v>
      </c>
      <c r="KE285" s="92" t="s">
        <v>1424</v>
      </c>
      <c r="KF285" s="92">
        <v>2250</v>
      </c>
      <c r="KG285" s="92" t="s">
        <v>4439</v>
      </c>
      <c r="KH285" s="92" t="s">
        <v>192</v>
      </c>
      <c r="KI285" s="92" t="s">
        <v>109</v>
      </c>
      <c r="KJ285" s="92" t="s">
        <v>192</v>
      </c>
      <c r="KK285" s="92" t="s">
        <v>109</v>
      </c>
      <c r="KL285" s="92" t="s">
        <v>1425</v>
      </c>
      <c r="KM285" s="92">
        <v>2350</v>
      </c>
      <c r="KN285" s="92" t="s">
        <v>4439</v>
      </c>
      <c r="KO285" s="92" t="s">
        <v>1425</v>
      </c>
      <c r="KP285" s="92" t="s">
        <v>1460</v>
      </c>
      <c r="KQ285" s="92" t="s">
        <v>192</v>
      </c>
      <c r="KR285" s="92">
        <v>18</v>
      </c>
      <c r="KS285" s="92" t="s">
        <v>1343</v>
      </c>
      <c r="KT285" s="92" t="s">
        <v>1344</v>
      </c>
      <c r="KU285" s="92">
        <v>34</v>
      </c>
      <c r="KV285" s="92" t="s">
        <v>1441</v>
      </c>
      <c r="KW285" s="92" t="s">
        <v>1344</v>
      </c>
      <c r="KX285" s="92" t="s">
        <v>1376</v>
      </c>
      <c r="KY285" s="92" t="s">
        <v>1377</v>
      </c>
      <c r="KZ285" s="92" t="s">
        <v>1403</v>
      </c>
      <c r="LA285" s="92" t="s">
        <v>109</v>
      </c>
      <c r="LB285" s="92" t="s">
        <v>109</v>
      </c>
      <c r="LC285" s="92" t="s">
        <v>4439</v>
      </c>
      <c r="LD285" s="92" t="s">
        <v>4439</v>
      </c>
      <c r="LE285" s="92" t="s">
        <v>109</v>
      </c>
      <c r="LF285" s="92" t="s">
        <v>109</v>
      </c>
    </row>
    <row r="286" spans="1:318" x14ac:dyDescent="0.25">
      <c r="A286" t="s">
        <v>2580</v>
      </c>
      <c r="B286" t="s">
        <v>2581</v>
      </c>
      <c r="C286" t="s">
        <v>1304</v>
      </c>
      <c r="D286" t="s">
        <v>1305</v>
      </c>
      <c r="E286" t="s">
        <v>1306</v>
      </c>
      <c r="G286" t="s">
        <v>1307</v>
      </c>
      <c r="H286">
        <v>2</v>
      </c>
      <c r="I286" t="s">
        <v>1307</v>
      </c>
      <c r="J286" t="s">
        <v>1308</v>
      </c>
      <c r="K286" t="s">
        <v>1309</v>
      </c>
      <c r="L286" t="s">
        <v>1309</v>
      </c>
      <c r="M286" t="s">
        <v>1309</v>
      </c>
      <c r="N286" t="s">
        <v>1309</v>
      </c>
      <c r="O286" t="s">
        <v>1309</v>
      </c>
      <c r="P286" t="s">
        <v>1309</v>
      </c>
      <c r="Q286" t="s">
        <v>1310</v>
      </c>
      <c r="R286" t="s">
        <v>1309</v>
      </c>
      <c r="U286" t="s">
        <v>1312</v>
      </c>
      <c r="V286" t="s">
        <v>1312</v>
      </c>
      <c r="W286" t="s">
        <v>1312</v>
      </c>
      <c r="X286" t="s">
        <v>1312</v>
      </c>
      <c r="Y286" t="s">
        <v>1312</v>
      </c>
      <c r="Z286" t="s">
        <v>1312</v>
      </c>
      <c r="AC286">
        <v>2</v>
      </c>
      <c r="AE286">
        <v>15000</v>
      </c>
      <c r="AF286" t="s">
        <v>1313</v>
      </c>
      <c r="AH286" t="s">
        <v>1383</v>
      </c>
      <c r="AJ286" t="s">
        <v>1315</v>
      </c>
      <c r="AL286" t="s">
        <v>1316</v>
      </c>
      <c r="BS286" t="s">
        <v>1307</v>
      </c>
      <c r="CE286" t="s">
        <v>2376</v>
      </c>
      <c r="CF286" t="s">
        <v>1309</v>
      </c>
      <c r="CG286" t="s">
        <v>1309</v>
      </c>
      <c r="CH286" t="s">
        <v>1309</v>
      </c>
      <c r="CI286" t="s">
        <v>1309</v>
      </c>
      <c r="CJ286" t="s">
        <v>1309</v>
      </c>
      <c r="CK286" t="s">
        <v>1309</v>
      </c>
      <c r="CL286" t="s">
        <v>1309</v>
      </c>
      <c r="CM286" t="s">
        <v>1309</v>
      </c>
      <c r="CN286" t="s">
        <v>1309</v>
      </c>
      <c r="CO286" t="s">
        <v>1310</v>
      </c>
      <c r="CP286" t="s">
        <v>1309</v>
      </c>
      <c r="CQ286" t="s">
        <v>1309</v>
      </c>
      <c r="CR286" t="s">
        <v>1309</v>
      </c>
      <c r="CT286" t="s">
        <v>4434</v>
      </c>
      <c r="CV286" t="s">
        <v>1357</v>
      </c>
      <c r="CW286" t="s">
        <v>1309</v>
      </c>
      <c r="CX286" t="s">
        <v>1309</v>
      </c>
      <c r="CY286" t="s">
        <v>1309</v>
      </c>
      <c r="CZ286" t="s">
        <v>1309</v>
      </c>
      <c r="DA286" t="s">
        <v>1310</v>
      </c>
      <c r="DB286" t="s">
        <v>1309</v>
      </c>
      <c r="DC286" t="s">
        <v>1309</v>
      </c>
      <c r="DE286" t="s">
        <v>1318</v>
      </c>
      <c r="DG286">
        <v>3500</v>
      </c>
      <c r="DI286">
        <v>700</v>
      </c>
      <c r="DJ286" t="s">
        <v>1318</v>
      </c>
      <c r="DK286">
        <v>4000</v>
      </c>
      <c r="DM286">
        <v>950</v>
      </c>
      <c r="DN286" t="s">
        <v>1647</v>
      </c>
      <c r="DO286" t="s">
        <v>1310</v>
      </c>
      <c r="DP286" t="s">
        <v>1309</v>
      </c>
      <c r="DQ286" t="s">
        <v>1309</v>
      </c>
      <c r="DR286" t="s">
        <v>1310</v>
      </c>
      <c r="DS286" t="s">
        <v>1309</v>
      </c>
      <c r="DT286" t="s">
        <v>1310</v>
      </c>
      <c r="DU286" t="s">
        <v>1309</v>
      </c>
      <c r="DV286" t="s">
        <v>1309</v>
      </c>
      <c r="DW286" t="s">
        <v>1309</v>
      </c>
      <c r="DY286" t="s">
        <v>1696</v>
      </c>
      <c r="DZ286">
        <v>500</v>
      </c>
      <c r="EA286" t="s">
        <v>1319</v>
      </c>
      <c r="EC286" t="s">
        <v>1991</v>
      </c>
      <c r="ED286">
        <v>550</v>
      </c>
      <c r="EE286" t="s">
        <v>1319</v>
      </c>
      <c r="EG286" t="s">
        <v>5357</v>
      </c>
      <c r="ET286" t="s">
        <v>1307</v>
      </c>
      <c r="EV286" t="s">
        <v>1307</v>
      </c>
      <c r="EX286" t="s">
        <v>1307</v>
      </c>
      <c r="EY286" t="s">
        <v>1307</v>
      </c>
      <c r="FT286" t="s">
        <v>1307</v>
      </c>
      <c r="GI286" t="s">
        <v>1324</v>
      </c>
      <c r="GJ286" t="s">
        <v>1324</v>
      </c>
      <c r="GT286" t="s">
        <v>1325</v>
      </c>
      <c r="GU286" t="s">
        <v>1310</v>
      </c>
      <c r="GV286" t="s">
        <v>1309</v>
      </c>
      <c r="GW286" t="s">
        <v>1309</v>
      </c>
      <c r="GX286" t="s">
        <v>1309</v>
      </c>
      <c r="GY286" t="s">
        <v>1309</v>
      </c>
      <c r="GZ286" t="s">
        <v>1309</v>
      </c>
      <c r="HA286" t="s">
        <v>1309</v>
      </c>
      <c r="HB286" t="s">
        <v>1309</v>
      </c>
      <c r="HC286" t="s">
        <v>1309</v>
      </c>
      <c r="HD286" t="s">
        <v>1309</v>
      </c>
      <c r="HE286" t="s">
        <v>1309</v>
      </c>
      <c r="HF286" t="s">
        <v>1309</v>
      </c>
      <c r="HH286" t="s">
        <v>1326</v>
      </c>
      <c r="HI286" t="s">
        <v>1326</v>
      </c>
      <c r="HJ286" t="s">
        <v>1326</v>
      </c>
      <c r="HK286" t="s">
        <v>1327</v>
      </c>
      <c r="HL286" t="s">
        <v>1328</v>
      </c>
      <c r="HM286" t="s">
        <v>1326</v>
      </c>
      <c r="HN286" t="s">
        <v>2482</v>
      </c>
      <c r="HO286" t="s">
        <v>1309</v>
      </c>
      <c r="HP286" t="s">
        <v>1310</v>
      </c>
      <c r="HQ286" t="s">
        <v>1310</v>
      </c>
      <c r="HR286" t="s">
        <v>1309</v>
      </c>
      <c r="HS286" t="s">
        <v>1309</v>
      </c>
      <c r="HT286" t="s">
        <v>1309</v>
      </c>
      <c r="HU286" t="s">
        <v>1309</v>
      </c>
      <c r="HV286" t="s">
        <v>1309</v>
      </c>
      <c r="HW286" t="s">
        <v>1309</v>
      </c>
      <c r="HX286" t="s">
        <v>1309</v>
      </c>
      <c r="HY286" t="s">
        <v>1309</v>
      </c>
      <c r="IA286" t="s">
        <v>1319</v>
      </c>
      <c r="IB286" t="s">
        <v>2162</v>
      </c>
      <c r="IC286" t="s">
        <v>1309</v>
      </c>
      <c r="ID286" t="s">
        <v>1309</v>
      </c>
      <c r="IE286" t="s">
        <v>1309</v>
      </c>
      <c r="IF286" t="s">
        <v>1310</v>
      </c>
      <c r="IG286" t="s">
        <v>1309</v>
      </c>
      <c r="IH286" t="s">
        <v>1309</v>
      </c>
      <c r="II286" t="s">
        <v>1309</v>
      </c>
      <c r="IJ286" t="s">
        <v>1309</v>
      </c>
      <c r="IK286" t="s">
        <v>1309</v>
      </c>
      <c r="IL286" t="s">
        <v>1309</v>
      </c>
      <c r="IM286" t="s">
        <v>1309</v>
      </c>
      <c r="IN286" t="s">
        <v>1309</v>
      </c>
      <c r="IO286" t="s">
        <v>1309</v>
      </c>
      <c r="IQ286" t="s">
        <v>1330</v>
      </c>
      <c r="IS286" t="s">
        <v>1316</v>
      </c>
      <c r="JF286" t="s">
        <v>1331</v>
      </c>
      <c r="JG286" t="s">
        <v>1414</v>
      </c>
      <c r="JH286" t="s">
        <v>1309</v>
      </c>
      <c r="JI286" t="s">
        <v>1309</v>
      </c>
      <c r="JJ286" t="s">
        <v>1309</v>
      </c>
      <c r="JK286" t="s">
        <v>1309</v>
      </c>
      <c r="JL286" t="s">
        <v>1309</v>
      </c>
      <c r="JM286" t="s">
        <v>1309</v>
      </c>
      <c r="JN286" t="s">
        <v>1310</v>
      </c>
      <c r="JO286" t="s">
        <v>1309</v>
      </c>
      <c r="JQ286" s="92" t="s">
        <v>1333</v>
      </c>
      <c r="JR286" s="92" t="s">
        <v>1334</v>
      </c>
      <c r="JS286" s="92">
        <v>39</v>
      </c>
      <c r="JT286" s="92" t="s">
        <v>1319</v>
      </c>
      <c r="JU286" s="92" t="s">
        <v>1396</v>
      </c>
      <c r="JV286" s="92" t="s">
        <v>1336</v>
      </c>
      <c r="JW286" s="92" t="s">
        <v>1296</v>
      </c>
      <c r="JX286" s="92" t="s">
        <v>71</v>
      </c>
      <c r="JY286" s="92" t="s">
        <v>5549</v>
      </c>
      <c r="JZ286" s="92" t="s">
        <v>1337</v>
      </c>
      <c r="KA286" s="92" t="s">
        <v>4845</v>
      </c>
      <c r="KB286" s="92" t="s">
        <v>1338</v>
      </c>
      <c r="KC286" s="92" t="s">
        <v>109</v>
      </c>
      <c r="KD286" s="92" t="s">
        <v>4847</v>
      </c>
      <c r="KE286" s="92" t="s">
        <v>1340</v>
      </c>
      <c r="KF286" s="92">
        <v>4200</v>
      </c>
      <c r="KG286" s="92" t="s">
        <v>1340</v>
      </c>
      <c r="KH286" s="92" t="s">
        <v>192</v>
      </c>
      <c r="KI286" s="92" t="s">
        <v>109</v>
      </c>
      <c r="KJ286" s="92" t="s">
        <v>192</v>
      </c>
      <c r="KK286" s="92" t="s">
        <v>109</v>
      </c>
      <c r="KL286" s="92" t="s">
        <v>1341</v>
      </c>
      <c r="KM286" s="92">
        <v>4950</v>
      </c>
      <c r="KN286" s="92" t="s">
        <v>1340</v>
      </c>
      <c r="KO286" s="92" t="s">
        <v>1341</v>
      </c>
      <c r="KP286" s="92" t="s">
        <v>1375</v>
      </c>
      <c r="KQ286" s="92" t="s">
        <v>192</v>
      </c>
      <c r="KR286" s="92">
        <v>12</v>
      </c>
      <c r="KS286" s="92" t="s">
        <v>1345</v>
      </c>
      <c r="KT286" s="92" t="s">
        <v>1344</v>
      </c>
      <c r="KU286" s="92">
        <v>11</v>
      </c>
      <c r="KV286" s="92" t="s">
        <v>1345</v>
      </c>
      <c r="KW286" s="92" t="s">
        <v>1344</v>
      </c>
      <c r="KX286" s="92" t="s">
        <v>1346</v>
      </c>
      <c r="KY286" s="92" t="s">
        <v>1347</v>
      </c>
      <c r="KZ286" s="92" t="s">
        <v>5795</v>
      </c>
      <c r="LA286" s="92" t="s">
        <v>109</v>
      </c>
      <c r="LB286" s="92" t="s">
        <v>109</v>
      </c>
      <c r="LC286" s="92" t="s">
        <v>5566</v>
      </c>
      <c r="LD286" s="92" t="s">
        <v>5566</v>
      </c>
      <c r="LE286" s="92"/>
      <c r="LF286" s="92"/>
    </row>
    <row r="287" spans="1:318" x14ac:dyDescent="0.25">
      <c r="A287" t="s">
        <v>2582</v>
      </c>
      <c r="B287" t="s">
        <v>2583</v>
      </c>
      <c r="C287" t="s">
        <v>1304</v>
      </c>
      <c r="D287" t="s">
        <v>1429</v>
      </c>
      <c r="E287" t="s">
        <v>1306</v>
      </c>
      <c r="G287" t="s">
        <v>1307</v>
      </c>
      <c r="H287">
        <v>1</v>
      </c>
      <c r="J287" t="s">
        <v>1430</v>
      </c>
      <c r="K287" t="s">
        <v>1309</v>
      </c>
      <c r="L287" t="s">
        <v>1309</v>
      </c>
      <c r="M287" t="s">
        <v>1310</v>
      </c>
      <c r="N287" t="s">
        <v>1309</v>
      </c>
      <c r="O287" t="s">
        <v>1309</v>
      </c>
      <c r="P287" t="s">
        <v>1309</v>
      </c>
      <c r="Q287" t="s">
        <v>1309</v>
      </c>
      <c r="R287" t="s">
        <v>1309</v>
      </c>
      <c r="T287">
        <v>1</v>
      </c>
      <c r="U287" t="s">
        <v>1311</v>
      </c>
      <c r="V287" t="s">
        <v>1311</v>
      </c>
      <c r="W287" t="s">
        <v>1311</v>
      </c>
      <c r="X287" t="s">
        <v>1311</v>
      </c>
      <c r="Y287" t="s">
        <v>1311</v>
      </c>
      <c r="Z287" t="s">
        <v>1312</v>
      </c>
      <c r="AC287">
        <v>1</v>
      </c>
      <c r="AD287">
        <v>3500</v>
      </c>
      <c r="AE287">
        <v>5000</v>
      </c>
      <c r="AF287" t="s">
        <v>1313</v>
      </c>
      <c r="AH287" t="s">
        <v>1352</v>
      </c>
      <c r="AJ287" t="s">
        <v>1353</v>
      </c>
      <c r="AL287" t="s">
        <v>1316</v>
      </c>
      <c r="BA287" t="s">
        <v>1316</v>
      </c>
      <c r="BS287" t="s">
        <v>1307</v>
      </c>
      <c r="CE287" t="s">
        <v>1355</v>
      </c>
      <c r="CF287" t="s">
        <v>1309</v>
      </c>
      <c r="CG287" t="s">
        <v>1309</v>
      </c>
      <c r="CH287" t="s">
        <v>1309</v>
      </c>
      <c r="CI287" t="s">
        <v>1309</v>
      </c>
      <c r="CJ287" t="s">
        <v>1309</v>
      </c>
      <c r="CK287" t="s">
        <v>1309</v>
      </c>
      <c r="CL287" t="s">
        <v>1309</v>
      </c>
      <c r="CM287" t="s">
        <v>1309</v>
      </c>
      <c r="CN287" t="s">
        <v>1310</v>
      </c>
      <c r="CO287" t="s">
        <v>1309</v>
      </c>
      <c r="CP287" t="s">
        <v>1309</v>
      </c>
      <c r="CQ287" t="s">
        <v>1309</v>
      </c>
      <c r="CR287" t="s">
        <v>1309</v>
      </c>
      <c r="CT287" t="s">
        <v>4435</v>
      </c>
      <c r="CV287" t="s">
        <v>1308</v>
      </c>
      <c r="CW287" t="s">
        <v>1310</v>
      </c>
      <c r="CX287" t="s">
        <v>1309</v>
      </c>
      <c r="CY287" t="s">
        <v>1309</v>
      </c>
      <c r="CZ287" t="s">
        <v>1309</v>
      </c>
      <c r="DA287" t="s">
        <v>1309</v>
      </c>
      <c r="DB287" t="s">
        <v>1309</v>
      </c>
      <c r="DC287" t="s">
        <v>1309</v>
      </c>
      <c r="DE287" t="s">
        <v>1318</v>
      </c>
      <c r="DF287" t="s">
        <v>1307</v>
      </c>
      <c r="DH287">
        <v>1200</v>
      </c>
      <c r="DI287">
        <v>350</v>
      </c>
      <c r="DJ287" t="s">
        <v>1318</v>
      </c>
      <c r="DL287">
        <v>1900</v>
      </c>
      <c r="DM287">
        <v>500</v>
      </c>
      <c r="DN287" t="s">
        <v>1320</v>
      </c>
      <c r="DO287" t="s">
        <v>1310</v>
      </c>
      <c r="DP287" t="s">
        <v>1309</v>
      </c>
      <c r="DQ287" t="s">
        <v>1309</v>
      </c>
      <c r="DR287" t="s">
        <v>1309</v>
      </c>
      <c r="DS287" t="s">
        <v>1309</v>
      </c>
      <c r="DT287" t="s">
        <v>1310</v>
      </c>
      <c r="DU287" t="s">
        <v>1309</v>
      </c>
      <c r="DV287" t="s">
        <v>1309</v>
      </c>
      <c r="DW287" t="s">
        <v>1309</v>
      </c>
      <c r="DY287" t="s">
        <v>1359</v>
      </c>
      <c r="DZ287">
        <v>550</v>
      </c>
      <c r="EA287" t="s">
        <v>1386</v>
      </c>
      <c r="EC287" t="s">
        <v>1387</v>
      </c>
      <c r="ED287">
        <v>800</v>
      </c>
      <c r="EE287" t="s">
        <v>1319</v>
      </c>
      <c r="EG287" t="s">
        <v>5356</v>
      </c>
      <c r="EI287" t="s">
        <v>1307</v>
      </c>
      <c r="ET287" t="s">
        <v>1544</v>
      </c>
      <c r="EV287" t="s">
        <v>1319</v>
      </c>
      <c r="EW287" t="s">
        <v>1409</v>
      </c>
      <c r="EX287" t="s">
        <v>1319</v>
      </c>
      <c r="FA287" t="s">
        <v>1792</v>
      </c>
      <c r="FB287" t="s">
        <v>1309</v>
      </c>
      <c r="FC287" t="s">
        <v>1309</v>
      </c>
      <c r="FD287" t="s">
        <v>1309</v>
      </c>
      <c r="FE287" t="s">
        <v>1309</v>
      </c>
      <c r="FF287" t="s">
        <v>1309</v>
      </c>
      <c r="FG287" t="s">
        <v>1309</v>
      </c>
      <c r="FH287" t="s">
        <v>1309</v>
      </c>
      <c r="FI287" t="s">
        <v>1310</v>
      </c>
      <c r="FJ287" t="s">
        <v>1309</v>
      </c>
      <c r="FK287" t="s">
        <v>1309</v>
      </c>
      <c r="FL287" t="s">
        <v>1310</v>
      </c>
      <c r="FM287" t="s">
        <v>1309</v>
      </c>
      <c r="FN287" t="s">
        <v>1309</v>
      </c>
      <c r="FO287" t="s">
        <v>1309</v>
      </c>
      <c r="FP287" t="s">
        <v>1309</v>
      </c>
      <c r="FQ287" t="s">
        <v>1309</v>
      </c>
      <c r="FR287" t="s">
        <v>1309</v>
      </c>
      <c r="FT287" t="s">
        <v>1319</v>
      </c>
      <c r="FU287" t="s">
        <v>1549</v>
      </c>
      <c r="FV287" t="s">
        <v>1310</v>
      </c>
      <c r="FW287" t="s">
        <v>1310</v>
      </c>
      <c r="FX287" t="s">
        <v>1309</v>
      </c>
      <c r="FY287" t="s">
        <v>1309</v>
      </c>
      <c r="FZ287" t="s">
        <v>1309</v>
      </c>
      <c r="GA287" t="s">
        <v>1309</v>
      </c>
      <c r="GB287" t="s">
        <v>1309</v>
      </c>
      <c r="GC287" t="s">
        <v>1309</v>
      </c>
      <c r="GD287" t="s">
        <v>1309</v>
      </c>
      <c r="GE287" t="s">
        <v>1309</v>
      </c>
      <c r="GF287" t="s">
        <v>1309</v>
      </c>
      <c r="GG287" t="s">
        <v>1309</v>
      </c>
      <c r="GI287" t="s">
        <v>1324</v>
      </c>
      <c r="GJ287" t="s">
        <v>1324</v>
      </c>
      <c r="GT287" t="s">
        <v>1325</v>
      </c>
      <c r="GU287" t="s">
        <v>1310</v>
      </c>
      <c r="GV287" t="s">
        <v>1309</v>
      </c>
      <c r="GW287" t="s">
        <v>1309</v>
      </c>
      <c r="GX287" t="s">
        <v>1309</v>
      </c>
      <c r="GY287" t="s">
        <v>1309</v>
      </c>
      <c r="GZ287" t="s">
        <v>1309</v>
      </c>
      <c r="HA287" t="s">
        <v>1309</v>
      </c>
      <c r="HB287" t="s">
        <v>1309</v>
      </c>
      <c r="HC287" t="s">
        <v>1309</v>
      </c>
      <c r="HD287" t="s">
        <v>1309</v>
      </c>
      <c r="HE287" t="s">
        <v>1309</v>
      </c>
      <c r="HF287" t="s">
        <v>1309</v>
      </c>
      <c r="HH287" t="s">
        <v>1390</v>
      </c>
      <c r="HI287" t="s">
        <v>1390</v>
      </c>
      <c r="HJ287" t="s">
        <v>1390</v>
      </c>
      <c r="HK287" t="s">
        <v>1327</v>
      </c>
      <c r="HL287" t="s">
        <v>1437</v>
      </c>
      <c r="HM287" t="s">
        <v>1390</v>
      </c>
      <c r="HN287" t="s">
        <v>1550</v>
      </c>
      <c r="HO287" t="s">
        <v>1310</v>
      </c>
      <c r="HP287" t="s">
        <v>1309</v>
      </c>
      <c r="HQ287" t="s">
        <v>1309</v>
      </c>
      <c r="HR287" t="s">
        <v>1310</v>
      </c>
      <c r="HS287" t="s">
        <v>1309</v>
      </c>
      <c r="HT287" t="s">
        <v>1309</v>
      </c>
      <c r="HU287" t="s">
        <v>1309</v>
      </c>
      <c r="HV287" t="s">
        <v>1309</v>
      </c>
      <c r="HW287" t="s">
        <v>1309</v>
      </c>
      <c r="HX287" t="s">
        <v>1309</v>
      </c>
      <c r="HY287" t="s">
        <v>1309</v>
      </c>
      <c r="IA287" t="s">
        <v>1319</v>
      </c>
      <c r="IB287" t="s">
        <v>1423</v>
      </c>
      <c r="IC287" t="s">
        <v>1309</v>
      </c>
      <c r="ID287" t="s">
        <v>1309</v>
      </c>
      <c r="IE287" t="s">
        <v>1309</v>
      </c>
      <c r="IF287" t="s">
        <v>1309</v>
      </c>
      <c r="IG287" t="s">
        <v>1310</v>
      </c>
      <c r="IH287" t="s">
        <v>1309</v>
      </c>
      <c r="II287" t="s">
        <v>1309</v>
      </c>
      <c r="IJ287" t="s">
        <v>1309</v>
      </c>
      <c r="IK287" t="s">
        <v>1309</v>
      </c>
      <c r="IL287" t="s">
        <v>1309</v>
      </c>
      <c r="IM287" t="s">
        <v>1309</v>
      </c>
      <c r="IN287" t="s">
        <v>1309</v>
      </c>
      <c r="IO287" t="s">
        <v>1309</v>
      </c>
      <c r="IQ287" t="s">
        <v>1365</v>
      </c>
      <c r="IS287" t="s">
        <v>1316</v>
      </c>
      <c r="JF287" t="s">
        <v>1316</v>
      </c>
      <c r="JG287" t="s">
        <v>1698</v>
      </c>
      <c r="JH287" t="s">
        <v>1309</v>
      </c>
      <c r="JI287" t="s">
        <v>1309</v>
      </c>
      <c r="JJ287" t="s">
        <v>1309</v>
      </c>
      <c r="JK287" t="s">
        <v>1309</v>
      </c>
      <c r="JL287" t="s">
        <v>1309</v>
      </c>
      <c r="JM287" t="s">
        <v>1310</v>
      </c>
      <c r="JN287" t="s">
        <v>1309</v>
      </c>
      <c r="JO287" t="s">
        <v>1309</v>
      </c>
      <c r="JP287" t="s">
        <v>2285</v>
      </c>
      <c r="JQ287" s="92" t="s">
        <v>1333</v>
      </c>
      <c r="JR287" s="92" t="s">
        <v>1334</v>
      </c>
      <c r="JS287" s="92">
        <v>76</v>
      </c>
      <c r="JT287" s="92" t="s">
        <v>1319</v>
      </c>
      <c r="JU287" s="92" t="s">
        <v>1335</v>
      </c>
      <c r="JV287" s="92" t="s">
        <v>1336</v>
      </c>
      <c r="JW287" s="92" t="s">
        <v>1296</v>
      </c>
      <c r="JX287" s="92" t="s">
        <v>71</v>
      </c>
      <c r="JY287" s="92" t="s">
        <v>5549</v>
      </c>
      <c r="JZ287" s="92" t="s">
        <v>1369</v>
      </c>
      <c r="KA287" s="92" t="s">
        <v>4844</v>
      </c>
      <c r="KB287" s="92" t="s">
        <v>1476</v>
      </c>
      <c r="KC287" s="92" t="s">
        <v>109</v>
      </c>
      <c r="KD287" s="92" t="s">
        <v>4844</v>
      </c>
      <c r="KE287" s="92" t="s">
        <v>5560</v>
      </c>
      <c r="KF287" s="92">
        <v>1550</v>
      </c>
      <c r="KG287" s="92" t="s">
        <v>4439</v>
      </c>
      <c r="KH287" s="92" t="s">
        <v>109</v>
      </c>
      <c r="KI287" s="92" t="s">
        <v>192</v>
      </c>
      <c r="KJ287" s="92" t="s">
        <v>109</v>
      </c>
      <c r="KK287" s="92" t="s">
        <v>192</v>
      </c>
      <c r="KL287" s="92" t="s">
        <v>1440</v>
      </c>
      <c r="KM287" s="92">
        <v>2400</v>
      </c>
      <c r="KN287" s="92" t="s">
        <v>1400</v>
      </c>
      <c r="KO287" s="92" t="s">
        <v>1425</v>
      </c>
      <c r="KP287" s="92" t="s">
        <v>1342</v>
      </c>
      <c r="KQ287" s="92" t="s">
        <v>109</v>
      </c>
      <c r="KR287" s="92">
        <v>35</v>
      </c>
      <c r="KS287" s="92" t="s">
        <v>1345</v>
      </c>
      <c r="KT287" s="92" t="s">
        <v>1402</v>
      </c>
      <c r="KU287" s="92">
        <v>33</v>
      </c>
      <c r="KV287" s="92" t="s">
        <v>1441</v>
      </c>
      <c r="KW287" s="92" t="s">
        <v>1344</v>
      </c>
      <c r="KX287" s="92" t="s">
        <v>1376</v>
      </c>
      <c r="KY287" s="92" t="s">
        <v>1347</v>
      </c>
      <c r="KZ287" s="92" t="s">
        <v>5795</v>
      </c>
      <c r="LA287" s="92" t="s">
        <v>109</v>
      </c>
      <c r="LB287" s="92" t="s">
        <v>109</v>
      </c>
      <c r="LC287" s="92" t="s">
        <v>4438</v>
      </c>
      <c r="LD287" s="92" t="s">
        <v>4439</v>
      </c>
      <c r="LE287" s="92" t="s">
        <v>192</v>
      </c>
      <c r="LF287" s="92" t="s">
        <v>192</v>
      </c>
    </row>
    <row r="288" spans="1:318" x14ac:dyDescent="0.25">
      <c r="A288" t="s">
        <v>2584</v>
      </c>
      <c r="B288" t="s">
        <v>2585</v>
      </c>
      <c r="C288" t="s">
        <v>1304</v>
      </c>
      <c r="D288" t="s">
        <v>1305</v>
      </c>
      <c r="E288" t="s">
        <v>1306</v>
      </c>
      <c r="G288" t="s">
        <v>1307</v>
      </c>
      <c r="H288">
        <v>2</v>
      </c>
      <c r="I288" t="s">
        <v>1307</v>
      </c>
      <c r="J288" t="s">
        <v>1430</v>
      </c>
      <c r="K288" t="s">
        <v>1309</v>
      </c>
      <c r="L288" t="s">
        <v>1309</v>
      </c>
      <c r="M288" t="s">
        <v>1310</v>
      </c>
      <c r="N288" t="s">
        <v>1309</v>
      </c>
      <c r="O288" t="s">
        <v>1309</v>
      </c>
      <c r="P288" t="s">
        <v>1309</v>
      </c>
      <c r="Q288" t="s">
        <v>1309</v>
      </c>
      <c r="R288" t="s">
        <v>1309</v>
      </c>
      <c r="T288">
        <v>2</v>
      </c>
      <c r="U288" t="s">
        <v>1311</v>
      </c>
      <c r="V288" t="s">
        <v>1311</v>
      </c>
      <c r="W288" t="s">
        <v>1311</v>
      </c>
      <c r="X288" t="s">
        <v>1312</v>
      </c>
      <c r="Y288" t="s">
        <v>1312</v>
      </c>
      <c r="Z288" t="s">
        <v>1312</v>
      </c>
      <c r="AC288">
        <v>2</v>
      </c>
      <c r="AD288">
        <v>6500</v>
      </c>
      <c r="AE288">
        <v>5000</v>
      </c>
      <c r="AF288" t="s">
        <v>1313</v>
      </c>
      <c r="AH288" t="s">
        <v>1383</v>
      </c>
      <c r="AJ288" t="s">
        <v>1353</v>
      </c>
      <c r="AL288" t="s">
        <v>1316</v>
      </c>
      <c r="BA288" t="s">
        <v>1354</v>
      </c>
      <c r="BS288" t="s">
        <v>1307</v>
      </c>
      <c r="CE288" t="s">
        <v>1355</v>
      </c>
      <c r="CF288" t="s">
        <v>1309</v>
      </c>
      <c r="CG288" t="s">
        <v>1309</v>
      </c>
      <c r="CH288" t="s">
        <v>1309</v>
      </c>
      <c r="CI288" t="s">
        <v>1309</v>
      </c>
      <c r="CJ288" t="s">
        <v>1309</v>
      </c>
      <c r="CK288" t="s">
        <v>1309</v>
      </c>
      <c r="CL288" t="s">
        <v>1309</v>
      </c>
      <c r="CM288" t="s">
        <v>1309</v>
      </c>
      <c r="CN288" t="s">
        <v>1310</v>
      </c>
      <c r="CO288" t="s">
        <v>1309</v>
      </c>
      <c r="CP288" t="s">
        <v>1309</v>
      </c>
      <c r="CQ288" t="s">
        <v>1309</v>
      </c>
      <c r="CR288" t="s">
        <v>1309</v>
      </c>
      <c r="CT288" t="s">
        <v>4435</v>
      </c>
      <c r="CV288" t="s">
        <v>1308</v>
      </c>
      <c r="CW288" t="s">
        <v>1310</v>
      </c>
      <c r="CX288" t="s">
        <v>1309</v>
      </c>
      <c r="CY288" t="s">
        <v>1309</v>
      </c>
      <c r="CZ288" t="s">
        <v>1309</v>
      </c>
      <c r="DA288" t="s">
        <v>1309</v>
      </c>
      <c r="DB288" t="s">
        <v>1309</v>
      </c>
      <c r="DC288" t="s">
        <v>1309</v>
      </c>
      <c r="DE288" t="s">
        <v>1358</v>
      </c>
      <c r="DF288" t="s">
        <v>1307</v>
      </c>
      <c r="DH288">
        <v>1500</v>
      </c>
      <c r="DI288">
        <v>500</v>
      </c>
      <c r="DJ288" t="s">
        <v>1358</v>
      </c>
      <c r="DL288">
        <v>1600</v>
      </c>
      <c r="DM288">
        <v>500</v>
      </c>
      <c r="DN288" t="s">
        <v>1320</v>
      </c>
      <c r="DO288" t="s">
        <v>1310</v>
      </c>
      <c r="DP288" t="s">
        <v>1309</v>
      </c>
      <c r="DQ288" t="s">
        <v>1309</v>
      </c>
      <c r="DR288" t="s">
        <v>1309</v>
      </c>
      <c r="DS288" t="s">
        <v>1309</v>
      </c>
      <c r="DT288" t="s">
        <v>1310</v>
      </c>
      <c r="DU288" t="s">
        <v>1309</v>
      </c>
      <c r="DV288" t="s">
        <v>1309</v>
      </c>
      <c r="DW288" t="s">
        <v>1309</v>
      </c>
      <c r="DY288" t="s">
        <v>1481</v>
      </c>
      <c r="DZ288">
        <v>800</v>
      </c>
      <c r="EA288" t="s">
        <v>1319</v>
      </c>
      <c r="EC288" t="s">
        <v>1457</v>
      </c>
      <c r="ED288">
        <v>900</v>
      </c>
      <c r="EE288" t="s">
        <v>1319</v>
      </c>
      <c r="EG288" t="s">
        <v>5356</v>
      </c>
      <c r="EI288" t="s">
        <v>1307</v>
      </c>
      <c r="ET288" t="s">
        <v>1307</v>
      </c>
      <c r="EV288" t="s">
        <v>1319</v>
      </c>
      <c r="EW288" t="s">
        <v>1421</v>
      </c>
      <c r="EX288" t="s">
        <v>1319</v>
      </c>
      <c r="FA288" t="s">
        <v>2586</v>
      </c>
      <c r="FB288" t="s">
        <v>1309</v>
      </c>
      <c r="FC288" t="s">
        <v>1309</v>
      </c>
      <c r="FD288" t="s">
        <v>1309</v>
      </c>
      <c r="FE288" t="s">
        <v>1309</v>
      </c>
      <c r="FF288" t="s">
        <v>1309</v>
      </c>
      <c r="FG288" t="s">
        <v>1309</v>
      </c>
      <c r="FH288" t="s">
        <v>1310</v>
      </c>
      <c r="FI288" t="s">
        <v>1310</v>
      </c>
      <c r="FJ288" t="s">
        <v>1309</v>
      </c>
      <c r="FK288" t="s">
        <v>1309</v>
      </c>
      <c r="FL288" t="s">
        <v>1310</v>
      </c>
      <c r="FM288" t="s">
        <v>1310</v>
      </c>
      <c r="FN288" t="s">
        <v>1309</v>
      </c>
      <c r="FO288" t="s">
        <v>1309</v>
      </c>
      <c r="FP288" t="s">
        <v>1309</v>
      </c>
      <c r="FQ288" t="s">
        <v>1309</v>
      </c>
      <c r="FR288" t="s">
        <v>1309</v>
      </c>
      <c r="FT288" t="s">
        <v>1319</v>
      </c>
      <c r="FU288" t="s">
        <v>1389</v>
      </c>
      <c r="FV288" t="s">
        <v>1310</v>
      </c>
      <c r="FW288" t="s">
        <v>1310</v>
      </c>
      <c r="FX288" t="s">
        <v>1309</v>
      </c>
      <c r="FY288" t="s">
        <v>1309</v>
      </c>
      <c r="FZ288" t="s">
        <v>1309</v>
      </c>
      <c r="GA288" t="s">
        <v>1310</v>
      </c>
      <c r="GB288" t="s">
        <v>1309</v>
      </c>
      <c r="GC288" t="s">
        <v>1309</v>
      </c>
      <c r="GD288" t="s">
        <v>1309</v>
      </c>
      <c r="GE288" t="s">
        <v>1309</v>
      </c>
      <c r="GF288" t="s">
        <v>1309</v>
      </c>
      <c r="GG288" t="s">
        <v>1309</v>
      </c>
      <c r="GI288" t="s">
        <v>1324</v>
      </c>
      <c r="GJ288" t="s">
        <v>1324</v>
      </c>
      <c r="GT288" t="s">
        <v>1325</v>
      </c>
      <c r="GU288" t="s">
        <v>1310</v>
      </c>
      <c r="GV288" t="s">
        <v>1309</v>
      </c>
      <c r="GW288" t="s">
        <v>1309</v>
      </c>
      <c r="GX288" t="s">
        <v>1309</v>
      </c>
      <c r="GY288" t="s">
        <v>1309</v>
      </c>
      <c r="GZ288" t="s">
        <v>1309</v>
      </c>
      <c r="HA288" t="s">
        <v>1309</v>
      </c>
      <c r="HB288" t="s">
        <v>1309</v>
      </c>
      <c r="HC288" t="s">
        <v>1309</v>
      </c>
      <c r="HD288" t="s">
        <v>1309</v>
      </c>
      <c r="HE288" t="s">
        <v>1309</v>
      </c>
      <c r="HF288" t="s">
        <v>1309</v>
      </c>
      <c r="HH288" t="s">
        <v>1390</v>
      </c>
      <c r="HI288" t="s">
        <v>1327</v>
      </c>
      <c r="HJ288" t="s">
        <v>1390</v>
      </c>
      <c r="HK288" t="s">
        <v>1327</v>
      </c>
      <c r="HL288" t="s">
        <v>1437</v>
      </c>
      <c r="HM288" t="s">
        <v>1390</v>
      </c>
      <c r="HN288" t="s">
        <v>1803</v>
      </c>
      <c r="HO288" t="s">
        <v>1310</v>
      </c>
      <c r="HP288" t="s">
        <v>1310</v>
      </c>
      <c r="HQ288" t="s">
        <v>1309</v>
      </c>
      <c r="HR288" t="s">
        <v>1309</v>
      </c>
      <c r="HS288" t="s">
        <v>1310</v>
      </c>
      <c r="HT288" t="s">
        <v>1310</v>
      </c>
      <c r="HU288" t="s">
        <v>1309</v>
      </c>
      <c r="HV288" t="s">
        <v>1309</v>
      </c>
      <c r="HW288" t="s">
        <v>1309</v>
      </c>
      <c r="HX288" t="s">
        <v>1309</v>
      </c>
      <c r="HY288" t="s">
        <v>1309</v>
      </c>
      <c r="IA288" t="s">
        <v>1307</v>
      </c>
      <c r="IQ288" t="s">
        <v>1308</v>
      </c>
      <c r="IS288" t="s">
        <v>1316</v>
      </c>
      <c r="JF288" t="s">
        <v>1331</v>
      </c>
      <c r="JG288" t="s">
        <v>1451</v>
      </c>
      <c r="JH288" t="s">
        <v>1310</v>
      </c>
      <c r="JI288" t="s">
        <v>1309</v>
      </c>
      <c r="JJ288" t="s">
        <v>1309</v>
      </c>
      <c r="JK288" t="s">
        <v>1310</v>
      </c>
      <c r="JL288" t="s">
        <v>1309</v>
      </c>
      <c r="JM288" t="s">
        <v>1309</v>
      </c>
      <c r="JN288" t="s">
        <v>1309</v>
      </c>
      <c r="JO288" t="s">
        <v>1309</v>
      </c>
      <c r="JQ288" s="92" t="s">
        <v>1333</v>
      </c>
      <c r="JR288" s="92" t="s">
        <v>1334</v>
      </c>
      <c r="JS288" s="92">
        <v>67</v>
      </c>
      <c r="JT288" s="92" t="s">
        <v>1319</v>
      </c>
      <c r="JU288" s="92" t="s">
        <v>1335</v>
      </c>
      <c r="JV288" s="92" t="s">
        <v>1336</v>
      </c>
      <c r="JW288" s="92" t="s">
        <v>1296</v>
      </c>
      <c r="JX288" s="92" t="s">
        <v>71</v>
      </c>
      <c r="JY288" s="92" t="s">
        <v>5549</v>
      </c>
      <c r="JZ288" s="92" t="s">
        <v>1369</v>
      </c>
      <c r="KA288" s="92" t="s">
        <v>4845</v>
      </c>
      <c r="KB288" s="92" t="s">
        <v>1476</v>
      </c>
      <c r="KC288" s="92" t="s">
        <v>109</v>
      </c>
      <c r="KD288" s="92" t="s">
        <v>4847</v>
      </c>
      <c r="KE288" s="92" t="s">
        <v>1424</v>
      </c>
      <c r="KF288" s="92">
        <v>2000</v>
      </c>
      <c r="KG288" s="92" t="s">
        <v>4439</v>
      </c>
      <c r="KH288" s="92" t="s">
        <v>109</v>
      </c>
      <c r="KI288" s="92" t="s">
        <v>192</v>
      </c>
      <c r="KJ288" s="92" t="s">
        <v>109</v>
      </c>
      <c r="KK288" s="92" t="s">
        <v>192</v>
      </c>
      <c r="KL288" s="92" t="s">
        <v>1440</v>
      </c>
      <c r="KM288" s="92">
        <v>2100</v>
      </c>
      <c r="KN288" s="92" t="s">
        <v>4439</v>
      </c>
      <c r="KO288" s="92" t="s">
        <v>1425</v>
      </c>
      <c r="KP288" s="92" t="s">
        <v>1342</v>
      </c>
      <c r="KQ288" s="92" t="s">
        <v>109</v>
      </c>
      <c r="KR288" s="92">
        <v>40</v>
      </c>
      <c r="KS288" s="92" t="s">
        <v>1466</v>
      </c>
      <c r="KT288" s="92" t="s">
        <v>1344</v>
      </c>
      <c r="KU288" s="92">
        <v>43</v>
      </c>
      <c r="KV288" s="92" t="s">
        <v>1461</v>
      </c>
      <c r="KW288" s="92" t="s">
        <v>1344</v>
      </c>
      <c r="KX288" s="92" t="s">
        <v>1376</v>
      </c>
      <c r="KY288" s="92" t="s">
        <v>1377</v>
      </c>
      <c r="KZ288" s="92" t="s">
        <v>5795</v>
      </c>
      <c r="LA288" s="92" t="s">
        <v>109</v>
      </c>
      <c r="LB288" s="92" t="s">
        <v>109</v>
      </c>
      <c r="LC288" s="92" t="s">
        <v>4439</v>
      </c>
      <c r="LD288" s="92" t="s">
        <v>4439</v>
      </c>
      <c r="LE288" s="92" t="s">
        <v>192</v>
      </c>
      <c r="LF288" s="92" t="s">
        <v>192</v>
      </c>
    </row>
    <row r="289" spans="1:318" x14ac:dyDescent="0.25">
      <c r="A289" t="s">
        <v>2587</v>
      </c>
      <c r="B289" t="s">
        <v>2588</v>
      </c>
      <c r="C289" t="s">
        <v>1304</v>
      </c>
      <c r="D289" t="s">
        <v>1429</v>
      </c>
      <c r="E289" t="s">
        <v>1306</v>
      </c>
      <c r="G289" t="s">
        <v>1307</v>
      </c>
      <c r="H289">
        <v>2</v>
      </c>
      <c r="I289" t="s">
        <v>1307</v>
      </c>
      <c r="J289" t="s">
        <v>1308</v>
      </c>
      <c r="K289" t="s">
        <v>1309</v>
      </c>
      <c r="L289" t="s">
        <v>1309</v>
      </c>
      <c r="M289" t="s">
        <v>1309</v>
      </c>
      <c r="N289" t="s">
        <v>1309</v>
      </c>
      <c r="O289" t="s">
        <v>1309</v>
      </c>
      <c r="P289" t="s">
        <v>1309</v>
      </c>
      <c r="Q289" t="s">
        <v>1310</v>
      </c>
      <c r="R289" t="s">
        <v>1309</v>
      </c>
      <c r="U289" t="s">
        <v>1312</v>
      </c>
      <c r="V289" t="s">
        <v>1312</v>
      </c>
      <c r="W289" t="s">
        <v>1312</v>
      </c>
      <c r="X289" t="s">
        <v>1312</v>
      </c>
      <c r="Y289" t="s">
        <v>1312</v>
      </c>
      <c r="Z289" t="s">
        <v>1312</v>
      </c>
      <c r="AC289">
        <v>2</v>
      </c>
      <c r="AD289">
        <v>8000</v>
      </c>
      <c r="AE289">
        <v>15000</v>
      </c>
      <c r="AF289" t="s">
        <v>1313</v>
      </c>
      <c r="AH289" t="s">
        <v>1383</v>
      </c>
      <c r="AJ289" t="s">
        <v>1315</v>
      </c>
      <c r="AL289" t="s">
        <v>1316</v>
      </c>
      <c r="BS289" t="s">
        <v>1307</v>
      </c>
      <c r="CE289" t="s">
        <v>1355</v>
      </c>
      <c r="CF289" t="s">
        <v>1309</v>
      </c>
      <c r="CG289" t="s">
        <v>1309</v>
      </c>
      <c r="CH289" t="s">
        <v>1309</v>
      </c>
      <c r="CI289" t="s">
        <v>1309</v>
      </c>
      <c r="CJ289" t="s">
        <v>1309</v>
      </c>
      <c r="CK289" t="s">
        <v>1309</v>
      </c>
      <c r="CL289" t="s">
        <v>1309</v>
      </c>
      <c r="CM289" t="s">
        <v>1309</v>
      </c>
      <c r="CN289" t="s">
        <v>1310</v>
      </c>
      <c r="CO289" t="s">
        <v>1309</v>
      </c>
      <c r="CP289" t="s">
        <v>1309</v>
      </c>
      <c r="CQ289" t="s">
        <v>1309</v>
      </c>
      <c r="CR289" t="s">
        <v>1309</v>
      </c>
      <c r="CT289" t="s">
        <v>4435</v>
      </c>
      <c r="CV289" t="s">
        <v>1308</v>
      </c>
      <c r="CW289" t="s">
        <v>1310</v>
      </c>
      <c r="CX289" t="s">
        <v>1309</v>
      </c>
      <c r="CY289" t="s">
        <v>1309</v>
      </c>
      <c r="CZ289" t="s">
        <v>1309</v>
      </c>
      <c r="DA289" t="s">
        <v>1309</v>
      </c>
      <c r="DB289" t="s">
        <v>1309</v>
      </c>
      <c r="DC289" t="s">
        <v>1309</v>
      </c>
      <c r="DE289" t="s">
        <v>1358</v>
      </c>
      <c r="DF289" t="s">
        <v>1307</v>
      </c>
      <c r="DH289">
        <v>2500</v>
      </c>
      <c r="DI289">
        <v>900</v>
      </c>
      <c r="DJ289" t="s">
        <v>1358</v>
      </c>
      <c r="DL289">
        <v>3000</v>
      </c>
      <c r="DM289">
        <v>900</v>
      </c>
      <c r="DN289" t="s">
        <v>1320</v>
      </c>
      <c r="DO289" t="s">
        <v>1310</v>
      </c>
      <c r="DP289" t="s">
        <v>1309</v>
      </c>
      <c r="DQ289" t="s">
        <v>1309</v>
      </c>
      <c r="DR289" t="s">
        <v>1309</v>
      </c>
      <c r="DS289" t="s">
        <v>1309</v>
      </c>
      <c r="DT289" t="s">
        <v>1310</v>
      </c>
      <c r="DU289" t="s">
        <v>1309</v>
      </c>
      <c r="DV289" t="s">
        <v>1309</v>
      </c>
      <c r="DW289" t="s">
        <v>1309</v>
      </c>
      <c r="DY289" t="s">
        <v>1456</v>
      </c>
      <c r="DZ289">
        <v>300</v>
      </c>
      <c r="EA289" t="s">
        <v>1319</v>
      </c>
      <c r="EC289" t="s">
        <v>1457</v>
      </c>
      <c r="ED289">
        <v>500</v>
      </c>
      <c r="EE289" t="s">
        <v>1319</v>
      </c>
      <c r="EG289" t="s">
        <v>5357</v>
      </c>
      <c r="ET289" t="s">
        <v>1307</v>
      </c>
      <c r="EV289" t="s">
        <v>1319</v>
      </c>
      <c r="EW289" t="s">
        <v>1409</v>
      </c>
      <c r="EX289" t="s">
        <v>1319</v>
      </c>
      <c r="FA289" t="s">
        <v>2589</v>
      </c>
      <c r="FB289" t="s">
        <v>1309</v>
      </c>
      <c r="FC289" t="s">
        <v>1309</v>
      </c>
      <c r="FD289" t="s">
        <v>1309</v>
      </c>
      <c r="FE289" t="s">
        <v>1309</v>
      </c>
      <c r="FF289" t="s">
        <v>1309</v>
      </c>
      <c r="FG289" t="s">
        <v>1309</v>
      </c>
      <c r="FH289" t="s">
        <v>1309</v>
      </c>
      <c r="FI289" t="s">
        <v>1309</v>
      </c>
      <c r="FJ289" t="s">
        <v>1309</v>
      </c>
      <c r="FK289" t="s">
        <v>1309</v>
      </c>
      <c r="FL289" t="s">
        <v>1310</v>
      </c>
      <c r="FM289" t="s">
        <v>1310</v>
      </c>
      <c r="FN289" t="s">
        <v>1310</v>
      </c>
      <c r="FO289" t="s">
        <v>1309</v>
      </c>
      <c r="FP289" t="s">
        <v>1309</v>
      </c>
      <c r="FQ289" t="s">
        <v>1309</v>
      </c>
      <c r="FR289" t="s">
        <v>1309</v>
      </c>
      <c r="FT289" t="s">
        <v>1307</v>
      </c>
      <c r="GI289" t="s">
        <v>1324</v>
      </c>
      <c r="GJ289" t="s">
        <v>1324</v>
      </c>
      <c r="GT289" t="s">
        <v>1325</v>
      </c>
      <c r="GU289" t="s">
        <v>1310</v>
      </c>
      <c r="GV289" t="s">
        <v>1309</v>
      </c>
      <c r="GW289" t="s">
        <v>1309</v>
      </c>
      <c r="GX289" t="s">
        <v>1309</v>
      </c>
      <c r="GY289" t="s">
        <v>1309</v>
      </c>
      <c r="GZ289" t="s">
        <v>1309</v>
      </c>
      <c r="HA289" t="s">
        <v>1309</v>
      </c>
      <c r="HB289" t="s">
        <v>1309</v>
      </c>
      <c r="HC289" t="s">
        <v>1309</v>
      </c>
      <c r="HD289" t="s">
        <v>1309</v>
      </c>
      <c r="HE289" t="s">
        <v>1309</v>
      </c>
      <c r="HF289" t="s">
        <v>1309</v>
      </c>
      <c r="HH289" t="s">
        <v>1326</v>
      </c>
      <c r="HI289" t="s">
        <v>1327</v>
      </c>
      <c r="HJ289" t="s">
        <v>1326</v>
      </c>
      <c r="HK289" t="s">
        <v>1326</v>
      </c>
      <c r="HL289" t="s">
        <v>1328</v>
      </c>
      <c r="HM289" t="s">
        <v>1326</v>
      </c>
      <c r="HN289" t="s">
        <v>1414</v>
      </c>
      <c r="HO289" t="s">
        <v>1309</v>
      </c>
      <c r="HP289" t="s">
        <v>1309</v>
      </c>
      <c r="HQ289" t="s">
        <v>1309</v>
      </c>
      <c r="HR289" t="s">
        <v>1309</v>
      </c>
      <c r="HS289" t="s">
        <v>1309</v>
      </c>
      <c r="HT289" t="s">
        <v>1309</v>
      </c>
      <c r="HU289" t="s">
        <v>1309</v>
      </c>
      <c r="HV289" t="s">
        <v>1309</v>
      </c>
      <c r="HW289" t="s">
        <v>1309</v>
      </c>
      <c r="HX289" t="s">
        <v>1310</v>
      </c>
      <c r="HY289" t="s">
        <v>1309</v>
      </c>
      <c r="IA289" t="s">
        <v>1307</v>
      </c>
      <c r="IQ289" t="s">
        <v>1365</v>
      </c>
      <c r="IS289" t="s">
        <v>1331</v>
      </c>
      <c r="JF289" t="s">
        <v>1450</v>
      </c>
      <c r="JG289" t="s">
        <v>1523</v>
      </c>
      <c r="JH289" t="s">
        <v>1309</v>
      </c>
      <c r="JI289" t="s">
        <v>1309</v>
      </c>
      <c r="JJ289" t="s">
        <v>1309</v>
      </c>
      <c r="JK289" t="s">
        <v>1310</v>
      </c>
      <c r="JL289" t="s">
        <v>1309</v>
      </c>
      <c r="JM289" t="s">
        <v>1309</v>
      </c>
      <c r="JN289" t="s">
        <v>1309</v>
      </c>
      <c r="JO289" t="s">
        <v>1309</v>
      </c>
      <c r="JQ289" s="92" t="s">
        <v>1333</v>
      </c>
      <c r="JR289" s="92" t="s">
        <v>1334</v>
      </c>
      <c r="JS289" s="92">
        <v>28</v>
      </c>
      <c r="JT289" s="92" t="s">
        <v>1319</v>
      </c>
      <c r="JU289" s="92" t="s">
        <v>1396</v>
      </c>
      <c r="JV289" s="92" t="s">
        <v>1336</v>
      </c>
      <c r="JW289" s="92" t="s">
        <v>1296</v>
      </c>
      <c r="JX289" s="92" t="s">
        <v>71</v>
      </c>
      <c r="JY289" s="92" t="s">
        <v>5549</v>
      </c>
      <c r="JZ289" s="92" t="s">
        <v>1398</v>
      </c>
      <c r="KA289" s="92" t="s">
        <v>4845</v>
      </c>
      <c r="KB289" s="92" t="s">
        <v>1338</v>
      </c>
      <c r="KC289" s="92" t="s">
        <v>109</v>
      </c>
      <c r="KD289" s="92" t="s">
        <v>4847</v>
      </c>
      <c r="KE289" s="92" t="s">
        <v>1424</v>
      </c>
      <c r="KF289" s="92">
        <v>3400</v>
      </c>
      <c r="KG289" s="92" t="s">
        <v>4439</v>
      </c>
      <c r="KH289" s="92" t="s">
        <v>109</v>
      </c>
      <c r="KI289" s="92" t="s">
        <v>192</v>
      </c>
      <c r="KJ289" s="92" t="s">
        <v>109</v>
      </c>
      <c r="KK289" s="92" t="s">
        <v>192</v>
      </c>
      <c r="KL289" s="92" t="s">
        <v>1341</v>
      </c>
      <c r="KM289" s="92">
        <v>3900</v>
      </c>
      <c r="KN289" s="92" t="s">
        <v>4439</v>
      </c>
      <c r="KO289" s="92" t="s">
        <v>1341</v>
      </c>
      <c r="KP289" s="92" t="s">
        <v>1342</v>
      </c>
      <c r="KQ289" s="92" t="s">
        <v>109</v>
      </c>
      <c r="KR289" s="92">
        <v>9</v>
      </c>
      <c r="KS289" s="92" t="s">
        <v>1343</v>
      </c>
      <c r="KT289" s="92" t="s">
        <v>1344</v>
      </c>
      <c r="KU289" s="92">
        <v>13</v>
      </c>
      <c r="KV289" s="92" t="s">
        <v>1345</v>
      </c>
      <c r="KW289" s="92" t="s">
        <v>1344</v>
      </c>
      <c r="KX289" s="92" t="s">
        <v>1376</v>
      </c>
      <c r="KY289" s="92" t="s">
        <v>1377</v>
      </c>
      <c r="KZ289" s="92" t="s">
        <v>5795</v>
      </c>
      <c r="LA289" s="92" t="s">
        <v>109</v>
      </c>
      <c r="LB289" s="92" t="s">
        <v>109</v>
      </c>
      <c r="LC289" s="92" t="s">
        <v>4438</v>
      </c>
      <c r="LD289" s="92" t="s">
        <v>4438</v>
      </c>
      <c r="LE289" s="92" t="s">
        <v>192</v>
      </c>
      <c r="LF289" s="92" t="s">
        <v>192</v>
      </c>
    </row>
    <row r="290" spans="1:318" x14ac:dyDescent="0.25">
      <c r="A290" t="s">
        <v>2590</v>
      </c>
      <c r="B290" t="s">
        <v>2591</v>
      </c>
      <c r="C290" t="s">
        <v>1304</v>
      </c>
      <c r="D290" t="s">
        <v>1305</v>
      </c>
      <c r="E290" t="s">
        <v>1306</v>
      </c>
      <c r="G290" t="s">
        <v>1307</v>
      </c>
      <c r="H290">
        <v>2</v>
      </c>
      <c r="I290" t="s">
        <v>1307</v>
      </c>
      <c r="J290" t="s">
        <v>1308</v>
      </c>
      <c r="K290" t="s">
        <v>1309</v>
      </c>
      <c r="L290" t="s">
        <v>1309</v>
      </c>
      <c r="M290" t="s">
        <v>1309</v>
      </c>
      <c r="N290" t="s">
        <v>1309</v>
      </c>
      <c r="O290" t="s">
        <v>1309</v>
      </c>
      <c r="P290" t="s">
        <v>1309</v>
      </c>
      <c r="Q290" t="s">
        <v>1310</v>
      </c>
      <c r="R290" t="s">
        <v>1309</v>
      </c>
      <c r="U290" t="s">
        <v>1311</v>
      </c>
      <c r="V290" t="s">
        <v>1312</v>
      </c>
      <c r="W290" t="s">
        <v>1312</v>
      </c>
      <c r="X290" t="s">
        <v>1312</v>
      </c>
      <c r="Y290" t="s">
        <v>1312</v>
      </c>
      <c r="Z290" t="s">
        <v>1312</v>
      </c>
      <c r="AC290">
        <v>2</v>
      </c>
      <c r="AD290">
        <v>8000</v>
      </c>
      <c r="AE290">
        <v>6000</v>
      </c>
      <c r="AF290" t="s">
        <v>1351</v>
      </c>
      <c r="AH290" t="s">
        <v>1352</v>
      </c>
      <c r="AJ290" t="s">
        <v>1353</v>
      </c>
      <c r="AL290" t="s">
        <v>1316</v>
      </c>
      <c r="BA290" t="s">
        <v>1354</v>
      </c>
      <c r="BS290" t="s">
        <v>1307</v>
      </c>
      <c r="CE290" t="s">
        <v>1355</v>
      </c>
      <c r="CF290" t="s">
        <v>1309</v>
      </c>
      <c r="CG290" t="s">
        <v>1309</v>
      </c>
      <c r="CH290" t="s">
        <v>1309</v>
      </c>
      <c r="CI290" t="s">
        <v>1309</v>
      </c>
      <c r="CJ290" t="s">
        <v>1309</v>
      </c>
      <c r="CK290" t="s">
        <v>1309</v>
      </c>
      <c r="CL290" t="s">
        <v>1309</v>
      </c>
      <c r="CM290" t="s">
        <v>1309</v>
      </c>
      <c r="CN290" t="s">
        <v>1310</v>
      </c>
      <c r="CO290" t="s">
        <v>1309</v>
      </c>
      <c r="CP290" t="s">
        <v>1309</v>
      </c>
      <c r="CQ290" t="s">
        <v>1309</v>
      </c>
      <c r="CR290" t="s">
        <v>1309</v>
      </c>
      <c r="CT290" t="s">
        <v>4436</v>
      </c>
      <c r="CV290" t="s">
        <v>1308</v>
      </c>
      <c r="CW290" t="s">
        <v>1310</v>
      </c>
      <c r="CX290" t="s">
        <v>1309</v>
      </c>
      <c r="CY290" t="s">
        <v>1309</v>
      </c>
      <c r="CZ290" t="s">
        <v>1309</v>
      </c>
      <c r="DA290" t="s">
        <v>1309</v>
      </c>
      <c r="DB290" t="s">
        <v>1309</v>
      </c>
      <c r="DC290" t="s">
        <v>1309</v>
      </c>
      <c r="DE290" t="s">
        <v>1358</v>
      </c>
      <c r="DF290" t="s">
        <v>1319</v>
      </c>
      <c r="DG290">
        <v>300</v>
      </c>
      <c r="DI290">
        <v>600</v>
      </c>
      <c r="DJ290" t="s">
        <v>1358</v>
      </c>
      <c r="DK290">
        <v>300</v>
      </c>
      <c r="DM290">
        <v>600</v>
      </c>
      <c r="DN290" t="s">
        <v>1320</v>
      </c>
      <c r="DO290" t="s">
        <v>1310</v>
      </c>
      <c r="DP290" t="s">
        <v>1309</v>
      </c>
      <c r="DQ290" t="s">
        <v>1309</v>
      </c>
      <c r="DR290" t="s">
        <v>1309</v>
      </c>
      <c r="DS290" t="s">
        <v>1309</v>
      </c>
      <c r="DT290" t="s">
        <v>1310</v>
      </c>
      <c r="DU290" t="s">
        <v>1309</v>
      </c>
      <c r="DV290" t="s">
        <v>1309</v>
      </c>
      <c r="DW290" t="s">
        <v>1309</v>
      </c>
      <c r="DY290" t="s">
        <v>1456</v>
      </c>
      <c r="DZ290">
        <v>600</v>
      </c>
      <c r="EA290" t="s">
        <v>1319</v>
      </c>
      <c r="EC290" t="s">
        <v>1854</v>
      </c>
      <c r="ED290">
        <v>800</v>
      </c>
      <c r="EE290" t="s">
        <v>1319</v>
      </c>
      <c r="EG290" t="s">
        <v>5356</v>
      </c>
      <c r="EI290" t="s">
        <v>1307</v>
      </c>
      <c r="ET290" t="s">
        <v>1307</v>
      </c>
      <c r="EV290" t="s">
        <v>1319</v>
      </c>
      <c r="EW290" t="s">
        <v>1421</v>
      </c>
      <c r="EX290" t="s">
        <v>1319</v>
      </c>
      <c r="EY290" t="s">
        <v>1319</v>
      </c>
      <c r="EZ290" t="s">
        <v>1307</v>
      </c>
      <c r="FA290" t="s">
        <v>2592</v>
      </c>
      <c r="FB290" t="s">
        <v>1309</v>
      </c>
      <c r="FC290" t="s">
        <v>1309</v>
      </c>
      <c r="FD290" t="s">
        <v>1309</v>
      </c>
      <c r="FE290" t="s">
        <v>1309</v>
      </c>
      <c r="FF290" t="s">
        <v>1310</v>
      </c>
      <c r="FG290" t="s">
        <v>1310</v>
      </c>
      <c r="FH290" t="s">
        <v>1310</v>
      </c>
      <c r="FI290" t="s">
        <v>1309</v>
      </c>
      <c r="FJ290" t="s">
        <v>1309</v>
      </c>
      <c r="FK290" t="s">
        <v>1310</v>
      </c>
      <c r="FL290" t="s">
        <v>1310</v>
      </c>
      <c r="FM290" t="s">
        <v>1309</v>
      </c>
      <c r="FN290" t="s">
        <v>1309</v>
      </c>
      <c r="FO290" t="s">
        <v>1309</v>
      </c>
      <c r="FP290" t="s">
        <v>1309</v>
      </c>
      <c r="FQ290" t="s">
        <v>1309</v>
      </c>
      <c r="FR290" t="s">
        <v>1309</v>
      </c>
      <c r="FT290" t="s">
        <v>1319</v>
      </c>
      <c r="FU290" t="s">
        <v>1389</v>
      </c>
      <c r="FV290" t="s">
        <v>1310</v>
      </c>
      <c r="FW290" t="s">
        <v>1310</v>
      </c>
      <c r="FX290" t="s">
        <v>1309</v>
      </c>
      <c r="FY290" t="s">
        <v>1309</v>
      </c>
      <c r="FZ290" t="s">
        <v>1309</v>
      </c>
      <c r="GA290" t="s">
        <v>1310</v>
      </c>
      <c r="GB290" t="s">
        <v>1309</v>
      </c>
      <c r="GC290" t="s">
        <v>1309</v>
      </c>
      <c r="GD290" t="s">
        <v>1309</v>
      </c>
      <c r="GE290" t="s">
        <v>1309</v>
      </c>
      <c r="GF290" t="s">
        <v>1309</v>
      </c>
      <c r="GG290" t="s">
        <v>1309</v>
      </c>
      <c r="GI290" t="s">
        <v>1324</v>
      </c>
      <c r="GJ290" t="s">
        <v>1324</v>
      </c>
      <c r="GT290" t="s">
        <v>1325</v>
      </c>
      <c r="GU290" t="s">
        <v>1310</v>
      </c>
      <c r="GV290" t="s">
        <v>1309</v>
      </c>
      <c r="GW290" t="s">
        <v>1309</v>
      </c>
      <c r="GX290" t="s">
        <v>1309</v>
      </c>
      <c r="GY290" t="s">
        <v>1309</v>
      </c>
      <c r="GZ290" t="s">
        <v>1309</v>
      </c>
      <c r="HA290" t="s">
        <v>1309</v>
      </c>
      <c r="HB290" t="s">
        <v>1309</v>
      </c>
      <c r="HC290" t="s">
        <v>1309</v>
      </c>
      <c r="HD290" t="s">
        <v>1309</v>
      </c>
      <c r="HE290" t="s">
        <v>1309</v>
      </c>
      <c r="HF290" t="s">
        <v>1309</v>
      </c>
      <c r="HH290" t="s">
        <v>1326</v>
      </c>
      <c r="HI290" t="s">
        <v>1327</v>
      </c>
      <c r="HJ290" t="s">
        <v>1326</v>
      </c>
      <c r="HK290" t="s">
        <v>1327</v>
      </c>
      <c r="HL290" t="s">
        <v>1437</v>
      </c>
      <c r="HM290" t="s">
        <v>1326</v>
      </c>
      <c r="HN290" t="s">
        <v>1726</v>
      </c>
      <c r="HO290" t="s">
        <v>1310</v>
      </c>
      <c r="HP290" t="s">
        <v>1310</v>
      </c>
      <c r="HQ290" t="s">
        <v>1309</v>
      </c>
      <c r="HR290" t="s">
        <v>1309</v>
      </c>
      <c r="HS290" t="s">
        <v>1310</v>
      </c>
      <c r="HT290" t="s">
        <v>1309</v>
      </c>
      <c r="HU290" t="s">
        <v>1309</v>
      </c>
      <c r="HV290" t="s">
        <v>1309</v>
      </c>
      <c r="HW290" t="s">
        <v>1309</v>
      </c>
      <c r="HX290" t="s">
        <v>1309</v>
      </c>
      <c r="HY290" t="s">
        <v>1309</v>
      </c>
      <c r="IA290" t="s">
        <v>1307</v>
      </c>
      <c r="IQ290" t="s">
        <v>1308</v>
      </c>
      <c r="IS290" t="s">
        <v>1331</v>
      </c>
      <c r="JF290" t="s">
        <v>1413</v>
      </c>
      <c r="JG290" t="s">
        <v>1997</v>
      </c>
      <c r="JH290" t="s">
        <v>1309</v>
      </c>
      <c r="JI290" t="s">
        <v>1309</v>
      </c>
      <c r="JJ290" t="s">
        <v>1309</v>
      </c>
      <c r="JK290" t="s">
        <v>1310</v>
      </c>
      <c r="JL290" t="s">
        <v>1310</v>
      </c>
      <c r="JM290" t="s">
        <v>1309</v>
      </c>
      <c r="JN290" t="s">
        <v>1309</v>
      </c>
      <c r="JO290" t="s">
        <v>1309</v>
      </c>
      <c r="JQ290" s="92" t="s">
        <v>1333</v>
      </c>
      <c r="JR290" s="92" t="s">
        <v>1334</v>
      </c>
      <c r="JS290" s="92">
        <v>57</v>
      </c>
      <c r="JT290" s="92" t="s">
        <v>1319</v>
      </c>
      <c r="JU290" s="92" t="s">
        <v>1335</v>
      </c>
      <c r="JV290" s="92" t="s">
        <v>1336</v>
      </c>
      <c r="JW290" s="92" t="s">
        <v>1296</v>
      </c>
      <c r="JX290" s="92" t="s">
        <v>71</v>
      </c>
      <c r="JY290" s="92" t="s">
        <v>5549</v>
      </c>
      <c r="JZ290" s="92" t="s">
        <v>1337</v>
      </c>
      <c r="KA290" s="92" t="s">
        <v>4845</v>
      </c>
      <c r="KB290" s="92" t="s">
        <v>1338</v>
      </c>
      <c r="KC290" s="92" t="s">
        <v>109</v>
      </c>
      <c r="KD290" s="92" t="s">
        <v>4847</v>
      </c>
      <c r="KE290" s="92" t="s">
        <v>1424</v>
      </c>
      <c r="KF290" s="92">
        <v>900</v>
      </c>
      <c r="KG290" s="92" t="s">
        <v>4438</v>
      </c>
      <c r="KH290" s="92" t="s">
        <v>192</v>
      </c>
      <c r="KI290" s="92" t="s">
        <v>109</v>
      </c>
      <c r="KJ290" s="92" t="s">
        <v>192</v>
      </c>
      <c r="KK290" s="92" t="s">
        <v>109</v>
      </c>
      <c r="KL290" s="92" t="s">
        <v>1374</v>
      </c>
      <c r="KM290" s="92">
        <v>900</v>
      </c>
      <c r="KN290" s="92" t="s">
        <v>4438</v>
      </c>
      <c r="KO290" s="92" t="s">
        <v>1374</v>
      </c>
      <c r="KP290" s="92" t="s">
        <v>1401</v>
      </c>
      <c r="KQ290" s="92" t="s">
        <v>192</v>
      </c>
      <c r="KR290" s="92"/>
      <c r="KS290" s="92" t="s">
        <v>1345</v>
      </c>
      <c r="KT290" s="92" t="s">
        <v>1344</v>
      </c>
      <c r="KU290" s="92"/>
      <c r="KV290" s="92" t="s">
        <v>1441</v>
      </c>
      <c r="KW290" s="92" t="s">
        <v>1344</v>
      </c>
      <c r="KX290" s="92" t="s">
        <v>1376</v>
      </c>
      <c r="KY290" s="92" t="s">
        <v>1377</v>
      </c>
      <c r="KZ290" s="92" t="s">
        <v>5795</v>
      </c>
      <c r="LA290" s="92" t="s">
        <v>109</v>
      </c>
      <c r="LB290" s="92" t="s">
        <v>109</v>
      </c>
      <c r="LC290" s="92" t="s">
        <v>4438</v>
      </c>
      <c r="LD290" s="92" t="s">
        <v>4438</v>
      </c>
      <c r="LE290" s="92" t="s">
        <v>109</v>
      </c>
      <c r="LF290" s="92" t="s">
        <v>109</v>
      </c>
    </row>
    <row r="291" spans="1:318" x14ac:dyDescent="0.25">
      <c r="A291" t="s">
        <v>2593</v>
      </c>
      <c r="B291" t="s">
        <v>2594</v>
      </c>
      <c r="C291" t="s">
        <v>1304</v>
      </c>
      <c r="D291" t="s">
        <v>1305</v>
      </c>
      <c r="E291" t="s">
        <v>1306</v>
      </c>
      <c r="G291" t="s">
        <v>1307</v>
      </c>
      <c r="H291">
        <v>4</v>
      </c>
      <c r="I291" t="s">
        <v>1307</v>
      </c>
      <c r="J291" t="s">
        <v>1406</v>
      </c>
      <c r="K291" t="s">
        <v>1309</v>
      </c>
      <c r="L291" t="s">
        <v>1310</v>
      </c>
      <c r="M291" t="s">
        <v>1309</v>
      </c>
      <c r="N291" t="s">
        <v>1309</v>
      </c>
      <c r="O291" t="s">
        <v>1309</v>
      </c>
      <c r="P291" t="s">
        <v>1309</v>
      </c>
      <c r="Q291" t="s">
        <v>1309</v>
      </c>
      <c r="R291" t="s">
        <v>1309</v>
      </c>
      <c r="S291">
        <v>2</v>
      </c>
      <c r="U291" t="s">
        <v>1312</v>
      </c>
      <c r="V291" t="s">
        <v>1312</v>
      </c>
      <c r="W291" t="s">
        <v>1312</v>
      </c>
      <c r="X291" t="s">
        <v>1312</v>
      </c>
      <c r="Y291" t="s">
        <v>1312</v>
      </c>
      <c r="Z291" t="s">
        <v>1312</v>
      </c>
      <c r="AC291">
        <v>2</v>
      </c>
      <c r="AD291">
        <v>12000</v>
      </c>
      <c r="AE291">
        <v>10000</v>
      </c>
      <c r="AF291" t="s">
        <v>1313</v>
      </c>
      <c r="AH291" t="s">
        <v>1383</v>
      </c>
      <c r="AJ291" t="s">
        <v>1315</v>
      </c>
      <c r="AL291" t="s">
        <v>1316</v>
      </c>
      <c r="BS291" t="s">
        <v>1307</v>
      </c>
      <c r="CE291" t="s">
        <v>1355</v>
      </c>
      <c r="CF291" t="s">
        <v>1309</v>
      </c>
      <c r="CG291" t="s">
        <v>1309</v>
      </c>
      <c r="CH291" t="s">
        <v>1309</v>
      </c>
      <c r="CI291" t="s">
        <v>1309</v>
      </c>
      <c r="CJ291" t="s">
        <v>1309</v>
      </c>
      <c r="CK291" t="s">
        <v>1309</v>
      </c>
      <c r="CL291" t="s">
        <v>1309</v>
      </c>
      <c r="CM291" t="s">
        <v>1309</v>
      </c>
      <c r="CN291" t="s">
        <v>1310</v>
      </c>
      <c r="CO291" t="s">
        <v>1309</v>
      </c>
      <c r="CP291" t="s">
        <v>1309</v>
      </c>
      <c r="CQ291" t="s">
        <v>1309</v>
      </c>
      <c r="CR291" t="s">
        <v>1309</v>
      </c>
      <c r="CT291" t="s">
        <v>4434</v>
      </c>
      <c r="CV291" t="s">
        <v>1357</v>
      </c>
      <c r="CW291" t="s">
        <v>1309</v>
      </c>
      <c r="CX291" t="s">
        <v>1309</v>
      </c>
      <c r="CY291" t="s">
        <v>1309</v>
      </c>
      <c r="CZ291" t="s">
        <v>1309</v>
      </c>
      <c r="DA291" t="s">
        <v>1310</v>
      </c>
      <c r="DB291" t="s">
        <v>1309</v>
      </c>
      <c r="DC291" t="s">
        <v>1309</v>
      </c>
      <c r="DE291" t="s">
        <v>1358</v>
      </c>
      <c r="DG291">
        <v>2000</v>
      </c>
      <c r="DI291">
        <v>1500</v>
      </c>
      <c r="DJ291" t="s">
        <v>1358</v>
      </c>
      <c r="DK291">
        <v>2500</v>
      </c>
      <c r="DM291">
        <v>1800</v>
      </c>
      <c r="DN291" t="s">
        <v>1320</v>
      </c>
      <c r="DO291" t="s">
        <v>1310</v>
      </c>
      <c r="DP291" t="s">
        <v>1309</v>
      </c>
      <c r="DQ291" t="s">
        <v>1309</v>
      </c>
      <c r="DR291" t="s">
        <v>1309</v>
      </c>
      <c r="DS291" t="s">
        <v>1309</v>
      </c>
      <c r="DT291" t="s">
        <v>1310</v>
      </c>
      <c r="DU291" t="s">
        <v>1309</v>
      </c>
      <c r="DV291" t="s">
        <v>1309</v>
      </c>
      <c r="DW291" t="s">
        <v>1309</v>
      </c>
      <c r="DY291" t="s">
        <v>1481</v>
      </c>
      <c r="DZ291">
        <v>600</v>
      </c>
      <c r="EA291" t="s">
        <v>1319</v>
      </c>
      <c r="EC291" t="s">
        <v>1457</v>
      </c>
      <c r="ED291">
        <v>800</v>
      </c>
      <c r="EE291" t="s">
        <v>1319</v>
      </c>
      <c r="EG291" t="s">
        <v>5357</v>
      </c>
      <c r="ET291" t="s">
        <v>1307</v>
      </c>
      <c r="EV291" t="s">
        <v>1319</v>
      </c>
      <c r="EW291" t="s">
        <v>1421</v>
      </c>
      <c r="EX291" t="s">
        <v>1307</v>
      </c>
      <c r="EY291" t="s">
        <v>1307</v>
      </c>
      <c r="FT291" t="s">
        <v>1307</v>
      </c>
      <c r="GI291" t="s">
        <v>1324</v>
      </c>
      <c r="GJ291" t="s">
        <v>1324</v>
      </c>
      <c r="GT291" t="s">
        <v>1325</v>
      </c>
      <c r="GU291" t="s">
        <v>1310</v>
      </c>
      <c r="GV291" t="s">
        <v>1309</v>
      </c>
      <c r="GW291" t="s">
        <v>1309</v>
      </c>
      <c r="GX291" t="s">
        <v>1309</v>
      </c>
      <c r="GY291" t="s">
        <v>1309</v>
      </c>
      <c r="GZ291" t="s">
        <v>1309</v>
      </c>
      <c r="HA291" t="s">
        <v>1309</v>
      </c>
      <c r="HB291" t="s">
        <v>1309</v>
      </c>
      <c r="HC291" t="s">
        <v>1309</v>
      </c>
      <c r="HD291" t="s">
        <v>1309</v>
      </c>
      <c r="HE291" t="s">
        <v>1309</v>
      </c>
      <c r="HF291" t="s">
        <v>1309</v>
      </c>
      <c r="HH291" t="s">
        <v>1326</v>
      </c>
      <c r="HI291" t="s">
        <v>1327</v>
      </c>
      <c r="HJ291" t="s">
        <v>1326</v>
      </c>
      <c r="HK291" t="s">
        <v>1327</v>
      </c>
      <c r="HL291" t="s">
        <v>1364</v>
      </c>
      <c r="HM291" t="s">
        <v>1326</v>
      </c>
      <c r="IA291" t="s">
        <v>1307</v>
      </c>
      <c r="IQ291" t="s">
        <v>1308</v>
      </c>
      <c r="IS291" t="s">
        <v>1316</v>
      </c>
      <c r="JF291" t="s">
        <v>1413</v>
      </c>
      <c r="JG291" t="s">
        <v>1523</v>
      </c>
      <c r="JH291" t="s">
        <v>1309</v>
      </c>
      <c r="JI291" t="s">
        <v>1309</v>
      </c>
      <c r="JJ291" t="s">
        <v>1309</v>
      </c>
      <c r="JK291" t="s">
        <v>1310</v>
      </c>
      <c r="JL291" t="s">
        <v>1309</v>
      </c>
      <c r="JM291" t="s">
        <v>1309</v>
      </c>
      <c r="JN291" t="s">
        <v>1309</v>
      </c>
      <c r="JO291" t="s">
        <v>1309</v>
      </c>
      <c r="JQ291" s="92" t="s">
        <v>1333</v>
      </c>
      <c r="JR291" s="92" t="s">
        <v>1334</v>
      </c>
      <c r="JS291" s="92">
        <v>36</v>
      </c>
      <c r="JT291" s="92" t="s">
        <v>1319</v>
      </c>
      <c r="JU291" s="92" t="s">
        <v>1335</v>
      </c>
      <c r="JV291" s="92" t="s">
        <v>1336</v>
      </c>
      <c r="JW291" s="92" t="s">
        <v>1296</v>
      </c>
      <c r="JX291" s="92" t="s">
        <v>71</v>
      </c>
      <c r="JY291" s="92" t="s">
        <v>5549</v>
      </c>
      <c r="JZ291" s="92" t="s">
        <v>1337</v>
      </c>
      <c r="KA291" s="92" t="s">
        <v>4845</v>
      </c>
      <c r="KB291" s="92" t="s">
        <v>1415</v>
      </c>
      <c r="KC291" s="92" t="s">
        <v>109</v>
      </c>
      <c r="KD291" s="92" t="s">
        <v>4847</v>
      </c>
      <c r="KE291" s="92" t="s">
        <v>1371</v>
      </c>
      <c r="KF291" s="92">
        <v>3500</v>
      </c>
      <c r="KG291" s="92" t="s">
        <v>4439</v>
      </c>
      <c r="KH291" s="92" t="s">
        <v>192</v>
      </c>
      <c r="KI291" s="92" t="s">
        <v>109</v>
      </c>
      <c r="KJ291" s="92" t="s">
        <v>192</v>
      </c>
      <c r="KK291" s="92" t="s">
        <v>109</v>
      </c>
      <c r="KL291" s="92" t="s">
        <v>1341</v>
      </c>
      <c r="KM291" s="92">
        <v>4300</v>
      </c>
      <c r="KN291" s="92" t="s">
        <v>4439</v>
      </c>
      <c r="KO291" s="92" t="s">
        <v>1341</v>
      </c>
      <c r="KP291" s="92" t="s">
        <v>1375</v>
      </c>
      <c r="KQ291" s="92" t="s">
        <v>192</v>
      </c>
      <c r="KR291" s="92">
        <v>17</v>
      </c>
      <c r="KS291" s="92" t="s">
        <v>1345</v>
      </c>
      <c r="KT291" s="92" t="s">
        <v>1344</v>
      </c>
      <c r="KU291" s="92">
        <v>19</v>
      </c>
      <c r="KV291" s="92" t="s">
        <v>1441</v>
      </c>
      <c r="KW291" s="92" t="s">
        <v>1344</v>
      </c>
      <c r="KX291" s="92" t="s">
        <v>1376</v>
      </c>
      <c r="KY291" s="92" t="s">
        <v>1377</v>
      </c>
      <c r="KZ291" s="92" t="s">
        <v>5795</v>
      </c>
      <c r="LA291" s="92" t="s">
        <v>109</v>
      </c>
      <c r="LB291" s="92" t="s">
        <v>109</v>
      </c>
      <c r="LC291" s="92" t="s">
        <v>4439</v>
      </c>
      <c r="LD291" s="92" t="s">
        <v>4439</v>
      </c>
      <c r="LE291" s="92" t="s">
        <v>192</v>
      </c>
      <c r="LF291" s="92" t="s">
        <v>192</v>
      </c>
    </row>
    <row r="292" spans="1:318" x14ac:dyDescent="0.25">
      <c r="A292" t="s">
        <v>2595</v>
      </c>
      <c r="B292" t="s">
        <v>2596</v>
      </c>
      <c r="C292" t="s">
        <v>1304</v>
      </c>
      <c r="D292" t="s">
        <v>1305</v>
      </c>
      <c r="E292" t="s">
        <v>1306</v>
      </c>
      <c r="G292" t="s">
        <v>1307</v>
      </c>
      <c r="H292">
        <v>2</v>
      </c>
      <c r="I292" t="s">
        <v>1307</v>
      </c>
      <c r="J292" t="s">
        <v>1308</v>
      </c>
      <c r="K292" t="s">
        <v>1309</v>
      </c>
      <c r="L292" t="s">
        <v>1309</v>
      </c>
      <c r="M292" t="s">
        <v>1309</v>
      </c>
      <c r="N292" t="s">
        <v>1309</v>
      </c>
      <c r="O292" t="s">
        <v>1309</v>
      </c>
      <c r="P292" t="s">
        <v>1309</v>
      </c>
      <c r="Q292" t="s">
        <v>1310</v>
      </c>
      <c r="R292" t="s">
        <v>1309</v>
      </c>
      <c r="U292" t="s">
        <v>1312</v>
      </c>
      <c r="V292" t="s">
        <v>1312</v>
      </c>
      <c r="W292" t="s">
        <v>1312</v>
      </c>
      <c r="X292" t="s">
        <v>1312</v>
      </c>
      <c r="Y292" t="s">
        <v>1312</v>
      </c>
      <c r="Z292" t="s">
        <v>1312</v>
      </c>
      <c r="AC292">
        <v>1</v>
      </c>
      <c r="AD292">
        <v>11000</v>
      </c>
      <c r="AE292">
        <v>10000</v>
      </c>
      <c r="AF292" t="s">
        <v>1313</v>
      </c>
      <c r="AH292" t="s">
        <v>1383</v>
      </c>
      <c r="AJ292" t="s">
        <v>1315</v>
      </c>
      <c r="AL292" t="s">
        <v>1316</v>
      </c>
      <c r="BS292" t="s">
        <v>1307</v>
      </c>
      <c r="CE292" t="s">
        <v>1611</v>
      </c>
      <c r="CF292" t="s">
        <v>1310</v>
      </c>
      <c r="CG292" t="s">
        <v>1309</v>
      </c>
      <c r="CH292" t="s">
        <v>1309</v>
      </c>
      <c r="CI292" t="s">
        <v>1309</v>
      </c>
      <c r="CJ292" t="s">
        <v>1309</v>
      </c>
      <c r="CK292" t="s">
        <v>1309</v>
      </c>
      <c r="CL292" t="s">
        <v>1309</v>
      </c>
      <c r="CM292" t="s">
        <v>1309</v>
      </c>
      <c r="CN292" t="s">
        <v>1310</v>
      </c>
      <c r="CO292" t="s">
        <v>1310</v>
      </c>
      <c r="CP292" t="s">
        <v>1309</v>
      </c>
      <c r="CQ292" t="s">
        <v>1309</v>
      </c>
      <c r="CR292" t="s">
        <v>1309</v>
      </c>
      <c r="CT292" t="s">
        <v>4435</v>
      </c>
      <c r="CV292" t="s">
        <v>1308</v>
      </c>
      <c r="CW292" t="s">
        <v>1310</v>
      </c>
      <c r="CX292" t="s">
        <v>1309</v>
      </c>
      <c r="CY292" t="s">
        <v>1309</v>
      </c>
      <c r="CZ292" t="s">
        <v>1309</v>
      </c>
      <c r="DA292" t="s">
        <v>1309</v>
      </c>
      <c r="DB292" t="s">
        <v>1309</v>
      </c>
      <c r="DC292" t="s">
        <v>1309</v>
      </c>
      <c r="DE292" t="s">
        <v>1358</v>
      </c>
      <c r="DF292" t="s">
        <v>1319</v>
      </c>
      <c r="DG292">
        <v>200</v>
      </c>
      <c r="DH292">
        <v>800</v>
      </c>
      <c r="DI292">
        <v>400</v>
      </c>
      <c r="DJ292" t="s">
        <v>1358</v>
      </c>
      <c r="DK292">
        <v>150</v>
      </c>
      <c r="DL292">
        <v>1100</v>
      </c>
      <c r="DM292">
        <v>350</v>
      </c>
      <c r="DN292" t="s">
        <v>1320</v>
      </c>
      <c r="DO292" t="s">
        <v>1310</v>
      </c>
      <c r="DP292" t="s">
        <v>1309</v>
      </c>
      <c r="DQ292" t="s">
        <v>1309</v>
      </c>
      <c r="DR292" t="s">
        <v>1309</v>
      </c>
      <c r="DS292" t="s">
        <v>1309</v>
      </c>
      <c r="DT292" t="s">
        <v>1310</v>
      </c>
      <c r="DU292" t="s">
        <v>1309</v>
      </c>
      <c r="DV292" t="s">
        <v>1309</v>
      </c>
      <c r="DW292" t="s">
        <v>1309</v>
      </c>
      <c r="DY292" t="s">
        <v>1408</v>
      </c>
      <c r="DZ292">
        <v>500</v>
      </c>
      <c r="EA292" t="s">
        <v>1386</v>
      </c>
      <c r="EC292" t="s">
        <v>1322</v>
      </c>
      <c r="ED292">
        <v>700</v>
      </c>
      <c r="EE292" t="s">
        <v>1386</v>
      </c>
      <c r="EG292" t="s">
        <v>5356</v>
      </c>
      <c r="EI292" t="s">
        <v>1307</v>
      </c>
      <c r="ET292" t="s">
        <v>1434</v>
      </c>
      <c r="EV292" t="s">
        <v>1319</v>
      </c>
      <c r="EW292" t="s">
        <v>1529</v>
      </c>
      <c r="EX292" t="s">
        <v>1319</v>
      </c>
      <c r="EY292" t="s">
        <v>1307</v>
      </c>
      <c r="FA292" t="s">
        <v>1902</v>
      </c>
      <c r="FB292" t="s">
        <v>1309</v>
      </c>
      <c r="FC292" t="s">
        <v>1309</v>
      </c>
      <c r="FD292" t="s">
        <v>1309</v>
      </c>
      <c r="FE292" t="s">
        <v>1309</v>
      </c>
      <c r="FF292" t="s">
        <v>1309</v>
      </c>
      <c r="FG292" t="s">
        <v>1309</v>
      </c>
      <c r="FH292" t="s">
        <v>1309</v>
      </c>
      <c r="FI292" t="s">
        <v>1310</v>
      </c>
      <c r="FJ292" t="s">
        <v>1309</v>
      </c>
      <c r="FK292" t="s">
        <v>1309</v>
      </c>
      <c r="FL292" t="s">
        <v>1309</v>
      </c>
      <c r="FM292" t="s">
        <v>1309</v>
      </c>
      <c r="FN292" t="s">
        <v>1310</v>
      </c>
      <c r="FO292" t="s">
        <v>1309</v>
      </c>
      <c r="FP292" t="s">
        <v>1309</v>
      </c>
      <c r="FQ292" t="s">
        <v>1309</v>
      </c>
      <c r="FR292" t="s">
        <v>1309</v>
      </c>
      <c r="FT292" t="s">
        <v>1307</v>
      </c>
      <c r="GI292" t="s">
        <v>1324</v>
      </c>
      <c r="GJ292" t="s">
        <v>1324</v>
      </c>
      <c r="GT292" t="s">
        <v>1325</v>
      </c>
      <c r="GU292" t="s">
        <v>1310</v>
      </c>
      <c r="GV292" t="s">
        <v>1309</v>
      </c>
      <c r="GW292" t="s">
        <v>1309</v>
      </c>
      <c r="GX292" t="s">
        <v>1309</v>
      </c>
      <c r="GY292" t="s">
        <v>1309</v>
      </c>
      <c r="GZ292" t="s">
        <v>1309</v>
      </c>
      <c r="HA292" t="s">
        <v>1309</v>
      </c>
      <c r="HB292" t="s">
        <v>1309</v>
      </c>
      <c r="HC292" t="s">
        <v>1309</v>
      </c>
      <c r="HD292" t="s">
        <v>1309</v>
      </c>
      <c r="HE292" t="s">
        <v>1309</v>
      </c>
      <c r="HF292" t="s">
        <v>1309</v>
      </c>
      <c r="HH292" t="s">
        <v>1326</v>
      </c>
      <c r="HI292" t="s">
        <v>1326</v>
      </c>
      <c r="HJ292" t="s">
        <v>1326</v>
      </c>
      <c r="HK292" t="s">
        <v>1308</v>
      </c>
      <c r="HL292" t="s">
        <v>1364</v>
      </c>
      <c r="HM292" t="s">
        <v>1326</v>
      </c>
      <c r="IA292" t="s">
        <v>1319</v>
      </c>
      <c r="IB292" t="s">
        <v>1392</v>
      </c>
      <c r="IC292" t="s">
        <v>1309</v>
      </c>
      <c r="ID292" t="s">
        <v>1309</v>
      </c>
      <c r="IE292" t="s">
        <v>1309</v>
      </c>
      <c r="IF292" t="s">
        <v>1309</v>
      </c>
      <c r="IG292" t="s">
        <v>1309</v>
      </c>
      <c r="IH292" t="s">
        <v>1309</v>
      </c>
      <c r="II292" t="s">
        <v>1309</v>
      </c>
      <c r="IJ292" t="s">
        <v>1309</v>
      </c>
      <c r="IK292" t="s">
        <v>1310</v>
      </c>
      <c r="IL292" t="s">
        <v>1309</v>
      </c>
      <c r="IM292" t="s">
        <v>1309</v>
      </c>
      <c r="IN292" t="s">
        <v>1309</v>
      </c>
      <c r="IO292" t="s">
        <v>1309</v>
      </c>
      <c r="IQ292" t="s">
        <v>1330</v>
      </c>
      <c r="IS292" t="s">
        <v>1316</v>
      </c>
      <c r="JF292" t="s">
        <v>1316</v>
      </c>
      <c r="JG292" t="s">
        <v>1492</v>
      </c>
      <c r="JH292" t="s">
        <v>1309</v>
      </c>
      <c r="JI292" t="s">
        <v>1310</v>
      </c>
      <c r="JJ292" t="s">
        <v>1309</v>
      </c>
      <c r="JK292" t="s">
        <v>1310</v>
      </c>
      <c r="JL292" t="s">
        <v>1309</v>
      </c>
      <c r="JM292" t="s">
        <v>1309</v>
      </c>
      <c r="JN292" t="s">
        <v>1309</v>
      </c>
      <c r="JO292" t="s">
        <v>1309</v>
      </c>
      <c r="JQ292" s="92" t="s">
        <v>1333</v>
      </c>
      <c r="JR292" s="92" t="s">
        <v>1334</v>
      </c>
      <c r="JS292" s="92">
        <v>48</v>
      </c>
      <c r="JT292" s="92" t="s">
        <v>1319</v>
      </c>
      <c r="JU292" s="92" t="s">
        <v>1335</v>
      </c>
      <c r="JV292" s="92" t="s">
        <v>1336</v>
      </c>
      <c r="JW292" s="92" t="s">
        <v>1296</v>
      </c>
      <c r="JX292" s="92" t="s">
        <v>71</v>
      </c>
      <c r="JY292" s="92" t="s">
        <v>5549</v>
      </c>
      <c r="JZ292" s="92" t="s">
        <v>1337</v>
      </c>
      <c r="KA292" s="92" t="s">
        <v>4845</v>
      </c>
      <c r="KB292" s="92" t="s">
        <v>1338</v>
      </c>
      <c r="KC292" s="92" t="s">
        <v>109</v>
      </c>
      <c r="KD292" s="92" t="s">
        <v>4844</v>
      </c>
      <c r="KE292" s="92" t="s">
        <v>1371</v>
      </c>
      <c r="KF292" s="92">
        <v>1400</v>
      </c>
      <c r="KG292" s="92" t="s">
        <v>4438</v>
      </c>
      <c r="KH292" s="92" t="s">
        <v>192</v>
      </c>
      <c r="KI292" s="92" t="s">
        <v>192</v>
      </c>
      <c r="KJ292" s="92" t="s">
        <v>192</v>
      </c>
      <c r="KK292" s="92" t="s">
        <v>192</v>
      </c>
      <c r="KL292" s="92" t="s">
        <v>1440</v>
      </c>
      <c r="KM292" s="92">
        <v>1600</v>
      </c>
      <c r="KN292" s="92" t="s">
        <v>4438</v>
      </c>
      <c r="KO292" s="92" t="s">
        <v>1440</v>
      </c>
      <c r="KP292" s="92" t="s">
        <v>1342</v>
      </c>
      <c r="KQ292" s="92" t="s">
        <v>192</v>
      </c>
      <c r="KR292" s="92">
        <v>36</v>
      </c>
      <c r="KS292" s="92" t="s">
        <v>1345</v>
      </c>
      <c r="KT292" s="92" t="s">
        <v>1402</v>
      </c>
      <c r="KU292" s="92">
        <v>44</v>
      </c>
      <c r="KV292" s="92" t="s">
        <v>1441</v>
      </c>
      <c r="KW292" s="92" t="s">
        <v>1402</v>
      </c>
      <c r="KX292" s="92" t="s">
        <v>1346</v>
      </c>
      <c r="KY292" s="92" t="s">
        <v>1347</v>
      </c>
      <c r="KZ292" s="92" t="s">
        <v>5795</v>
      </c>
      <c r="LA292" s="92" t="s">
        <v>109</v>
      </c>
      <c r="LB292" s="92" t="s">
        <v>109</v>
      </c>
      <c r="LC292" s="92" t="s">
        <v>4438</v>
      </c>
      <c r="LD292" s="92" t="s">
        <v>4438</v>
      </c>
      <c r="LE292" s="92" t="s">
        <v>192</v>
      </c>
      <c r="LF292" s="92" t="s">
        <v>192</v>
      </c>
    </row>
    <row r="293" spans="1:318" x14ac:dyDescent="0.25">
      <c r="A293" t="s">
        <v>2597</v>
      </c>
      <c r="B293" t="s">
        <v>2598</v>
      </c>
      <c r="C293" t="s">
        <v>1304</v>
      </c>
      <c r="D293" t="s">
        <v>1305</v>
      </c>
      <c r="E293" t="s">
        <v>1306</v>
      </c>
      <c r="G293" t="s">
        <v>1307</v>
      </c>
      <c r="H293">
        <v>1</v>
      </c>
      <c r="J293" t="s">
        <v>1308</v>
      </c>
      <c r="K293" t="s">
        <v>1309</v>
      </c>
      <c r="L293" t="s">
        <v>1309</v>
      </c>
      <c r="M293" t="s">
        <v>1309</v>
      </c>
      <c r="N293" t="s">
        <v>1309</v>
      </c>
      <c r="O293" t="s">
        <v>1309</v>
      </c>
      <c r="P293" t="s">
        <v>1309</v>
      </c>
      <c r="Q293" t="s">
        <v>1310</v>
      </c>
      <c r="R293" t="s">
        <v>1309</v>
      </c>
      <c r="U293" t="s">
        <v>1312</v>
      </c>
      <c r="V293" t="s">
        <v>1312</v>
      </c>
      <c r="W293" t="s">
        <v>1312</v>
      </c>
      <c r="X293" t="s">
        <v>1312</v>
      </c>
      <c r="Y293" t="s">
        <v>1312</v>
      </c>
      <c r="Z293" t="s">
        <v>1312</v>
      </c>
      <c r="AC293">
        <v>1</v>
      </c>
      <c r="AD293">
        <v>8000</v>
      </c>
      <c r="AE293">
        <v>6000</v>
      </c>
      <c r="AF293" t="s">
        <v>1313</v>
      </c>
      <c r="AH293" t="s">
        <v>1383</v>
      </c>
      <c r="AJ293" t="s">
        <v>1315</v>
      </c>
      <c r="AL293" t="s">
        <v>1316</v>
      </c>
      <c r="BS293" t="s">
        <v>1307</v>
      </c>
      <c r="CE293" t="s">
        <v>2376</v>
      </c>
      <c r="CF293" t="s">
        <v>1309</v>
      </c>
      <c r="CG293" t="s">
        <v>1309</v>
      </c>
      <c r="CH293" t="s">
        <v>1309</v>
      </c>
      <c r="CI293" t="s">
        <v>1309</v>
      </c>
      <c r="CJ293" t="s">
        <v>1309</v>
      </c>
      <c r="CK293" t="s">
        <v>1309</v>
      </c>
      <c r="CL293" t="s">
        <v>1309</v>
      </c>
      <c r="CM293" t="s">
        <v>1309</v>
      </c>
      <c r="CN293" t="s">
        <v>1309</v>
      </c>
      <c r="CO293" t="s">
        <v>1310</v>
      </c>
      <c r="CP293" t="s">
        <v>1309</v>
      </c>
      <c r="CQ293" t="s">
        <v>1309</v>
      </c>
      <c r="CR293" t="s">
        <v>1309</v>
      </c>
      <c r="CT293" t="s">
        <v>4434</v>
      </c>
      <c r="CV293" t="s">
        <v>1308</v>
      </c>
      <c r="CW293" t="s">
        <v>1310</v>
      </c>
      <c r="CX293" t="s">
        <v>1309</v>
      </c>
      <c r="CY293" t="s">
        <v>1309</v>
      </c>
      <c r="CZ293" t="s">
        <v>1309</v>
      </c>
      <c r="DA293" t="s">
        <v>1309</v>
      </c>
      <c r="DB293" t="s">
        <v>1309</v>
      </c>
      <c r="DC293" t="s">
        <v>1309</v>
      </c>
      <c r="DE293" t="s">
        <v>1358</v>
      </c>
      <c r="DG293">
        <v>2000</v>
      </c>
      <c r="DI293">
        <v>300</v>
      </c>
      <c r="DJ293" t="s">
        <v>1358</v>
      </c>
      <c r="DK293">
        <v>2500</v>
      </c>
      <c r="DM293">
        <v>300</v>
      </c>
      <c r="DN293" t="s">
        <v>1320</v>
      </c>
      <c r="DO293" t="s">
        <v>1310</v>
      </c>
      <c r="DP293" t="s">
        <v>1309</v>
      </c>
      <c r="DQ293" t="s">
        <v>1309</v>
      </c>
      <c r="DR293" t="s">
        <v>1309</v>
      </c>
      <c r="DS293" t="s">
        <v>1309</v>
      </c>
      <c r="DT293" t="s">
        <v>1310</v>
      </c>
      <c r="DU293" t="s">
        <v>1309</v>
      </c>
      <c r="DV293" t="s">
        <v>1309</v>
      </c>
      <c r="DW293" t="s">
        <v>1309</v>
      </c>
      <c r="DY293" t="s">
        <v>1446</v>
      </c>
      <c r="DZ293">
        <v>400</v>
      </c>
      <c r="EA293" t="s">
        <v>1386</v>
      </c>
      <c r="EC293" t="s">
        <v>1474</v>
      </c>
      <c r="ED293">
        <v>800</v>
      </c>
      <c r="EE293" t="s">
        <v>1386</v>
      </c>
      <c r="EG293" t="s">
        <v>5356</v>
      </c>
      <c r="EI293" t="s">
        <v>1307</v>
      </c>
      <c r="ET293" t="s">
        <v>1307</v>
      </c>
      <c r="EV293" t="s">
        <v>1319</v>
      </c>
      <c r="EW293" t="s">
        <v>1361</v>
      </c>
      <c r="EX293" t="s">
        <v>1319</v>
      </c>
      <c r="EY293" t="s">
        <v>1319</v>
      </c>
      <c r="FA293" t="s">
        <v>2599</v>
      </c>
      <c r="FB293" t="s">
        <v>1310</v>
      </c>
      <c r="FC293" t="s">
        <v>1309</v>
      </c>
      <c r="FD293" t="s">
        <v>1310</v>
      </c>
      <c r="FE293" t="s">
        <v>1309</v>
      </c>
      <c r="FF293" t="s">
        <v>1309</v>
      </c>
      <c r="FG293" t="s">
        <v>1309</v>
      </c>
      <c r="FH293" t="s">
        <v>1309</v>
      </c>
      <c r="FI293" t="s">
        <v>1310</v>
      </c>
      <c r="FJ293" t="s">
        <v>1309</v>
      </c>
      <c r="FK293" t="s">
        <v>1309</v>
      </c>
      <c r="FL293" t="s">
        <v>1310</v>
      </c>
      <c r="FM293" t="s">
        <v>1309</v>
      </c>
      <c r="FN293" t="s">
        <v>1309</v>
      </c>
      <c r="FO293" t="s">
        <v>1309</v>
      </c>
      <c r="FP293" t="s">
        <v>1309</v>
      </c>
      <c r="FQ293" t="s">
        <v>1309</v>
      </c>
      <c r="FR293" t="s">
        <v>1309</v>
      </c>
      <c r="FT293" t="s">
        <v>1307</v>
      </c>
      <c r="GI293" t="s">
        <v>1324</v>
      </c>
      <c r="GJ293" t="s">
        <v>1324</v>
      </c>
      <c r="GT293" t="s">
        <v>1325</v>
      </c>
      <c r="GU293" t="s">
        <v>1310</v>
      </c>
      <c r="GV293" t="s">
        <v>1309</v>
      </c>
      <c r="GW293" t="s">
        <v>1309</v>
      </c>
      <c r="GX293" t="s">
        <v>1309</v>
      </c>
      <c r="GY293" t="s">
        <v>1309</v>
      </c>
      <c r="GZ293" t="s">
        <v>1309</v>
      </c>
      <c r="HA293" t="s">
        <v>1309</v>
      </c>
      <c r="HB293" t="s">
        <v>1309</v>
      </c>
      <c r="HC293" t="s">
        <v>1309</v>
      </c>
      <c r="HD293" t="s">
        <v>1309</v>
      </c>
      <c r="HE293" t="s">
        <v>1309</v>
      </c>
      <c r="HF293" t="s">
        <v>1309</v>
      </c>
      <c r="HH293" t="s">
        <v>1390</v>
      </c>
      <c r="HI293" t="s">
        <v>1390</v>
      </c>
      <c r="HJ293" t="s">
        <v>1390</v>
      </c>
      <c r="HK293" t="s">
        <v>1327</v>
      </c>
      <c r="HL293" t="s">
        <v>1364</v>
      </c>
      <c r="HM293" t="s">
        <v>1390</v>
      </c>
      <c r="IA293" t="s">
        <v>1319</v>
      </c>
      <c r="IB293" t="s">
        <v>1579</v>
      </c>
      <c r="IC293" t="s">
        <v>1309</v>
      </c>
      <c r="ID293" t="s">
        <v>1309</v>
      </c>
      <c r="IE293" t="s">
        <v>1309</v>
      </c>
      <c r="IF293" t="s">
        <v>1309</v>
      </c>
      <c r="IG293" t="s">
        <v>1310</v>
      </c>
      <c r="IH293" t="s">
        <v>1309</v>
      </c>
      <c r="II293" t="s">
        <v>1309</v>
      </c>
      <c r="IJ293" t="s">
        <v>1309</v>
      </c>
      <c r="IK293" t="s">
        <v>1310</v>
      </c>
      <c r="IL293" t="s">
        <v>1309</v>
      </c>
      <c r="IM293" t="s">
        <v>1309</v>
      </c>
      <c r="IN293" t="s">
        <v>1309</v>
      </c>
      <c r="IO293" t="s">
        <v>1309</v>
      </c>
      <c r="IQ293" t="s">
        <v>1308</v>
      </c>
      <c r="IS293" t="s">
        <v>1316</v>
      </c>
      <c r="JF293" t="s">
        <v>1316</v>
      </c>
      <c r="JG293" t="s">
        <v>1523</v>
      </c>
      <c r="JH293" t="s">
        <v>1309</v>
      </c>
      <c r="JI293" t="s">
        <v>1309</v>
      </c>
      <c r="JJ293" t="s">
        <v>1309</v>
      </c>
      <c r="JK293" t="s">
        <v>1310</v>
      </c>
      <c r="JL293" t="s">
        <v>1309</v>
      </c>
      <c r="JM293" t="s">
        <v>1309</v>
      </c>
      <c r="JN293" t="s">
        <v>1309</v>
      </c>
      <c r="JO293" t="s">
        <v>1309</v>
      </c>
      <c r="JQ293" s="92" t="s">
        <v>1333</v>
      </c>
      <c r="JR293" s="92" t="s">
        <v>1334</v>
      </c>
      <c r="JS293" s="92">
        <v>34</v>
      </c>
      <c r="JT293" s="92" t="s">
        <v>1319</v>
      </c>
      <c r="JU293" s="92" t="s">
        <v>1335</v>
      </c>
      <c r="JV293" s="92" t="s">
        <v>1336</v>
      </c>
      <c r="JW293" s="92" t="s">
        <v>1296</v>
      </c>
      <c r="JX293" s="92" t="s">
        <v>71</v>
      </c>
      <c r="JY293" s="92" t="s">
        <v>5549</v>
      </c>
      <c r="JZ293" s="92" t="s">
        <v>1398</v>
      </c>
      <c r="KA293" s="92" t="s">
        <v>4844</v>
      </c>
      <c r="KB293" s="92" t="s">
        <v>1338</v>
      </c>
      <c r="KC293" s="92" t="s">
        <v>109</v>
      </c>
      <c r="KD293" s="92" t="s">
        <v>4844</v>
      </c>
      <c r="KE293" s="92" t="s">
        <v>1424</v>
      </c>
      <c r="KF293" s="92">
        <v>2300</v>
      </c>
      <c r="KG293" s="92" t="s">
        <v>4439</v>
      </c>
      <c r="KH293" s="92" t="s">
        <v>192</v>
      </c>
      <c r="KI293" s="92" t="s">
        <v>109</v>
      </c>
      <c r="KJ293" s="92" t="s">
        <v>192</v>
      </c>
      <c r="KK293" s="92" t="s">
        <v>109</v>
      </c>
      <c r="KL293" s="92" t="s">
        <v>1425</v>
      </c>
      <c r="KM293" s="92">
        <v>2800</v>
      </c>
      <c r="KN293" s="92" t="s">
        <v>4439</v>
      </c>
      <c r="KO293" s="92" t="s">
        <v>1425</v>
      </c>
      <c r="KP293" s="92" t="s">
        <v>1460</v>
      </c>
      <c r="KQ293" s="92" t="s">
        <v>192</v>
      </c>
      <c r="KR293" s="92">
        <v>17</v>
      </c>
      <c r="KS293" s="92" t="s">
        <v>1343</v>
      </c>
      <c r="KT293" s="92" t="s">
        <v>1402</v>
      </c>
      <c r="KU293" s="92">
        <v>29</v>
      </c>
      <c r="KV293" s="92" t="s">
        <v>1441</v>
      </c>
      <c r="KW293" s="92" t="s">
        <v>1402</v>
      </c>
      <c r="KX293" s="92" t="s">
        <v>1376</v>
      </c>
      <c r="KY293" s="92" t="s">
        <v>1377</v>
      </c>
      <c r="KZ293" s="92" t="s">
        <v>5795</v>
      </c>
      <c r="LA293" s="92" t="s">
        <v>109</v>
      </c>
      <c r="LB293" s="92" t="s">
        <v>109</v>
      </c>
      <c r="LC293" s="92" t="s">
        <v>4439</v>
      </c>
      <c r="LD293" s="92" t="s">
        <v>4439</v>
      </c>
      <c r="LE293" s="92" t="s">
        <v>192</v>
      </c>
      <c r="LF293" s="92" t="s">
        <v>192</v>
      </c>
    </row>
    <row r="294" spans="1:318" x14ac:dyDescent="0.25">
      <c r="A294" t="s">
        <v>2600</v>
      </c>
      <c r="B294" t="s">
        <v>2601</v>
      </c>
      <c r="C294" t="s">
        <v>1304</v>
      </c>
      <c r="D294" t="s">
        <v>1305</v>
      </c>
      <c r="E294" t="s">
        <v>1306</v>
      </c>
      <c r="G294" t="s">
        <v>1307</v>
      </c>
      <c r="H294">
        <v>4</v>
      </c>
      <c r="I294" t="s">
        <v>1307</v>
      </c>
      <c r="J294" t="s">
        <v>1430</v>
      </c>
      <c r="K294" t="s">
        <v>1309</v>
      </c>
      <c r="L294" t="s">
        <v>1309</v>
      </c>
      <c r="M294" t="s">
        <v>1310</v>
      </c>
      <c r="N294" t="s">
        <v>1309</v>
      </c>
      <c r="O294" t="s">
        <v>1309</v>
      </c>
      <c r="P294" t="s">
        <v>1309</v>
      </c>
      <c r="Q294" t="s">
        <v>1309</v>
      </c>
      <c r="R294" t="s">
        <v>1309</v>
      </c>
      <c r="T294">
        <v>1</v>
      </c>
      <c r="U294" t="s">
        <v>1311</v>
      </c>
      <c r="V294" t="s">
        <v>1312</v>
      </c>
      <c r="W294" t="s">
        <v>1311</v>
      </c>
      <c r="X294" t="s">
        <v>1312</v>
      </c>
      <c r="Y294" t="s">
        <v>1312</v>
      </c>
      <c r="Z294" t="s">
        <v>1312</v>
      </c>
      <c r="AC294">
        <v>3</v>
      </c>
      <c r="AD294">
        <v>12000</v>
      </c>
      <c r="AF294" t="s">
        <v>1313</v>
      </c>
      <c r="AH294" t="s">
        <v>1383</v>
      </c>
      <c r="AJ294" t="s">
        <v>1315</v>
      </c>
      <c r="AL294" t="s">
        <v>1316</v>
      </c>
      <c r="BS294" t="s">
        <v>1307</v>
      </c>
      <c r="CE294" t="s">
        <v>1355</v>
      </c>
      <c r="CF294" t="s">
        <v>1309</v>
      </c>
      <c r="CG294" t="s">
        <v>1309</v>
      </c>
      <c r="CH294" t="s">
        <v>1309</v>
      </c>
      <c r="CI294" t="s">
        <v>1309</v>
      </c>
      <c r="CJ294" t="s">
        <v>1309</v>
      </c>
      <c r="CK294" t="s">
        <v>1309</v>
      </c>
      <c r="CL294" t="s">
        <v>1309</v>
      </c>
      <c r="CM294" t="s">
        <v>1309</v>
      </c>
      <c r="CN294" t="s">
        <v>1310</v>
      </c>
      <c r="CO294" t="s">
        <v>1309</v>
      </c>
      <c r="CP294" t="s">
        <v>1309</v>
      </c>
      <c r="CQ294" t="s">
        <v>1309</v>
      </c>
      <c r="CR294" t="s">
        <v>1309</v>
      </c>
      <c r="CT294" t="s">
        <v>4435</v>
      </c>
      <c r="CV294" t="s">
        <v>1308</v>
      </c>
      <c r="CW294" t="s">
        <v>1310</v>
      </c>
      <c r="CX294" t="s">
        <v>1309</v>
      </c>
      <c r="CY294" t="s">
        <v>1309</v>
      </c>
      <c r="CZ294" t="s">
        <v>1309</v>
      </c>
      <c r="DA294" t="s">
        <v>1309</v>
      </c>
      <c r="DB294" t="s">
        <v>1309</v>
      </c>
      <c r="DC294" t="s">
        <v>1309</v>
      </c>
      <c r="DE294" t="s">
        <v>1358</v>
      </c>
      <c r="DF294" t="s">
        <v>1319</v>
      </c>
      <c r="DG294">
        <v>350</v>
      </c>
      <c r="DH294">
        <v>1200</v>
      </c>
      <c r="DI294">
        <v>700</v>
      </c>
      <c r="DJ294" t="s">
        <v>1358</v>
      </c>
      <c r="DK294">
        <v>400</v>
      </c>
      <c r="DL294">
        <v>2400</v>
      </c>
      <c r="DM294">
        <v>700</v>
      </c>
      <c r="DN294" t="s">
        <v>1489</v>
      </c>
      <c r="DO294" t="s">
        <v>1310</v>
      </c>
      <c r="DP294" t="s">
        <v>1310</v>
      </c>
      <c r="DQ294" t="s">
        <v>1309</v>
      </c>
      <c r="DR294" t="s">
        <v>1309</v>
      </c>
      <c r="DS294" t="s">
        <v>1309</v>
      </c>
      <c r="DT294" t="s">
        <v>1310</v>
      </c>
      <c r="DU294" t="s">
        <v>1309</v>
      </c>
      <c r="DV294" t="s">
        <v>1309</v>
      </c>
      <c r="DW294" t="s">
        <v>1309</v>
      </c>
      <c r="DY294" t="s">
        <v>1456</v>
      </c>
      <c r="DZ294">
        <v>300</v>
      </c>
      <c r="EA294" t="s">
        <v>1319</v>
      </c>
      <c r="EC294" t="s">
        <v>1457</v>
      </c>
      <c r="ED294">
        <v>800</v>
      </c>
      <c r="EE294" t="s">
        <v>1319</v>
      </c>
      <c r="EG294" t="s">
        <v>5357</v>
      </c>
      <c r="ET294" t="s">
        <v>1434</v>
      </c>
      <c r="EV294" t="s">
        <v>1319</v>
      </c>
      <c r="EW294" t="s">
        <v>1409</v>
      </c>
      <c r="EX294" t="s">
        <v>1319</v>
      </c>
      <c r="EY294" t="s">
        <v>1307</v>
      </c>
      <c r="FA294" t="s">
        <v>2136</v>
      </c>
      <c r="FB294" t="s">
        <v>1309</v>
      </c>
      <c r="FC294" t="s">
        <v>1309</v>
      </c>
      <c r="FD294" t="s">
        <v>1309</v>
      </c>
      <c r="FE294" t="s">
        <v>1309</v>
      </c>
      <c r="FF294" t="s">
        <v>1309</v>
      </c>
      <c r="FG294" t="s">
        <v>1309</v>
      </c>
      <c r="FH294" t="s">
        <v>1310</v>
      </c>
      <c r="FI294" t="s">
        <v>1310</v>
      </c>
      <c r="FJ294" t="s">
        <v>1309</v>
      </c>
      <c r="FK294" t="s">
        <v>1309</v>
      </c>
      <c r="FL294" t="s">
        <v>1309</v>
      </c>
      <c r="FM294" t="s">
        <v>1309</v>
      </c>
      <c r="FN294" t="s">
        <v>1310</v>
      </c>
      <c r="FO294" t="s">
        <v>1309</v>
      </c>
      <c r="FP294" t="s">
        <v>1309</v>
      </c>
      <c r="FQ294" t="s">
        <v>1309</v>
      </c>
      <c r="FR294" t="s">
        <v>1309</v>
      </c>
      <c r="FT294" t="s">
        <v>1319</v>
      </c>
      <c r="FU294" t="s">
        <v>2602</v>
      </c>
      <c r="FV294" t="s">
        <v>1310</v>
      </c>
      <c r="FW294" t="s">
        <v>1310</v>
      </c>
      <c r="FX294" t="s">
        <v>1310</v>
      </c>
      <c r="FY294" t="s">
        <v>1309</v>
      </c>
      <c r="FZ294" t="s">
        <v>1309</v>
      </c>
      <c r="GA294" t="s">
        <v>1310</v>
      </c>
      <c r="GB294" t="s">
        <v>1309</v>
      </c>
      <c r="GC294" t="s">
        <v>1310</v>
      </c>
      <c r="GD294" t="s">
        <v>1309</v>
      </c>
      <c r="GE294" t="s">
        <v>1309</v>
      </c>
      <c r="GF294" t="s">
        <v>1309</v>
      </c>
      <c r="GG294" t="s">
        <v>1309</v>
      </c>
      <c r="GI294" t="s">
        <v>1324</v>
      </c>
      <c r="GJ294" t="s">
        <v>1324</v>
      </c>
      <c r="GT294" t="s">
        <v>1325</v>
      </c>
      <c r="GU294" t="s">
        <v>1310</v>
      </c>
      <c r="GV294" t="s">
        <v>1309</v>
      </c>
      <c r="GW294" t="s">
        <v>1309</v>
      </c>
      <c r="GX294" t="s">
        <v>1309</v>
      </c>
      <c r="GY294" t="s">
        <v>1309</v>
      </c>
      <c r="GZ294" t="s">
        <v>1309</v>
      </c>
      <c r="HA294" t="s">
        <v>1309</v>
      </c>
      <c r="HB294" t="s">
        <v>1309</v>
      </c>
      <c r="HC294" t="s">
        <v>1309</v>
      </c>
      <c r="HD294" t="s">
        <v>1309</v>
      </c>
      <c r="HE294" t="s">
        <v>1309</v>
      </c>
      <c r="HF294" t="s">
        <v>1309</v>
      </c>
      <c r="HH294" t="s">
        <v>1390</v>
      </c>
      <c r="HI294" t="s">
        <v>1390</v>
      </c>
      <c r="HJ294" t="s">
        <v>1390</v>
      </c>
      <c r="HK294" t="s">
        <v>1390</v>
      </c>
      <c r="HL294" t="s">
        <v>1437</v>
      </c>
      <c r="HM294" t="s">
        <v>1390</v>
      </c>
      <c r="HN294" t="s">
        <v>1903</v>
      </c>
      <c r="HO294" t="s">
        <v>1310</v>
      </c>
      <c r="HP294" t="s">
        <v>1310</v>
      </c>
      <c r="HQ294" t="s">
        <v>1310</v>
      </c>
      <c r="HR294" t="s">
        <v>1309</v>
      </c>
      <c r="HS294" t="s">
        <v>1310</v>
      </c>
      <c r="HT294" t="s">
        <v>1309</v>
      </c>
      <c r="HU294" t="s">
        <v>1309</v>
      </c>
      <c r="HV294" t="s">
        <v>1309</v>
      </c>
      <c r="HW294" t="s">
        <v>1309</v>
      </c>
      <c r="HX294" t="s">
        <v>1309</v>
      </c>
      <c r="HY294" t="s">
        <v>1309</v>
      </c>
      <c r="IA294" t="s">
        <v>1307</v>
      </c>
      <c r="IQ294" t="s">
        <v>1308</v>
      </c>
      <c r="IS294" t="s">
        <v>1316</v>
      </c>
      <c r="JF294" t="s">
        <v>1316</v>
      </c>
      <c r="JG294" t="s">
        <v>1451</v>
      </c>
      <c r="JH294" t="s">
        <v>1310</v>
      </c>
      <c r="JI294" t="s">
        <v>1309</v>
      </c>
      <c r="JJ294" t="s">
        <v>1309</v>
      </c>
      <c r="JK294" t="s">
        <v>1310</v>
      </c>
      <c r="JL294" t="s">
        <v>1309</v>
      </c>
      <c r="JM294" t="s">
        <v>1309</v>
      </c>
      <c r="JN294" t="s">
        <v>1309</v>
      </c>
      <c r="JO294" t="s">
        <v>1309</v>
      </c>
      <c r="JQ294" s="92" t="s">
        <v>1333</v>
      </c>
      <c r="JR294" s="92" t="s">
        <v>1334</v>
      </c>
      <c r="JS294" s="92">
        <v>59</v>
      </c>
      <c r="JT294" s="92" t="s">
        <v>1319</v>
      </c>
      <c r="JU294" s="92" t="s">
        <v>1335</v>
      </c>
      <c r="JV294" s="92" t="s">
        <v>1336</v>
      </c>
      <c r="JW294" s="92" t="s">
        <v>1296</v>
      </c>
      <c r="JX294" s="92" t="s">
        <v>71</v>
      </c>
      <c r="JY294" s="92" t="s">
        <v>5549</v>
      </c>
      <c r="JZ294" s="92" t="s">
        <v>1337</v>
      </c>
      <c r="KA294" s="92" t="s">
        <v>4845</v>
      </c>
      <c r="KB294" s="92" t="s">
        <v>1439</v>
      </c>
      <c r="KC294" s="92" t="s">
        <v>109</v>
      </c>
      <c r="KD294" s="92" t="s">
        <v>4848</v>
      </c>
      <c r="KE294" s="92" t="s">
        <v>1371</v>
      </c>
      <c r="KF294" s="92">
        <v>2250</v>
      </c>
      <c r="KG294" s="92" t="s">
        <v>4438</v>
      </c>
      <c r="KH294" s="92" t="s">
        <v>192</v>
      </c>
      <c r="KI294" s="92" t="s">
        <v>192</v>
      </c>
      <c r="KJ294" s="92" t="s">
        <v>192</v>
      </c>
      <c r="KK294" s="92" t="s">
        <v>192</v>
      </c>
      <c r="KL294" s="92" t="s">
        <v>1425</v>
      </c>
      <c r="KM294" s="92">
        <v>3500</v>
      </c>
      <c r="KN294" s="92" t="s">
        <v>4439</v>
      </c>
      <c r="KO294" s="92" t="s">
        <v>1341</v>
      </c>
      <c r="KP294" s="92" t="s">
        <v>1342</v>
      </c>
      <c r="KQ294" s="92" t="s">
        <v>192</v>
      </c>
      <c r="KR294" s="92">
        <v>13</v>
      </c>
      <c r="KS294" s="92" t="s">
        <v>1343</v>
      </c>
      <c r="KT294" s="92" t="s">
        <v>1344</v>
      </c>
      <c r="KU294" s="92">
        <v>23</v>
      </c>
      <c r="KV294" s="92" t="s">
        <v>1441</v>
      </c>
      <c r="KW294" s="92" t="s">
        <v>1344</v>
      </c>
      <c r="KX294" s="92" t="s">
        <v>1376</v>
      </c>
      <c r="KY294" s="92" t="s">
        <v>1377</v>
      </c>
      <c r="KZ294" s="92" t="s">
        <v>5795</v>
      </c>
      <c r="LA294" s="92" t="s">
        <v>109</v>
      </c>
      <c r="LB294" s="92" t="s">
        <v>109</v>
      </c>
      <c r="LC294" s="92" t="s">
        <v>5566</v>
      </c>
      <c r="LD294" s="92" t="s">
        <v>5566</v>
      </c>
      <c r="LE294" s="92"/>
      <c r="LF294" s="92"/>
    </row>
    <row r="295" spans="1:318" x14ac:dyDescent="0.25">
      <c r="A295" t="s">
        <v>2603</v>
      </c>
      <c r="B295" t="s">
        <v>2604</v>
      </c>
      <c r="C295" t="s">
        <v>1304</v>
      </c>
      <c r="D295" t="s">
        <v>1305</v>
      </c>
      <c r="E295" t="s">
        <v>1306</v>
      </c>
      <c r="G295" t="s">
        <v>1307</v>
      </c>
      <c r="H295">
        <v>2</v>
      </c>
      <c r="I295" t="s">
        <v>1307</v>
      </c>
      <c r="J295" t="s">
        <v>1430</v>
      </c>
      <c r="K295" t="s">
        <v>1309</v>
      </c>
      <c r="L295" t="s">
        <v>1309</v>
      </c>
      <c r="M295" t="s">
        <v>1310</v>
      </c>
      <c r="N295" t="s">
        <v>1309</v>
      </c>
      <c r="O295" t="s">
        <v>1309</v>
      </c>
      <c r="P295" t="s">
        <v>1309</v>
      </c>
      <c r="Q295" t="s">
        <v>1309</v>
      </c>
      <c r="R295" t="s">
        <v>1309</v>
      </c>
      <c r="T295">
        <v>2</v>
      </c>
      <c r="U295" t="s">
        <v>1311</v>
      </c>
      <c r="V295" t="s">
        <v>1312</v>
      </c>
      <c r="W295" t="s">
        <v>1311</v>
      </c>
      <c r="X295" t="s">
        <v>1312</v>
      </c>
      <c r="Y295" t="s">
        <v>1312</v>
      </c>
      <c r="Z295" t="s">
        <v>1312</v>
      </c>
      <c r="AC295">
        <v>2</v>
      </c>
      <c r="AD295">
        <v>6000</v>
      </c>
      <c r="AE295">
        <v>6000</v>
      </c>
      <c r="AF295" t="s">
        <v>1313</v>
      </c>
      <c r="AH295" t="s">
        <v>1314</v>
      </c>
      <c r="AJ295" t="s">
        <v>1353</v>
      </c>
      <c r="AL295" t="s">
        <v>1316</v>
      </c>
      <c r="BA295" t="s">
        <v>1316</v>
      </c>
      <c r="BS295" t="s">
        <v>1307</v>
      </c>
      <c r="CE295" t="s">
        <v>2605</v>
      </c>
      <c r="CF295" t="s">
        <v>1309</v>
      </c>
      <c r="CG295" t="s">
        <v>1309</v>
      </c>
      <c r="CH295" t="s">
        <v>1309</v>
      </c>
      <c r="CI295" t="s">
        <v>1309</v>
      </c>
      <c r="CJ295" t="s">
        <v>1310</v>
      </c>
      <c r="CK295" t="s">
        <v>1310</v>
      </c>
      <c r="CL295" t="s">
        <v>1309</v>
      </c>
      <c r="CM295" t="s">
        <v>1309</v>
      </c>
      <c r="CN295" t="s">
        <v>1310</v>
      </c>
      <c r="CO295" t="s">
        <v>1309</v>
      </c>
      <c r="CP295" t="s">
        <v>1309</v>
      </c>
      <c r="CQ295" t="s">
        <v>1309</v>
      </c>
      <c r="CR295" t="s">
        <v>1309</v>
      </c>
      <c r="CT295" t="s">
        <v>4434</v>
      </c>
      <c r="CV295" t="s">
        <v>1308</v>
      </c>
      <c r="CW295" t="s">
        <v>1310</v>
      </c>
      <c r="CX295" t="s">
        <v>1309</v>
      </c>
      <c r="CY295" t="s">
        <v>1309</v>
      </c>
      <c r="CZ295" t="s">
        <v>1309</v>
      </c>
      <c r="DA295" t="s">
        <v>1309</v>
      </c>
      <c r="DB295" t="s">
        <v>1309</v>
      </c>
      <c r="DC295" t="s">
        <v>1309</v>
      </c>
      <c r="DE295" t="s">
        <v>1358</v>
      </c>
      <c r="DG295">
        <v>1100</v>
      </c>
      <c r="DI295">
        <v>450</v>
      </c>
      <c r="DJ295" t="s">
        <v>1358</v>
      </c>
      <c r="DK295">
        <v>1700</v>
      </c>
      <c r="DM295">
        <v>500</v>
      </c>
      <c r="DN295" t="s">
        <v>1320</v>
      </c>
      <c r="DO295" t="s">
        <v>1310</v>
      </c>
      <c r="DP295" t="s">
        <v>1309</v>
      </c>
      <c r="DQ295" t="s">
        <v>1309</v>
      </c>
      <c r="DR295" t="s">
        <v>1309</v>
      </c>
      <c r="DS295" t="s">
        <v>1309</v>
      </c>
      <c r="DT295" t="s">
        <v>1310</v>
      </c>
      <c r="DU295" t="s">
        <v>1309</v>
      </c>
      <c r="DV295" t="s">
        <v>1309</v>
      </c>
      <c r="DW295" t="s">
        <v>1309</v>
      </c>
      <c r="DY295" t="s">
        <v>1456</v>
      </c>
      <c r="DZ295">
        <v>500</v>
      </c>
      <c r="EA295" t="s">
        <v>1319</v>
      </c>
      <c r="EC295" t="s">
        <v>1457</v>
      </c>
      <c r="ED295">
        <v>1000</v>
      </c>
      <c r="EE295" t="s">
        <v>1319</v>
      </c>
      <c r="EG295" t="s">
        <v>5356</v>
      </c>
      <c r="EI295" t="s">
        <v>1307</v>
      </c>
      <c r="ET295" t="s">
        <v>1434</v>
      </c>
      <c r="EV295" t="s">
        <v>1319</v>
      </c>
      <c r="EW295" t="s">
        <v>1421</v>
      </c>
      <c r="EX295" t="s">
        <v>1319</v>
      </c>
      <c r="EY295" t="s">
        <v>1307</v>
      </c>
      <c r="FA295" t="s">
        <v>1902</v>
      </c>
      <c r="FB295" t="s">
        <v>1309</v>
      </c>
      <c r="FC295" t="s">
        <v>1309</v>
      </c>
      <c r="FD295" t="s">
        <v>1309</v>
      </c>
      <c r="FE295" t="s">
        <v>1309</v>
      </c>
      <c r="FF295" t="s">
        <v>1309</v>
      </c>
      <c r="FG295" t="s">
        <v>1309</v>
      </c>
      <c r="FH295" t="s">
        <v>1309</v>
      </c>
      <c r="FI295" t="s">
        <v>1310</v>
      </c>
      <c r="FJ295" t="s">
        <v>1309</v>
      </c>
      <c r="FK295" t="s">
        <v>1309</v>
      </c>
      <c r="FL295" t="s">
        <v>1309</v>
      </c>
      <c r="FM295" t="s">
        <v>1309</v>
      </c>
      <c r="FN295" t="s">
        <v>1310</v>
      </c>
      <c r="FO295" t="s">
        <v>1309</v>
      </c>
      <c r="FP295" t="s">
        <v>1309</v>
      </c>
      <c r="FQ295" t="s">
        <v>1309</v>
      </c>
      <c r="FR295" t="s">
        <v>1309</v>
      </c>
      <c r="FT295" t="s">
        <v>1307</v>
      </c>
      <c r="GI295" t="s">
        <v>1324</v>
      </c>
      <c r="GJ295" t="s">
        <v>1324</v>
      </c>
      <c r="GT295" t="s">
        <v>1325</v>
      </c>
      <c r="GU295" t="s">
        <v>1310</v>
      </c>
      <c r="GV295" t="s">
        <v>1309</v>
      </c>
      <c r="GW295" t="s">
        <v>1309</v>
      </c>
      <c r="GX295" t="s">
        <v>1309</v>
      </c>
      <c r="GY295" t="s">
        <v>1309</v>
      </c>
      <c r="GZ295" t="s">
        <v>1309</v>
      </c>
      <c r="HA295" t="s">
        <v>1309</v>
      </c>
      <c r="HB295" t="s">
        <v>1309</v>
      </c>
      <c r="HC295" t="s">
        <v>1309</v>
      </c>
      <c r="HD295" t="s">
        <v>1309</v>
      </c>
      <c r="HE295" t="s">
        <v>1309</v>
      </c>
      <c r="HF295" t="s">
        <v>1309</v>
      </c>
      <c r="HH295" t="s">
        <v>1390</v>
      </c>
      <c r="HI295" t="s">
        <v>1390</v>
      </c>
      <c r="HJ295" t="s">
        <v>1390</v>
      </c>
      <c r="HK295" t="s">
        <v>1390</v>
      </c>
      <c r="HL295" t="s">
        <v>1364</v>
      </c>
      <c r="HM295" t="s">
        <v>1390</v>
      </c>
      <c r="IA295" t="s">
        <v>1307</v>
      </c>
      <c r="IQ295" t="s">
        <v>1330</v>
      </c>
      <c r="IS295" t="s">
        <v>1316</v>
      </c>
      <c r="JF295" t="s">
        <v>1316</v>
      </c>
      <c r="JG295" t="s">
        <v>1393</v>
      </c>
      <c r="JH295" t="s">
        <v>1310</v>
      </c>
      <c r="JI295" t="s">
        <v>1309</v>
      </c>
      <c r="JJ295" t="s">
        <v>1309</v>
      </c>
      <c r="JK295" t="s">
        <v>1309</v>
      </c>
      <c r="JL295" t="s">
        <v>1309</v>
      </c>
      <c r="JM295" t="s">
        <v>1309</v>
      </c>
      <c r="JN295" t="s">
        <v>1309</v>
      </c>
      <c r="JO295" t="s">
        <v>1309</v>
      </c>
      <c r="JQ295" s="92" t="s">
        <v>1333</v>
      </c>
      <c r="JR295" s="92" t="s">
        <v>1334</v>
      </c>
      <c r="JS295" s="92">
        <v>61</v>
      </c>
      <c r="JT295" s="92" t="s">
        <v>1319</v>
      </c>
      <c r="JU295" s="92" t="s">
        <v>1335</v>
      </c>
      <c r="JV295" s="92" t="s">
        <v>1336</v>
      </c>
      <c r="JW295" s="92" t="s">
        <v>1296</v>
      </c>
      <c r="JX295" s="92" t="s">
        <v>71</v>
      </c>
      <c r="JY295" s="92" t="s">
        <v>5549</v>
      </c>
      <c r="JZ295" s="92" t="s">
        <v>1369</v>
      </c>
      <c r="KA295" s="92" t="s">
        <v>4845</v>
      </c>
      <c r="KB295" s="92" t="s">
        <v>1476</v>
      </c>
      <c r="KC295" s="92" t="s">
        <v>109</v>
      </c>
      <c r="KD295" s="92" t="s">
        <v>4847</v>
      </c>
      <c r="KE295" s="92" t="s">
        <v>1424</v>
      </c>
      <c r="KF295" s="92">
        <v>1550</v>
      </c>
      <c r="KG295" s="92" t="s">
        <v>4439</v>
      </c>
      <c r="KH295" s="92" t="s">
        <v>192</v>
      </c>
      <c r="KI295" s="92" t="s">
        <v>109</v>
      </c>
      <c r="KJ295" s="92" t="s">
        <v>192</v>
      </c>
      <c r="KK295" s="92" t="s">
        <v>109</v>
      </c>
      <c r="KL295" s="92" t="s">
        <v>1440</v>
      </c>
      <c r="KM295" s="92">
        <v>2200</v>
      </c>
      <c r="KN295" s="92" t="s">
        <v>4439</v>
      </c>
      <c r="KO295" s="92" t="s">
        <v>1425</v>
      </c>
      <c r="KP295" s="92" t="s">
        <v>1460</v>
      </c>
      <c r="KQ295" s="92" t="s">
        <v>192</v>
      </c>
      <c r="KR295" s="92">
        <v>32</v>
      </c>
      <c r="KS295" s="92" t="s">
        <v>1345</v>
      </c>
      <c r="KT295" s="92" t="s">
        <v>1344</v>
      </c>
      <c r="KU295" s="92">
        <v>45</v>
      </c>
      <c r="KV295" s="92" t="s">
        <v>1461</v>
      </c>
      <c r="KW295" s="92" t="s">
        <v>1344</v>
      </c>
      <c r="KX295" s="92" t="s">
        <v>1376</v>
      </c>
      <c r="KY295" s="92" t="s">
        <v>1377</v>
      </c>
      <c r="KZ295" s="92" t="s">
        <v>5795</v>
      </c>
      <c r="LA295" s="92" t="s">
        <v>109</v>
      </c>
      <c r="LB295" s="92" t="s">
        <v>109</v>
      </c>
      <c r="LC295" s="92" t="s">
        <v>4438</v>
      </c>
      <c r="LD295" s="92" t="s">
        <v>4439</v>
      </c>
      <c r="LE295" s="92" t="s">
        <v>192</v>
      </c>
      <c r="LF295" s="92" t="s">
        <v>192</v>
      </c>
    </row>
    <row r="296" spans="1:318" x14ac:dyDescent="0.25">
      <c r="A296" t="s">
        <v>2606</v>
      </c>
      <c r="B296" t="s">
        <v>2607</v>
      </c>
      <c r="C296" t="s">
        <v>1304</v>
      </c>
      <c r="D296" t="s">
        <v>1305</v>
      </c>
      <c r="E296" t="s">
        <v>1306</v>
      </c>
      <c r="G296" t="s">
        <v>1307</v>
      </c>
      <c r="H296">
        <v>1</v>
      </c>
      <c r="J296" t="s">
        <v>1430</v>
      </c>
      <c r="K296" t="s">
        <v>1309</v>
      </c>
      <c r="L296" t="s">
        <v>1309</v>
      </c>
      <c r="M296" t="s">
        <v>1310</v>
      </c>
      <c r="N296" t="s">
        <v>1309</v>
      </c>
      <c r="O296" t="s">
        <v>1309</v>
      </c>
      <c r="P296" t="s">
        <v>1309</v>
      </c>
      <c r="Q296" t="s">
        <v>1309</v>
      </c>
      <c r="R296" t="s">
        <v>1309</v>
      </c>
      <c r="T296">
        <v>1</v>
      </c>
      <c r="U296" t="s">
        <v>1312</v>
      </c>
      <c r="V296" t="s">
        <v>1312</v>
      </c>
      <c r="W296" t="s">
        <v>1312</v>
      </c>
      <c r="X296" t="s">
        <v>1312</v>
      </c>
      <c r="Y296" t="s">
        <v>1312</v>
      </c>
      <c r="Z296" t="s">
        <v>1312</v>
      </c>
      <c r="AC296">
        <v>1</v>
      </c>
      <c r="AD296">
        <v>3000</v>
      </c>
      <c r="AE296">
        <v>2000</v>
      </c>
      <c r="AF296" t="s">
        <v>1313</v>
      </c>
      <c r="AH296" t="s">
        <v>1314</v>
      </c>
      <c r="AJ296" t="s">
        <v>1353</v>
      </c>
      <c r="AL296" t="s">
        <v>1354</v>
      </c>
      <c r="BA296" t="s">
        <v>1354</v>
      </c>
      <c r="BS296" t="s">
        <v>1307</v>
      </c>
      <c r="CE296" t="s">
        <v>1355</v>
      </c>
      <c r="CF296" t="s">
        <v>1309</v>
      </c>
      <c r="CG296" t="s">
        <v>1309</v>
      </c>
      <c r="CH296" t="s">
        <v>1309</v>
      </c>
      <c r="CI296" t="s">
        <v>1309</v>
      </c>
      <c r="CJ296" t="s">
        <v>1309</v>
      </c>
      <c r="CK296" t="s">
        <v>1309</v>
      </c>
      <c r="CL296" t="s">
        <v>1309</v>
      </c>
      <c r="CM296" t="s">
        <v>1309</v>
      </c>
      <c r="CN296" t="s">
        <v>1310</v>
      </c>
      <c r="CO296" t="s">
        <v>1309</v>
      </c>
      <c r="CP296" t="s">
        <v>1309</v>
      </c>
      <c r="CQ296" t="s">
        <v>1309</v>
      </c>
      <c r="CR296" t="s">
        <v>1309</v>
      </c>
      <c r="CT296" t="s">
        <v>4435</v>
      </c>
      <c r="CV296" t="s">
        <v>1308</v>
      </c>
      <c r="CW296" t="s">
        <v>1310</v>
      </c>
      <c r="CX296" t="s">
        <v>1309</v>
      </c>
      <c r="CY296" t="s">
        <v>1309</v>
      </c>
      <c r="CZ296" t="s">
        <v>1309</v>
      </c>
      <c r="DA296" t="s">
        <v>1309</v>
      </c>
      <c r="DB296" t="s">
        <v>1309</v>
      </c>
      <c r="DC296" t="s">
        <v>1309</v>
      </c>
      <c r="DE296" t="s">
        <v>1358</v>
      </c>
      <c r="DF296" t="s">
        <v>1307</v>
      </c>
      <c r="DH296">
        <v>700</v>
      </c>
      <c r="DI296">
        <v>100</v>
      </c>
      <c r="DJ296" t="s">
        <v>1358</v>
      </c>
      <c r="DL296">
        <v>1000</v>
      </c>
      <c r="DM296">
        <v>100</v>
      </c>
      <c r="DN296" t="s">
        <v>1320</v>
      </c>
      <c r="DO296" t="s">
        <v>1310</v>
      </c>
      <c r="DP296" t="s">
        <v>1309</v>
      </c>
      <c r="DQ296" t="s">
        <v>1309</v>
      </c>
      <c r="DR296" t="s">
        <v>1309</v>
      </c>
      <c r="DS296" t="s">
        <v>1309</v>
      </c>
      <c r="DT296" t="s">
        <v>1310</v>
      </c>
      <c r="DU296" t="s">
        <v>1309</v>
      </c>
      <c r="DV296" t="s">
        <v>1309</v>
      </c>
      <c r="DW296" t="s">
        <v>1309</v>
      </c>
      <c r="DY296" t="s">
        <v>1696</v>
      </c>
      <c r="DZ296">
        <v>400</v>
      </c>
      <c r="EA296" t="s">
        <v>1386</v>
      </c>
      <c r="EC296" t="s">
        <v>1658</v>
      </c>
      <c r="ED296">
        <v>800</v>
      </c>
      <c r="EE296" t="s">
        <v>1386</v>
      </c>
      <c r="EG296" t="s">
        <v>5356</v>
      </c>
      <c r="EI296" t="s">
        <v>1307</v>
      </c>
      <c r="ET296" t="s">
        <v>1434</v>
      </c>
      <c r="EV296" t="s">
        <v>1319</v>
      </c>
      <c r="EW296" t="s">
        <v>1529</v>
      </c>
      <c r="EX296" t="s">
        <v>1319</v>
      </c>
      <c r="FA296" t="s">
        <v>1924</v>
      </c>
      <c r="FB296" t="s">
        <v>1309</v>
      </c>
      <c r="FC296" t="s">
        <v>1309</v>
      </c>
      <c r="FD296" t="s">
        <v>1309</v>
      </c>
      <c r="FE296" t="s">
        <v>1309</v>
      </c>
      <c r="FF296" t="s">
        <v>1309</v>
      </c>
      <c r="FG296" t="s">
        <v>1310</v>
      </c>
      <c r="FH296" t="s">
        <v>1309</v>
      </c>
      <c r="FI296" t="s">
        <v>1310</v>
      </c>
      <c r="FJ296" t="s">
        <v>1309</v>
      </c>
      <c r="FK296" t="s">
        <v>1309</v>
      </c>
      <c r="FL296" t="s">
        <v>1309</v>
      </c>
      <c r="FM296" t="s">
        <v>1309</v>
      </c>
      <c r="FN296" t="s">
        <v>1309</v>
      </c>
      <c r="FO296" t="s">
        <v>1309</v>
      </c>
      <c r="FP296" t="s">
        <v>1309</v>
      </c>
      <c r="FQ296" t="s">
        <v>1309</v>
      </c>
      <c r="FR296" t="s">
        <v>1309</v>
      </c>
      <c r="FT296" t="s">
        <v>1319</v>
      </c>
      <c r="FU296" t="s">
        <v>1649</v>
      </c>
      <c r="FV296" t="s">
        <v>1310</v>
      </c>
      <c r="FW296" t="s">
        <v>1310</v>
      </c>
      <c r="FX296" t="s">
        <v>1309</v>
      </c>
      <c r="FY296" t="s">
        <v>1309</v>
      </c>
      <c r="FZ296" t="s">
        <v>1309</v>
      </c>
      <c r="GA296" t="s">
        <v>1309</v>
      </c>
      <c r="GB296" t="s">
        <v>1309</v>
      </c>
      <c r="GC296" t="s">
        <v>1309</v>
      </c>
      <c r="GD296" t="s">
        <v>1309</v>
      </c>
      <c r="GE296" t="s">
        <v>1309</v>
      </c>
      <c r="GF296" t="s">
        <v>1309</v>
      </c>
      <c r="GG296" t="s">
        <v>1309</v>
      </c>
      <c r="GI296" t="s">
        <v>1324</v>
      </c>
      <c r="GJ296" t="s">
        <v>1324</v>
      </c>
      <c r="GT296" t="s">
        <v>1325</v>
      </c>
      <c r="GU296" t="s">
        <v>1310</v>
      </c>
      <c r="GV296" t="s">
        <v>1309</v>
      </c>
      <c r="GW296" t="s">
        <v>1309</v>
      </c>
      <c r="GX296" t="s">
        <v>1309</v>
      </c>
      <c r="GY296" t="s">
        <v>1309</v>
      </c>
      <c r="GZ296" t="s">
        <v>1309</v>
      </c>
      <c r="HA296" t="s">
        <v>1309</v>
      </c>
      <c r="HB296" t="s">
        <v>1309</v>
      </c>
      <c r="HC296" t="s">
        <v>1309</v>
      </c>
      <c r="HD296" t="s">
        <v>1309</v>
      </c>
      <c r="HE296" t="s">
        <v>1309</v>
      </c>
      <c r="HF296" t="s">
        <v>1309</v>
      </c>
      <c r="HH296" t="s">
        <v>1390</v>
      </c>
      <c r="HI296" t="s">
        <v>1390</v>
      </c>
      <c r="HJ296" t="s">
        <v>1390</v>
      </c>
      <c r="HK296" t="s">
        <v>1327</v>
      </c>
      <c r="HL296" t="s">
        <v>1364</v>
      </c>
      <c r="HM296" t="s">
        <v>1390</v>
      </c>
      <c r="IA296" t="s">
        <v>1307</v>
      </c>
      <c r="IQ296" t="s">
        <v>1308</v>
      </c>
      <c r="IS296" t="s">
        <v>1316</v>
      </c>
      <c r="JF296" t="s">
        <v>1316</v>
      </c>
      <c r="JG296" t="s">
        <v>1523</v>
      </c>
      <c r="JH296" t="s">
        <v>1309</v>
      </c>
      <c r="JI296" t="s">
        <v>1309</v>
      </c>
      <c r="JJ296" t="s">
        <v>1309</v>
      </c>
      <c r="JK296" t="s">
        <v>1310</v>
      </c>
      <c r="JL296" t="s">
        <v>1309</v>
      </c>
      <c r="JM296" t="s">
        <v>1309</v>
      </c>
      <c r="JN296" t="s">
        <v>1309</v>
      </c>
      <c r="JO296" t="s">
        <v>1309</v>
      </c>
      <c r="JQ296" s="92" t="s">
        <v>1333</v>
      </c>
      <c r="JR296" s="92" t="s">
        <v>1334</v>
      </c>
      <c r="JS296" s="92">
        <v>67</v>
      </c>
      <c r="JT296" s="92" t="s">
        <v>1319</v>
      </c>
      <c r="JU296" s="92" t="s">
        <v>1335</v>
      </c>
      <c r="JV296" s="92" t="s">
        <v>1336</v>
      </c>
      <c r="JW296" s="92" t="s">
        <v>1296</v>
      </c>
      <c r="JX296" s="92" t="s">
        <v>71</v>
      </c>
      <c r="JY296" s="92" t="s">
        <v>5549</v>
      </c>
      <c r="JZ296" s="92" t="s">
        <v>1369</v>
      </c>
      <c r="KA296" s="92" t="s">
        <v>4844</v>
      </c>
      <c r="KB296" s="92" t="s">
        <v>1476</v>
      </c>
      <c r="KC296" s="92" t="s">
        <v>109</v>
      </c>
      <c r="KD296" s="92" t="s">
        <v>4844</v>
      </c>
      <c r="KE296" s="92" t="s">
        <v>5560</v>
      </c>
      <c r="KF296" s="92">
        <v>800</v>
      </c>
      <c r="KG296" s="92" t="s">
        <v>4439</v>
      </c>
      <c r="KH296" s="92" t="s">
        <v>109</v>
      </c>
      <c r="KI296" s="92" t="s">
        <v>192</v>
      </c>
      <c r="KJ296" s="92" t="s">
        <v>109</v>
      </c>
      <c r="KK296" s="92" t="s">
        <v>192</v>
      </c>
      <c r="KL296" s="92" t="s">
        <v>1374</v>
      </c>
      <c r="KM296" s="92">
        <v>1100</v>
      </c>
      <c r="KN296" s="92" t="s">
        <v>4439</v>
      </c>
      <c r="KO296" s="92" t="s">
        <v>1440</v>
      </c>
      <c r="KP296" s="92" t="s">
        <v>1342</v>
      </c>
      <c r="KQ296" s="92" t="s">
        <v>109</v>
      </c>
      <c r="KR296" s="92">
        <v>50</v>
      </c>
      <c r="KS296" s="92" t="s">
        <v>1343</v>
      </c>
      <c r="KT296" s="92" t="s">
        <v>1402</v>
      </c>
      <c r="KU296" s="92">
        <v>73</v>
      </c>
      <c r="KV296" s="92" t="s">
        <v>1441</v>
      </c>
      <c r="KW296" s="92" t="s">
        <v>1402</v>
      </c>
      <c r="KX296" s="92" t="s">
        <v>1346</v>
      </c>
      <c r="KY296" s="92" t="s">
        <v>1347</v>
      </c>
      <c r="KZ296" s="92" t="s">
        <v>5795</v>
      </c>
      <c r="LA296" s="92" t="s">
        <v>109</v>
      </c>
      <c r="LB296" s="92" t="s">
        <v>109</v>
      </c>
      <c r="LC296" s="92" t="s">
        <v>4439</v>
      </c>
      <c r="LD296" s="92" t="s">
        <v>4439</v>
      </c>
      <c r="LE296" s="92" t="s">
        <v>109</v>
      </c>
      <c r="LF296" s="92" t="s">
        <v>192</v>
      </c>
    </row>
    <row r="297" spans="1:318" x14ac:dyDescent="0.25">
      <c r="A297" t="s">
        <v>2608</v>
      </c>
      <c r="B297" t="s">
        <v>2609</v>
      </c>
      <c r="C297" t="s">
        <v>1304</v>
      </c>
      <c r="D297" t="s">
        <v>1429</v>
      </c>
      <c r="E297" t="s">
        <v>1306</v>
      </c>
      <c r="G297" t="s">
        <v>1307</v>
      </c>
      <c r="H297">
        <v>1</v>
      </c>
      <c r="J297" t="s">
        <v>1430</v>
      </c>
      <c r="K297" t="s">
        <v>1309</v>
      </c>
      <c r="L297" t="s">
        <v>1309</v>
      </c>
      <c r="M297" t="s">
        <v>1310</v>
      </c>
      <c r="N297" t="s">
        <v>1309</v>
      </c>
      <c r="O297" t="s">
        <v>1309</v>
      </c>
      <c r="P297" t="s">
        <v>1309</v>
      </c>
      <c r="Q297" t="s">
        <v>1309</v>
      </c>
      <c r="R297" t="s">
        <v>1309</v>
      </c>
      <c r="T297">
        <v>1</v>
      </c>
      <c r="U297" t="s">
        <v>1311</v>
      </c>
      <c r="V297" t="s">
        <v>1311</v>
      </c>
      <c r="W297" t="s">
        <v>1311</v>
      </c>
      <c r="X297" t="s">
        <v>1311</v>
      </c>
      <c r="Y297" t="s">
        <v>1311</v>
      </c>
      <c r="Z297" t="s">
        <v>1312</v>
      </c>
      <c r="AC297">
        <v>1</v>
      </c>
      <c r="AD297">
        <v>3000</v>
      </c>
      <c r="AE297">
        <v>4500</v>
      </c>
      <c r="AF297" t="s">
        <v>1313</v>
      </c>
      <c r="AH297" t="s">
        <v>1352</v>
      </c>
      <c r="AJ297" t="s">
        <v>1353</v>
      </c>
      <c r="AL297" t="s">
        <v>1316</v>
      </c>
      <c r="BA297" t="s">
        <v>1316</v>
      </c>
      <c r="BS297" t="s">
        <v>1307</v>
      </c>
      <c r="CE297" t="s">
        <v>1355</v>
      </c>
      <c r="CF297" t="s">
        <v>1309</v>
      </c>
      <c r="CG297" t="s">
        <v>1309</v>
      </c>
      <c r="CH297" t="s">
        <v>1309</v>
      </c>
      <c r="CI297" t="s">
        <v>1309</v>
      </c>
      <c r="CJ297" t="s">
        <v>1309</v>
      </c>
      <c r="CK297" t="s">
        <v>1309</v>
      </c>
      <c r="CL297" t="s">
        <v>1309</v>
      </c>
      <c r="CM297" t="s">
        <v>1309</v>
      </c>
      <c r="CN297" t="s">
        <v>1310</v>
      </c>
      <c r="CO297" t="s">
        <v>1309</v>
      </c>
      <c r="CP297" t="s">
        <v>1309</v>
      </c>
      <c r="CQ297" t="s">
        <v>1309</v>
      </c>
      <c r="CR297" t="s">
        <v>1309</v>
      </c>
      <c r="CT297" t="s">
        <v>4435</v>
      </c>
      <c r="CV297" t="s">
        <v>1308</v>
      </c>
      <c r="CW297" t="s">
        <v>1310</v>
      </c>
      <c r="CX297" t="s">
        <v>1309</v>
      </c>
      <c r="CY297" t="s">
        <v>1309</v>
      </c>
      <c r="CZ297" t="s">
        <v>1309</v>
      </c>
      <c r="DA297" t="s">
        <v>1309</v>
      </c>
      <c r="DB297" t="s">
        <v>1309</v>
      </c>
      <c r="DC297" t="s">
        <v>1309</v>
      </c>
      <c r="DE297" t="s">
        <v>1318</v>
      </c>
      <c r="DF297" t="s">
        <v>1319</v>
      </c>
      <c r="DG297">
        <v>200</v>
      </c>
      <c r="DH297">
        <v>1800</v>
      </c>
      <c r="DI297">
        <v>150</v>
      </c>
      <c r="DJ297" t="s">
        <v>1318</v>
      </c>
      <c r="DK297">
        <v>500</v>
      </c>
      <c r="DL297">
        <v>2200</v>
      </c>
      <c r="DM297">
        <v>350</v>
      </c>
      <c r="DN297" t="s">
        <v>1320</v>
      </c>
      <c r="DO297" t="s">
        <v>1310</v>
      </c>
      <c r="DP297" t="s">
        <v>1309</v>
      </c>
      <c r="DQ297" t="s">
        <v>1309</v>
      </c>
      <c r="DR297" t="s">
        <v>1309</v>
      </c>
      <c r="DS297" t="s">
        <v>1309</v>
      </c>
      <c r="DT297" t="s">
        <v>1310</v>
      </c>
      <c r="DU297" t="s">
        <v>1309</v>
      </c>
      <c r="DV297" t="s">
        <v>1309</v>
      </c>
      <c r="DW297" t="s">
        <v>1309</v>
      </c>
      <c r="DY297" t="s">
        <v>1481</v>
      </c>
      <c r="DZ297">
        <v>500</v>
      </c>
      <c r="EA297" t="s">
        <v>1319</v>
      </c>
      <c r="EC297" t="s">
        <v>1420</v>
      </c>
      <c r="ED297">
        <v>550</v>
      </c>
      <c r="EE297" t="s">
        <v>1319</v>
      </c>
      <c r="EG297" t="s">
        <v>5356</v>
      </c>
      <c r="EI297" t="s">
        <v>1307</v>
      </c>
      <c r="ET297" t="s">
        <v>1307</v>
      </c>
      <c r="EV297" t="s">
        <v>1319</v>
      </c>
      <c r="EW297" t="s">
        <v>1409</v>
      </c>
      <c r="EX297" t="s">
        <v>1319</v>
      </c>
      <c r="EY297" t="s">
        <v>1319</v>
      </c>
      <c r="FA297" t="s">
        <v>2610</v>
      </c>
      <c r="FB297" t="s">
        <v>1309</v>
      </c>
      <c r="FC297" t="s">
        <v>1309</v>
      </c>
      <c r="FD297" t="s">
        <v>1309</v>
      </c>
      <c r="FE297" t="s">
        <v>1309</v>
      </c>
      <c r="FF297" t="s">
        <v>1309</v>
      </c>
      <c r="FG297" t="s">
        <v>1310</v>
      </c>
      <c r="FH297" t="s">
        <v>1309</v>
      </c>
      <c r="FI297" t="s">
        <v>1309</v>
      </c>
      <c r="FJ297" t="s">
        <v>1309</v>
      </c>
      <c r="FK297" t="s">
        <v>1310</v>
      </c>
      <c r="FL297" t="s">
        <v>1309</v>
      </c>
      <c r="FM297" t="s">
        <v>1309</v>
      </c>
      <c r="FN297" t="s">
        <v>1309</v>
      </c>
      <c r="FO297" t="s">
        <v>1309</v>
      </c>
      <c r="FP297" t="s">
        <v>1309</v>
      </c>
      <c r="FQ297" t="s">
        <v>1309</v>
      </c>
      <c r="FR297" t="s">
        <v>1309</v>
      </c>
      <c r="FT297" t="s">
        <v>1319</v>
      </c>
      <c r="FU297" t="s">
        <v>1549</v>
      </c>
      <c r="FV297" t="s">
        <v>1310</v>
      </c>
      <c r="FW297" t="s">
        <v>1310</v>
      </c>
      <c r="FX297" t="s">
        <v>1309</v>
      </c>
      <c r="FY297" t="s">
        <v>1309</v>
      </c>
      <c r="FZ297" t="s">
        <v>1309</v>
      </c>
      <c r="GA297" t="s">
        <v>1309</v>
      </c>
      <c r="GB297" t="s">
        <v>1309</v>
      </c>
      <c r="GC297" t="s">
        <v>1309</v>
      </c>
      <c r="GD297" t="s">
        <v>1309</v>
      </c>
      <c r="GE297" t="s">
        <v>1309</v>
      </c>
      <c r="GF297" t="s">
        <v>1309</v>
      </c>
      <c r="GG297" t="s">
        <v>1309</v>
      </c>
      <c r="GI297" t="s">
        <v>1324</v>
      </c>
      <c r="GJ297" t="s">
        <v>1324</v>
      </c>
      <c r="GT297" t="s">
        <v>1325</v>
      </c>
      <c r="GU297" t="s">
        <v>1310</v>
      </c>
      <c r="GV297" t="s">
        <v>1309</v>
      </c>
      <c r="GW297" t="s">
        <v>1309</v>
      </c>
      <c r="GX297" t="s">
        <v>1309</v>
      </c>
      <c r="GY297" t="s">
        <v>1309</v>
      </c>
      <c r="GZ297" t="s">
        <v>1309</v>
      </c>
      <c r="HA297" t="s">
        <v>1309</v>
      </c>
      <c r="HB297" t="s">
        <v>1309</v>
      </c>
      <c r="HC297" t="s">
        <v>1309</v>
      </c>
      <c r="HD297" t="s">
        <v>1309</v>
      </c>
      <c r="HE297" t="s">
        <v>1309</v>
      </c>
      <c r="HF297" t="s">
        <v>1309</v>
      </c>
      <c r="HH297" t="s">
        <v>1390</v>
      </c>
      <c r="HI297" t="s">
        <v>1390</v>
      </c>
      <c r="HJ297" t="s">
        <v>1390</v>
      </c>
      <c r="HK297" t="s">
        <v>1327</v>
      </c>
      <c r="HL297" t="s">
        <v>1437</v>
      </c>
      <c r="HM297" t="s">
        <v>1390</v>
      </c>
      <c r="HN297" t="s">
        <v>1550</v>
      </c>
      <c r="HO297" t="s">
        <v>1310</v>
      </c>
      <c r="HP297" t="s">
        <v>1309</v>
      </c>
      <c r="HQ297" t="s">
        <v>1309</v>
      </c>
      <c r="HR297" t="s">
        <v>1310</v>
      </c>
      <c r="HS297" t="s">
        <v>1309</v>
      </c>
      <c r="HT297" t="s">
        <v>1309</v>
      </c>
      <c r="HU297" t="s">
        <v>1309</v>
      </c>
      <c r="HV297" t="s">
        <v>1309</v>
      </c>
      <c r="HW297" t="s">
        <v>1309</v>
      </c>
      <c r="HX297" t="s">
        <v>1309</v>
      </c>
      <c r="HY297" t="s">
        <v>1309</v>
      </c>
      <c r="IA297" t="s">
        <v>1319</v>
      </c>
      <c r="IB297" t="s">
        <v>1423</v>
      </c>
      <c r="IC297" t="s">
        <v>1309</v>
      </c>
      <c r="ID297" t="s">
        <v>1309</v>
      </c>
      <c r="IE297" t="s">
        <v>1309</v>
      </c>
      <c r="IF297" t="s">
        <v>1309</v>
      </c>
      <c r="IG297" t="s">
        <v>1310</v>
      </c>
      <c r="IH297" t="s">
        <v>1309</v>
      </c>
      <c r="II297" t="s">
        <v>1309</v>
      </c>
      <c r="IJ297" t="s">
        <v>1309</v>
      </c>
      <c r="IK297" t="s">
        <v>1309</v>
      </c>
      <c r="IL297" t="s">
        <v>1309</v>
      </c>
      <c r="IM297" t="s">
        <v>1309</v>
      </c>
      <c r="IN297" t="s">
        <v>1309</v>
      </c>
      <c r="IO297" t="s">
        <v>1309</v>
      </c>
      <c r="IQ297" t="s">
        <v>1365</v>
      </c>
      <c r="IS297" t="s">
        <v>1316</v>
      </c>
      <c r="JF297" t="s">
        <v>1316</v>
      </c>
      <c r="JG297" t="s">
        <v>1414</v>
      </c>
      <c r="JH297" t="s">
        <v>1309</v>
      </c>
      <c r="JI297" t="s">
        <v>1309</v>
      </c>
      <c r="JJ297" t="s">
        <v>1309</v>
      </c>
      <c r="JK297" t="s">
        <v>1309</v>
      </c>
      <c r="JL297" t="s">
        <v>1309</v>
      </c>
      <c r="JM297" t="s">
        <v>1309</v>
      </c>
      <c r="JN297" t="s">
        <v>1310</v>
      </c>
      <c r="JO297" t="s">
        <v>1309</v>
      </c>
      <c r="JQ297" s="92" t="s">
        <v>1333</v>
      </c>
      <c r="JR297" s="92" t="s">
        <v>1334</v>
      </c>
      <c r="JS297" s="92">
        <v>74</v>
      </c>
      <c r="JT297" s="92" t="s">
        <v>1319</v>
      </c>
      <c r="JU297" s="92" t="s">
        <v>1335</v>
      </c>
      <c r="JV297" s="92" t="s">
        <v>1336</v>
      </c>
      <c r="JW297" s="92" t="s">
        <v>1296</v>
      </c>
      <c r="JX297" s="92" t="s">
        <v>71</v>
      </c>
      <c r="JY297" s="92" t="s">
        <v>5549</v>
      </c>
      <c r="JZ297" s="92" t="s">
        <v>1369</v>
      </c>
      <c r="KA297" s="92" t="s">
        <v>4844</v>
      </c>
      <c r="KB297" s="92" t="s">
        <v>1476</v>
      </c>
      <c r="KC297" s="92" t="s">
        <v>109</v>
      </c>
      <c r="KD297" s="92" t="s">
        <v>4844</v>
      </c>
      <c r="KE297" s="92" t="s">
        <v>5560</v>
      </c>
      <c r="KF297" s="92">
        <v>2150</v>
      </c>
      <c r="KG297" s="92" t="s">
        <v>1400</v>
      </c>
      <c r="KH297" s="92" t="s">
        <v>192</v>
      </c>
      <c r="KI297" s="92" t="s">
        <v>192</v>
      </c>
      <c r="KJ297" s="92" t="s">
        <v>192</v>
      </c>
      <c r="KK297" s="92" t="s">
        <v>192</v>
      </c>
      <c r="KL297" s="92" t="s">
        <v>1425</v>
      </c>
      <c r="KM297" s="92">
        <v>3050</v>
      </c>
      <c r="KN297" s="92" t="s">
        <v>1426</v>
      </c>
      <c r="KO297" s="92" t="s">
        <v>1341</v>
      </c>
      <c r="KP297" s="92" t="s">
        <v>1342</v>
      </c>
      <c r="KQ297" s="92" t="s">
        <v>192</v>
      </c>
      <c r="KR297" s="92">
        <v>23</v>
      </c>
      <c r="KS297" s="92" t="s">
        <v>1345</v>
      </c>
      <c r="KT297" s="92" t="s">
        <v>1344</v>
      </c>
      <c r="KU297" s="92">
        <v>18</v>
      </c>
      <c r="KV297" s="92" t="s">
        <v>1345</v>
      </c>
      <c r="KW297" s="92" t="s">
        <v>1344</v>
      </c>
      <c r="KX297" s="92" t="s">
        <v>1376</v>
      </c>
      <c r="KY297" s="92" t="s">
        <v>1377</v>
      </c>
      <c r="KZ297" s="92" t="s">
        <v>5795</v>
      </c>
      <c r="LA297" s="92" t="s">
        <v>109</v>
      </c>
      <c r="LB297" s="92" t="s">
        <v>109</v>
      </c>
      <c r="LC297" s="92" t="s">
        <v>4439</v>
      </c>
      <c r="LD297" s="92" t="s">
        <v>4439</v>
      </c>
      <c r="LE297" s="92" t="s">
        <v>192</v>
      </c>
      <c r="LF297" s="92" t="s">
        <v>192</v>
      </c>
    </row>
    <row r="298" spans="1:318" x14ac:dyDescent="0.25">
      <c r="A298" t="s">
        <v>2611</v>
      </c>
      <c r="B298" t="s">
        <v>2612</v>
      </c>
      <c r="C298" t="s">
        <v>1304</v>
      </c>
      <c r="D298" t="s">
        <v>1305</v>
      </c>
      <c r="E298" t="s">
        <v>1381</v>
      </c>
      <c r="G298" t="s">
        <v>1319</v>
      </c>
      <c r="H298">
        <v>2</v>
      </c>
      <c r="I298" t="s">
        <v>1358</v>
      </c>
      <c r="J298" t="s">
        <v>2613</v>
      </c>
      <c r="K298" t="s">
        <v>1309</v>
      </c>
      <c r="L298" t="s">
        <v>1309</v>
      </c>
      <c r="M298" t="s">
        <v>1310</v>
      </c>
      <c r="N298" t="s">
        <v>1310</v>
      </c>
      <c r="O298" t="s">
        <v>1310</v>
      </c>
      <c r="P298" t="s">
        <v>1310</v>
      </c>
      <c r="Q298" t="s">
        <v>1309</v>
      </c>
      <c r="R298" t="s">
        <v>1309</v>
      </c>
      <c r="T298">
        <v>1</v>
      </c>
      <c r="U298" t="s">
        <v>1486</v>
      </c>
      <c r="V298" t="s">
        <v>1312</v>
      </c>
      <c r="W298" t="s">
        <v>1311</v>
      </c>
      <c r="X298" t="s">
        <v>1312</v>
      </c>
      <c r="Y298" t="s">
        <v>1311</v>
      </c>
      <c r="Z298" t="s">
        <v>1312</v>
      </c>
      <c r="AA298">
        <v>0</v>
      </c>
      <c r="AC298">
        <v>2</v>
      </c>
      <c r="AD298">
        <v>6000</v>
      </c>
      <c r="AE298">
        <v>3500</v>
      </c>
      <c r="AF298" t="s">
        <v>2222</v>
      </c>
      <c r="AH298" t="s">
        <v>1383</v>
      </c>
      <c r="AJ298" t="s">
        <v>1353</v>
      </c>
      <c r="AL298" t="s">
        <v>1354</v>
      </c>
      <c r="BA298" t="s">
        <v>1354</v>
      </c>
      <c r="BS298" t="s">
        <v>1307</v>
      </c>
      <c r="CE298" t="s">
        <v>1355</v>
      </c>
      <c r="CF298" t="s">
        <v>1309</v>
      </c>
      <c r="CG298" t="s">
        <v>1309</v>
      </c>
      <c r="CH298" t="s">
        <v>1309</v>
      </c>
      <c r="CI298" t="s">
        <v>1309</v>
      </c>
      <c r="CJ298" t="s">
        <v>1309</v>
      </c>
      <c r="CK298" t="s">
        <v>1309</v>
      </c>
      <c r="CL298" t="s">
        <v>1309</v>
      </c>
      <c r="CM298" t="s">
        <v>1309</v>
      </c>
      <c r="CN298" t="s">
        <v>1310</v>
      </c>
      <c r="CO298" t="s">
        <v>1309</v>
      </c>
      <c r="CP298" t="s">
        <v>1309</v>
      </c>
      <c r="CQ298" t="s">
        <v>1309</v>
      </c>
      <c r="CR298" t="s">
        <v>1309</v>
      </c>
      <c r="CT298" t="s">
        <v>4434</v>
      </c>
      <c r="CV298" t="s">
        <v>1308</v>
      </c>
      <c r="CW298" t="s">
        <v>1310</v>
      </c>
      <c r="CX298" t="s">
        <v>1309</v>
      </c>
      <c r="CY298" t="s">
        <v>1309</v>
      </c>
      <c r="CZ298" t="s">
        <v>1309</v>
      </c>
      <c r="DA298" t="s">
        <v>1309</v>
      </c>
      <c r="DB298" t="s">
        <v>1309</v>
      </c>
      <c r="DC298" t="s">
        <v>1309</v>
      </c>
      <c r="DE298" t="s">
        <v>1358</v>
      </c>
      <c r="DG298">
        <v>2000</v>
      </c>
      <c r="DI298">
        <v>300</v>
      </c>
      <c r="DJ298" t="s">
        <v>1358</v>
      </c>
      <c r="DK298">
        <v>2500</v>
      </c>
      <c r="DM298">
        <v>300</v>
      </c>
      <c r="DN298" t="s">
        <v>1584</v>
      </c>
      <c r="DO298" t="s">
        <v>1310</v>
      </c>
      <c r="DP298" t="s">
        <v>1309</v>
      </c>
      <c r="DQ298" t="s">
        <v>1309</v>
      </c>
      <c r="DR298" t="s">
        <v>1309</v>
      </c>
      <c r="DS298" t="s">
        <v>1310</v>
      </c>
      <c r="DT298" t="s">
        <v>1310</v>
      </c>
      <c r="DU298" t="s">
        <v>1309</v>
      </c>
      <c r="DV298" t="s">
        <v>1309</v>
      </c>
      <c r="DW298" t="s">
        <v>1309</v>
      </c>
      <c r="DY298" t="s">
        <v>1490</v>
      </c>
      <c r="DZ298">
        <v>450</v>
      </c>
      <c r="EA298" t="s">
        <v>1319</v>
      </c>
      <c r="EC298" t="s">
        <v>1322</v>
      </c>
      <c r="ED298">
        <v>800</v>
      </c>
      <c r="EE298" t="s">
        <v>1319</v>
      </c>
      <c r="EG298" t="s">
        <v>5356</v>
      </c>
      <c r="EI298" t="s">
        <v>1307</v>
      </c>
      <c r="ET298" t="s">
        <v>1307</v>
      </c>
      <c r="EV298" t="s">
        <v>1307</v>
      </c>
      <c r="EX298" t="s">
        <v>1319</v>
      </c>
      <c r="EY298" t="s">
        <v>1319</v>
      </c>
      <c r="FA298" t="s">
        <v>2002</v>
      </c>
      <c r="FB298" t="s">
        <v>1309</v>
      </c>
      <c r="FC298" t="s">
        <v>1309</v>
      </c>
      <c r="FD298" t="s">
        <v>1310</v>
      </c>
      <c r="FE298" t="s">
        <v>1310</v>
      </c>
      <c r="FF298" t="s">
        <v>1309</v>
      </c>
      <c r="FG298" t="s">
        <v>1309</v>
      </c>
      <c r="FH298" t="s">
        <v>1309</v>
      </c>
      <c r="FI298" t="s">
        <v>1310</v>
      </c>
      <c r="FJ298" t="s">
        <v>1309</v>
      </c>
      <c r="FK298" t="s">
        <v>1309</v>
      </c>
      <c r="FL298" t="s">
        <v>1309</v>
      </c>
      <c r="FM298" t="s">
        <v>1309</v>
      </c>
      <c r="FN298" t="s">
        <v>1309</v>
      </c>
      <c r="FO298" t="s">
        <v>1309</v>
      </c>
      <c r="FP298" t="s">
        <v>1309</v>
      </c>
      <c r="FQ298" t="s">
        <v>1309</v>
      </c>
      <c r="FR298" t="s">
        <v>1309</v>
      </c>
      <c r="FT298" t="s">
        <v>1319</v>
      </c>
      <c r="FU298" t="s">
        <v>1435</v>
      </c>
      <c r="FV298" t="s">
        <v>1310</v>
      </c>
      <c r="FW298" t="s">
        <v>1309</v>
      </c>
      <c r="FX298" t="s">
        <v>1309</v>
      </c>
      <c r="FY298" t="s">
        <v>1309</v>
      </c>
      <c r="FZ298" t="s">
        <v>1309</v>
      </c>
      <c r="GA298" t="s">
        <v>1309</v>
      </c>
      <c r="GB298" t="s">
        <v>1309</v>
      </c>
      <c r="GC298" t="s">
        <v>1309</v>
      </c>
      <c r="GD298" t="s">
        <v>1309</v>
      </c>
      <c r="GE298" t="s">
        <v>1309</v>
      </c>
      <c r="GF298" t="s">
        <v>1309</v>
      </c>
      <c r="GG298" t="s">
        <v>1309</v>
      </c>
      <c r="GI298" t="s">
        <v>1324</v>
      </c>
      <c r="GJ298" t="s">
        <v>1324</v>
      </c>
      <c r="GT298" t="s">
        <v>1325</v>
      </c>
      <c r="GU298" t="s">
        <v>1310</v>
      </c>
      <c r="GV298" t="s">
        <v>1309</v>
      </c>
      <c r="GW298" t="s">
        <v>1309</v>
      </c>
      <c r="GX298" t="s">
        <v>1309</v>
      </c>
      <c r="GY298" t="s">
        <v>1309</v>
      </c>
      <c r="GZ298" t="s">
        <v>1309</v>
      </c>
      <c r="HA298" t="s">
        <v>1309</v>
      </c>
      <c r="HB298" t="s">
        <v>1309</v>
      </c>
      <c r="HC298" t="s">
        <v>1309</v>
      </c>
      <c r="HD298" t="s">
        <v>1309</v>
      </c>
      <c r="HE298" t="s">
        <v>1309</v>
      </c>
      <c r="HF298" t="s">
        <v>1309</v>
      </c>
      <c r="HH298" t="s">
        <v>1363</v>
      </c>
      <c r="HI298" t="s">
        <v>1363</v>
      </c>
      <c r="HJ298" t="s">
        <v>1363</v>
      </c>
      <c r="HK298" t="s">
        <v>1327</v>
      </c>
      <c r="HL298" t="s">
        <v>1328</v>
      </c>
      <c r="HM298" t="s">
        <v>1363</v>
      </c>
      <c r="HN298" t="s">
        <v>1882</v>
      </c>
      <c r="HO298" t="s">
        <v>1309</v>
      </c>
      <c r="HP298" t="s">
        <v>1309</v>
      </c>
      <c r="HQ298" t="s">
        <v>1309</v>
      </c>
      <c r="HR298" t="s">
        <v>1309</v>
      </c>
      <c r="HS298" t="s">
        <v>1310</v>
      </c>
      <c r="HT298" t="s">
        <v>1309</v>
      </c>
      <c r="HU298" t="s">
        <v>1309</v>
      </c>
      <c r="HV298" t="s">
        <v>1309</v>
      </c>
      <c r="HW298" t="s">
        <v>1309</v>
      </c>
      <c r="HX298" t="s">
        <v>1309</v>
      </c>
      <c r="HY298" t="s">
        <v>1309</v>
      </c>
      <c r="IA298" t="s">
        <v>1307</v>
      </c>
      <c r="IQ298" t="s">
        <v>1308</v>
      </c>
      <c r="IS298" t="s">
        <v>1354</v>
      </c>
      <c r="JF298" t="s">
        <v>1354</v>
      </c>
      <c r="JG298" t="s">
        <v>1414</v>
      </c>
      <c r="JH298" t="s">
        <v>1309</v>
      </c>
      <c r="JI298" t="s">
        <v>1309</v>
      </c>
      <c r="JJ298" t="s">
        <v>1309</v>
      </c>
      <c r="JK298" t="s">
        <v>1309</v>
      </c>
      <c r="JL298" t="s">
        <v>1309</v>
      </c>
      <c r="JM298" t="s">
        <v>1309</v>
      </c>
      <c r="JN298" t="s">
        <v>1310</v>
      </c>
      <c r="JO298" t="s">
        <v>1309</v>
      </c>
      <c r="JQ298" s="92" t="s">
        <v>1333</v>
      </c>
      <c r="JR298" s="92" t="s">
        <v>1334</v>
      </c>
      <c r="JS298" s="92">
        <v>73</v>
      </c>
      <c r="JT298" s="92" t="s">
        <v>1319</v>
      </c>
      <c r="JU298" s="92" t="s">
        <v>1575</v>
      </c>
      <c r="JV298" s="92" t="s">
        <v>1336</v>
      </c>
      <c r="JW298" s="92" t="s">
        <v>1296</v>
      </c>
      <c r="JX298" s="92" t="s">
        <v>71</v>
      </c>
      <c r="JY298" s="92" t="s">
        <v>1397</v>
      </c>
      <c r="JZ298" s="92" t="s">
        <v>1369</v>
      </c>
      <c r="KA298" s="92" t="s">
        <v>4845</v>
      </c>
      <c r="KB298" s="92" t="s">
        <v>1476</v>
      </c>
      <c r="KC298" s="92" t="s">
        <v>192</v>
      </c>
      <c r="KD298" s="92" t="s">
        <v>4847</v>
      </c>
      <c r="KE298" s="92" t="s">
        <v>1424</v>
      </c>
      <c r="KF298" s="92">
        <v>2300</v>
      </c>
      <c r="KG298" s="92" t="s">
        <v>4439</v>
      </c>
      <c r="KH298" s="92" t="s">
        <v>192</v>
      </c>
      <c r="KI298" s="92" t="s">
        <v>109</v>
      </c>
      <c r="KJ298" s="92" t="s">
        <v>192</v>
      </c>
      <c r="KK298" s="92" t="s">
        <v>109</v>
      </c>
      <c r="KL298" s="92" t="s">
        <v>1425</v>
      </c>
      <c r="KM298" s="92">
        <v>2800</v>
      </c>
      <c r="KN298" s="92" t="s">
        <v>4439</v>
      </c>
      <c r="KO298" s="92" t="s">
        <v>1425</v>
      </c>
      <c r="KP298" s="92" t="s">
        <v>1460</v>
      </c>
      <c r="KQ298" s="92" t="s">
        <v>192</v>
      </c>
      <c r="KR298" s="92">
        <v>20</v>
      </c>
      <c r="KS298" s="92" t="s">
        <v>1343</v>
      </c>
      <c r="KT298" s="92" t="s">
        <v>1344</v>
      </c>
      <c r="KU298" s="92">
        <v>29</v>
      </c>
      <c r="KV298" s="92" t="s">
        <v>1441</v>
      </c>
      <c r="KW298" s="92" t="s">
        <v>1344</v>
      </c>
      <c r="KX298" s="92" t="s">
        <v>1346</v>
      </c>
      <c r="KY298" s="92" t="s">
        <v>1347</v>
      </c>
      <c r="KZ298" s="92" t="s">
        <v>1403</v>
      </c>
      <c r="LA298" s="92" t="s">
        <v>109</v>
      </c>
      <c r="LB298" s="92" t="s">
        <v>109</v>
      </c>
      <c r="LC298" s="92" t="s">
        <v>4439</v>
      </c>
      <c r="LD298" s="92" t="s">
        <v>4439</v>
      </c>
      <c r="LE298" s="92" t="s">
        <v>109</v>
      </c>
      <c r="LF298" s="92" t="s">
        <v>192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E8B53-7926-4C55-B500-2F82D6A33F5A}">
  <sheetPr>
    <tabColor theme="0" tint="-0.249977111117893"/>
  </sheetPr>
  <dimension ref="A1:JI139"/>
  <sheetViews>
    <sheetView zoomScaleNormal="100" workbookViewId="0">
      <pane ySplit="1" topLeftCell="A2" activePane="bottomLeft" state="frozen"/>
      <selection pane="bottomLeft" activeCell="M24" sqref="M24"/>
    </sheetView>
  </sheetViews>
  <sheetFormatPr defaultColWidth="11.42578125" defaultRowHeight="15" x14ac:dyDescent="0.25"/>
  <cols>
    <col min="32" max="129" width="11.42578125" bestFit="1" customWidth="1"/>
  </cols>
  <sheetData>
    <row r="1" spans="1:269" ht="15.75" x14ac:dyDescent="0.25">
      <c r="A1" s="93" t="s">
        <v>1032</v>
      </c>
      <c r="B1" s="93" t="s">
        <v>1033</v>
      </c>
      <c r="C1" s="93" t="s">
        <v>2614</v>
      </c>
      <c r="D1" s="93" t="s">
        <v>2615</v>
      </c>
      <c r="E1" s="93" t="s">
        <v>2616</v>
      </c>
      <c r="F1" s="93" t="s">
        <v>1819</v>
      </c>
      <c r="G1" s="93" t="s">
        <v>2617</v>
      </c>
      <c r="H1" s="93" t="s">
        <v>993</v>
      </c>
      <c r="I1" s="93" t="s">
        <v>2618</v>
      </c>
      <c r="J1" s="93" t="s">
        <v>2619</v>
      </c>
      <c r="K1" s="93" t="s">
        <v>2620</v>
      </c>
      <c r="L1" s="93" t="s">
        <v>2621</v>
      </c>
      <c r="M1" s="93" t="s">
        <v>2622</v>
      </c>
      <c r="N1" s="93" t="s">
        <v>2623</v>
      </c>
      <c r="O1" s="93" t="s">
        <v>2624</v>
      </c>
      <c r="P1" s="93" t="s">
        <v>2625</v>
      </c>
      <c r="Q1" s="93" t="s">
        <v>2626</v>
      </c>
      <c r="R1" s="93" t="s">
        <v>2627</v>
      </c>
      <c r="S1" s="93" t="s">
        <v>2628</v>
      </c>
      <c r="T1" s="93" t="s">
        <v>2629</v>
      </c>
      <c r="U1" s="93" t="s">
        <v>2630</v>
      </c>
      <c r="V1" s="93" t="s">
        <v>2631</v>
      </c>
      <c r="W1" s="93" t="s">
        <v>2632</v>
      </c>
      <c r="X1" s="93" t="s">
        <v>2633</v>
      </c>
      <c r="Y1" s="93" t="s">
        <v>2634</v>
      </c>
      <c r="Z1" s="93" t="s">
        <v>2635</v>
      </c>
      <c r="AA1" s="93" t="s">
        <v>2636</v>
      </c>
      <c r="AB1" s="93" t="s">
        <v>1001</v>
      </c>
      <c r="AC1" s="93" t="s">
        <v>1004</v>
      </c>
      <c r="AD1" s="93" t="s">
        <v>1007</v>
      </c>
      <c r="AE1" s="93" t="s">
        <v>2637</v>
      </c>
      <c r="AF1" s="93" t="s">
        <v>2638</v>
      </c>
      <c r="AG1" s="93" t="s">
        <v>2639</v>
      </c>
      <c r="AH1" s="93" t="s">
        <v>2640</v>
      </c>
      <c r="AI1" s="93" t="s">
        <v>2641</v>
      </c>
      <c r="AJ1" s="93" t="s">
        <v>2642</v>
      </c>
      <c r="AK1" s="93" t="s">
        <v>2643</v>
      </c>
      <c r="AL1" s="93" t="s">
        <v>2644</v>
      </c>
      <c r="AM1" s="93" t="s">
        <v>2645</v>
      </c>
      <c r="AN1" s="93" t="s">
        <v>2646</v>
      </c>
      <c r="AO1" s="93" t="s">
        <v>2647</v>
      </c>
      <c r="AP1" s="93" t="s">
        <v>2648</v>
      </c>
      <c r="AQ1" s="93" t="s">
        <v>2649</v>
      </c>
      <c r="AR1" s="93" t="s">
        <v>2650</v>
      </c>
      <c r="AS1" s="93" t="s">
        <v>2651</v>
      </c>
      <c r="AT1" s="93" t="s">
        <v>2652</v>
      </c>
      <c r="AU1" s="93" t="s">
        <v>2653</v>
      </c>
      <c r="AV1" s="93" t="s">
        <v>2654</v>
      </c>
      <c r="AW1" s="93" t="s">
        <v>2655</v>
      </c>
      <c r="AX1" s="93" t="s">
        <v>2656</v>
      </c>
      <c r="AY1" s="93" t="s">
        <v>2657</v>
      </c>
      <c r="AZ1" s="93" t="s">
        <v>2658</v>
      </c>
      <c r="BA1" s="93" t="s">
        <v>2659</v>
      </c>
      <c r="BB1" s="93" t="s">
        <v>2660</v>
      </c>
      <c r="BC1" s="93" t="s">
        <v>2661</v>
      </c>
      <c r="BD1" s="93" t="s">
        <v>2662</v>
      </c>
      <c r="BE1" s="93" t="s">
        <v>2663</v>
      </c>
      <c r="BF1" s="93" t="s">
        <v>2664</v>
      </c>
      <c r="BG1" s="93" t="s">
        <v>2665</v>
      </c>
      <c r="BH1" s="93" t="s">
        <v>2666</v>
      </c>
      <c r="BI1" s="93" t="s">
        <v>2667</v>
      </c>
      <c r="BJ1" s="93" t="s">
        <v>2668</v>
      </c>
      <c r="BK1" s="93" t="s">
        <v>2669</v>
      </c>
      <c r="BL1" s="93" t="s">
        <v>2670</v>
      </c>
      <c r="BM1" s="93" t="s">
        <v>2671</v>
      </c>
      <c r="BN1" s="93" t="s">
        <v>2672</v>
      </c>
      <c r="BO1" s="93" t="s">
        <v>2673</v>
      </c>
      <c r="BP1" s="93" t="s">
        <v>2674</v>
      </c>
      <c r="BQ1" s="93" t="s">
        <v>2675</v>
      </c>
      <c r="BR1" s="93" t="s">
        <v>2676</v>
      </c>
      <c r="BS1" s="93" t="s">
        <v>2677</v>
      </c>
      <c r="BT1" s="93" t="s">
        <v>2678</v>
      </c>
      <c r="BU1" s="93" t="s">
        <v>2679</v>
      </c>
      <c r="BV1" s="93" t="s">
        <v>2680</v>
      </c>
      <c r="BW1" s="93" t="s">
        <v>2681</v>
      </c>
      <c r="BX1" s="93" t="s">
        <v>2682</v>
      </c>
      <c r="BY1" s="93" t="s">
        <v>2683</v>
      </c>
      <c r="BZ1" s="93" t="s">
        <v>2684</v>
      </c>
      <c r="CA1" s="93" t="s">
        <v>2685</v>
      </c>
      <c r="CB1" s="93" t="s">
        <v>2686</v>
      </c>
      <c r="CC1" s="93" t="s">
        <v>2687</v>
      </c>
      <c r="CD1" s="93" t="s">
        <v>2688</v>
      </c>
      <c r="CE1" s="93" t="s">
        <v>2689</v>
      </c>
      <c r="CF1" s="93" t="s">
        <v>2690</v>
      </c>
      <c r="CG1" s="93" t="s">
        <v>2691</v>
      </c>
      <c r="CH1" s="93" t="s">
        <v>2692</v>
      </c>
      <c r="CI1" s="93" t="s">
        <v>2693</v>
      </c>
      <c r="CJ1" s="93" t="s">
        <v>2694</v>
      </c>
      <c r="CK1" s="93" t="s">
        <v>2695</v>
      </c>
      <c r="CL1" s="93" t="s">
        <v>2696</v>
      </c>
      <c r="CM1" s="93" t="s">
        <v>2697</v>
      </c>
      <c r="CN1" s="93" t="s">
        <v>2698</v>
      </c>
      <c r="CO1" s="93" t="s">
        <v>2699</v>
      </c>
      <c r="CP1" s="93" t="s">
        <v>2700</v>
      </c>
      <c r="CQ1" s="93" t="s">
        <v>2701</v>
      </c>
      <c r="CR1" s="93" t="s">
        <v>2702</v>
      </c>
      <c r="CS1" s="93" t="s">
        <v>2703</v>
      </c>
      <c r="CT1" s="93" t="s">
        <v>2704</v>
      </c>
      <c r="CU1" s="93" t="s">
        <v>2705</v>
      </c>
      <c r="CV1" s="93" t="s">
        <v>2706</v>
      </c>
      <c r="CW1" s="93" t="s">
        <v>2707</v>
      </c>
      <c r="CX1" s="93" t="s">
        <v>2708</v>
      </c>
      <c r="CY1" s="93" t="s">
        <v>2709</v>
      </c>
      <c r="CZ1" s="93" t="s">
        <v>2710</v>
      </c>
      <c r="DA1" s="93" t="s">
        <v>2711</v>
      </c>
      <c r="DB1" s="93" t="s">
        <v>2712</v>
      </c>
      <c r="DC1" s="93" t="s">
        <v>2713</v>
      </c>
      <c r="DD1" s="93" t="s">
        <v>2714</v>
      </c>
      <c r="DE1" s="93" t="s">
        <v>2715</v>
      </c>
      <c r="DF1" s="93" t="s">
        <v>2716</v>
      </c>
      <c r="DG1" s="93" t="s">
        <v>2717</v>
      </c>
      <c r="DH1" s="93" t="s">
        <v>2718</v>
      </c>
      <c r="DI1" s="93" t="s">
        <v>2719</v>
      </c>
      <c r="DJ1" s="93" t="s">
        <v>2720</v>
      </c>
      <c r="DK1" s="93" t="s">
        <v>2721</v>
      </c>
      <c r="DL1" s="93" t="s">
        <v>2722</v>
      </c>
      <c r="DM1" s="93" t="s">
        <v>2723</v>
      </c>
      <c r="DN1" s="93" t="s">
        <v>2724</v>
      </c>
      <c r="DO1" s="93" t="s">
        <v>2725</v>
      </c>
      <c r="DP1" s="93" t="s">
        <v>2726</v>
      </c>
      <c r="DQ1" s="93" t="s">
        <v>2727</v>
      </c>
      <c r="DR1" s="93" t="s">
        <v>2728</v>
      </c>
      <c r="DS1" s="93" t="s">
        <v>2729</v>
      </c>
      <c r="DT1" s="93" t="s">
        <v>2730</v>
      </c>
      <c r="DU1" s="93" t="s">
        <v>2731</v>
      </c>
      <c r="DV1" s="93" t="s">
        <v>2732</v>
      </c>
      <c r="DW1" s="93" t="s">
        <v>2733</v>
      </c>
      <c r="DX1" s="93" t="s">
        <v>2734</v>
      </c>
      <c r="DY1" s="93" t="s">
        <v>2735</v>
      </c>
      <c r="DZ1" s="93" t="s">
        <v>2736</v>
      </c>
      <c r="EA1" s="93" t="s">
        <v>2737</v>
      </c>
      <c r="EB1" s="93" t="s">
        <v>2738</v>
      </c>
      <c r="EC1" s="93" t="s">
        <v>2739</v>
      </c>
      <c r="ED1" s="93" t="s">
        <v>2740</v>
      </c>
      <c r="EE1" s="93" t="s">
        <v>2741</v>
      </c>
      <c r="EF1" s="93" t="s">
        <v>2742</v>
      </c>
      <c r="EG1" s="93" t="s">
        <v>2743</v>
      </c>
      <c r="EH1" s="93" t="s">
        <v>2744</v>
      </c>
      <c r="EI1" s="93" t="s">
        <v>2745</v>
      </c>
      <c r="EJ1" s="93" t="s">
        <v>2746</v>
      </c>
      <c r="EK1" s="93" t="s">
        <v>2747</v>
      </c>
      <c r="EL1" s="93" t="s">
        <v>2748</v>
      </c>
      <c r="EM1" s="93" t="s">
        <v>2749</v>
      </c>
      <c r="EN1" s="93" t="s">
        <v>2750</v>
      </c>
      <c r="EO1" s="93" t="s">
        <v>2751</v>
      </c>
      <c r="EP1" s="93" t="s">
        <v>2752</v>
      </c>
      <c r="EQ1" s="93" t="s">
        <v>2753</v>
      </c>
      <c r="ER1" s="93" t="s">
        <v>2754</v>
      </c>
      <c r="ES1" s="93" t="s">
        <v>2755</v>
      </c>
      <c r="ET1" s="93" t="s">
        <v>2756</v>
      </c>
      <c r="EU1" s="93" t="s">
        <v>2757</v>
      </c>
      <c r="EV1" s="93" t="s">
        <v>2758</v>
      </c>
      <c r="EW1" s="93" t="s">
        <v>2759</v>
      </c>
      <c r="EX1" s="93" t="s">
        <v>2760</v>
      </c>
      <c r="EY1" s="93" t="s">
        <v>2761</v>
      </c>
      <c r="EZ1" s="93" t="s">
        <v>2762</v>
      </c>
      <c r="FA1" s="93" t="s">
        <v>2763</v>
      </c>
      <c r="FB1" s="93" t="s">
        <v>2764</v>
      </c>
      <c r="FC1" s="93" t="s">
        <v>2765</v>
      </c>
      <c r="FD1" s="93" t="s">
        <v>2766</v>
      </c>
      <c r="FE1" s="93" t="s">
        <v>2767</v>
      </c>
      <c r="FF1" s="93" t="s">
        <v>2768</v>
      </c>
      <c r="FG1" s="93" t="s">
        <v>2769</v>
      </c>
      <c r="FH1" s="93" t="s">
        <v>2770</v>
      </c>
      <c r="FI1" s="93" t="s">
        <v>2771</v>
      </c>
      <c r="FJ1" s="93" t="s">
        <v>2772</v>
      </c>
      <c r="FK1" s="93" t="s">
        <v>2773</v>
      </c>
      <c r="FL1" s="93" t="s">
        <v>2774</v>
      </c>
      <c r="FM1" s="93" t="s">
        <v>2775</v>
      </c>
      <c r="FN1" s="93" t="s">
        <v>2776</v>
      </c>
      <c r="FO1" s="93" t="s">
        <v>2777</v>
      </c>
      <c r="FP1" s="93" t="s">
        <v>2778</v>
      </c>
      <c r="FQ1" s="93" t="s">
        <v>2779</v>
      </c>
      <c r="FR1" s="93" t="s">
        <v>2780</v>
      </c>
      <c r="FS1" s="93" t="s">
        <v>2781</v>
      </c>
      <c r="FT1" s="93" t="s">
        <v>2782</v>
      </c>
      <c r="FU1" s="93" t="s">
        <v>2783</v>
      </c>
      <c r="FV1" s="93" t="s">
        <v>2784</v>
      </c>
      <c r="FW1" s="93" t="s">
        <v>2785</v>
      </c>
      <c r="FX1" s="93" t="s">
        <v>2786</v>
      </c>
      <c r="FY1" s="93" t="s">
        <v>2787</v>
      </c>
      <c r="FZ1" s="93" t="s">
        <v>2788</v>
      </c>
      <c r="GA1" s="93" t="s">
        <v>2789</v>
      </c>
      <c r="GB1" s="93" t="s">
        <v>2790</v>
      </c>
      <c r="GC1" s="93" t="s">
        <v>2791</v>
      </c>
      <c r="GD1" s="93" t="s">
        <v>2792</v>
      </c>
      <c r="GE1" s="93" t="s">
        <v>2793</v>
      </c>
      <c r="GF1" s="93" t="s">
        <v>2794</v>
      </c>
      <c r="GG1" s="93" t="s">
        <v>2795</v>
      </c>
      <c r="GH1" s="93" t="s">
        <v>2796</v>
      </c>
      <c r="GI1" s="93" t="s">
        <v>2797</v>
      </c>
      <c r="GJ1" s="93" t="s">
        <v>2798</v>
      </c>
      <c r="GK1" s="93" t="s">
        <v>2799</v>
      </c>
      <c r="GL1" s="93" t="s">
        <v>2800</v>
      </c>
      <c r="GM1" s="93" t="s">
        <v>2801</v>
      </c>
      <c r="GN1" s="93" t="s">
        <v>2802</v>
      </c>
      <c r="GO1" s="93" t="s">
        <v>2803</v>
      </c>
      <c r="GP1" s="93" t="s">
        <v>2804</v>
      </c>
      <c r="GQ1" s="93" t="s">
        <v>2805</v>
      </c>
      <c r="GR1" s="93" t="s">
        <v>2806</v>
      </c>
      <c r="GS1" s="93" t="s">
        <v>2807</v>
      </c>
      <c r="GT1" s="93" t="s">
        <v>2808</v>
      </c>
      <c r="GU1" s="93" t="s">
        <v>2809</v>
      </c>
      <c r="GV1" s="93" t="s">
        <v>2810</v>
      </c>
      <c r="GW1" s="93" t="s">
        <v>2811</v>
      </c>
      <c r="GX1" s="93" t="s">
        <v>2812</v>
      </c>
      <c r="GY1" s="93" t="s">
        <v>2813</v>
      </c>
      <c r="GZ1" s="93" t="s">
        <v>2814</v>
      </c>
      <c r="HA1" s="93" t="s">
        <v>2815</v>
      </c>
      <c r="HB1" s="93" t="s">
        <v>2816</v>
      </c>
      <c r="HC1" s="93" t="s">
        <v>2817</v>
      </c>
      <c r="HD1" s="93" t="s">
        <v>2818</v>
      </c>
      <c r="HE1" s="93" t="s">
        <v>2819</v>
      </c>
      <c r="HF1" s="93" t="s">
        <v>2820</v>
      </c>
      <c r="HG1" s="93" t="s">
        <v>2821</v>
      </c>
      <c r="HH1" s="93" t="s">
        <v>2822</v>
      </c>
      <c r="HI1" s="93" t="s">
        <v>2823</v>
      </c>
      <c r="HJ1" s="93" t="s">
        <v>2824</v>
      </c>
      <c r="HK1" s="93" t="s">
        <v>2825</v>
      </c>
      <c r="HL1" s="93" t="s">
        <v>2826</v>
      </c>
      <c r="HM1" s="93" t="s">
        <v>2827</v>
      </c>
      <c r="HN1" s="93" t="s">
        <v>2828</v>
      </c>
      <c r="HO1" s="93" t="s">
        <v>2829</v>
      </c>
      <c r="HP1" s="93" t="s">
        <v>2830</v>
      </c>
      <c r="HQ1" s="93" t="s">
        <v>2831</v>
      </c>
      <c r="HR1" s="93" t="s">
        <v>2832</v>
      </c>
      <c r="HS1" s="93" t="s">
        <v>2833</v>
      </c>
      <c r="HT1" s="93" t="s">
        <v>2834</v>
      </c>
      <c r="HU1" s="93" t="s">
        <v>2835</v>
      </c>
      <c r="HV1" s="93" t="s">
        <v>2836</v>
      </c>
      <c r="HW1" s="93" t="s">
        <v>2837</v>
      </c>
      <c r="HX1" s="93" t="s">
        <v>2838</v>
      </c>
      <c r="HY1" s="93" t="s">
        <v>2839</v>
      </c>
      <c r="HZ1" s="93" t="s">
        <v>2840</v>
      </c>
      <c r="IA1" s="93" t="s">
        <v>2841</v>
      </c>
      <c r="IB1" s="93" t="s">
        <v>984</v>
      </c>
      <c r="IC1" s="93" t="s">
        <v>985</v>
      </c>
      <c r="ID1" s="93" t="s">
        <v>936</v>
      </c>
      <c r="IE1" s="93" t="s">
        <v>1294</v>
      </c>
      <c r="IF1" s="93" t="s">
        <v>1295</v>
      </c>
      <c r="IG1" s="93" t="s">
        <v>986</v>
      </c>
      <c r="IH1" s="93" t="s">
        <v>1296</v>
      </c>
      <c r="II1" s="93" t="s">
        <v>903</v>
      </c>
      <c r="IJ1" s="93" t="s">
        <v>2842</v>
      </c>
      <c r="IK1" s="93" t="s">
        <v>937</v>
      </c>
      <c r="IL1" s="93" t="s">
        <v>992</v>
      </c>
      <c r="IM1" s="93" t="s">
        <v>995</v>
      </c>
      <c r="IN1" s="93" t="s">
        <v>998</v>
      </c>
      <c r="IO1" s="93" t="s">
        <v>1003</v>
      </c>
      <c r="IP1" s="93" t="s">
        <v>1006</v>
      </c>
      <c r="IQ1" s="93" t="s">
        <v>1019</v>
      </c>
      <c r="IR1" s="93" t="s">
        <v>1009</v>
      </c>
      <c r="IS1" s="93" t="s">
        <v>2843</v>
      </c>
      <c r="IT1" s="93" t="s">
        <v>2844</v>
      </c>
      <c r="IU1" s="93" t="s">
        <v>2845</v>
      </c>
      <c r="IV1" s="93" t="s">
        <v>2846</v>
      </c>
      <c r="IW1" s="93" t="s">
        <v>1022</v>
      </c>
      <c r="IX1" s="93" t="s">
        <v>1024</v>
      </c>
      <c r="IY1" s="93" t="s">
        <v>1011</v>
      </c>
      <c r="IZ1" s="93" t="s">
        <v>1027</v>
      </c>
      <c r="JA1" s="93" t="s">
        <v>1013</v>
      </c>
      <c r="JB1" s="93" t="s">
        <v>1016</v>
      </c>
      <c r="JC1" s="93" t="s">
        <v>990</v>
      </c>
      <c r="JD1" s="93" t="s">
        <v>1000</v>
      </c>
      <c r="JE1" s="93" t="s">
        <v>1029</v>
      </c>
      <c r="JF1" s="93" t="s">
        <v>5521</v>
      </c>
      <c r="JG1" s="93" t="s">
        <v>5518</v>
      </c>
      <c r="JH1" s="93" t="s">
        <v>7508</v>
      </c>
      <c r="JI1" s="93" t="s">
        <v>7509</v>
      </c>
    </row>
    <row r="2" spans="1:269" x14ac:dyDescent="0.25">
      <c r="A2" t="s">
        <v>2847</v>
      </c>
      <c r="B2" t="s">
        <v>2848</v>
      </c>
      <c r="C2" t="s">
        <v>1305</v>
      </c>
      <c r="D2" t="s">
        <v>1306</v>
      </c>
      <c r="F2" t="s">
        <v>1307</v>
      </c>
      <c r="G2" t="s">
        <v>1319</v>
      </c>
      <c r="H2">
        <v>1</v>
      </c>
      <c r="J2" t="s">
        <v>1308</v>
      </c>
      <c r="K2" t="s">
        <v>1309</v>
      </c>
      <c r="L2" t="s">
        <v>1309</v>
      </c>
      <c r="M2" t="s">
        <v>1309</v>
      </c>
      <c r="N2" t="s">
        <v>1309</v>
      </c>
      <c r="O2" t="s">
        <v>1309</v>
      </c>
      <c r="P2" t="s">
        <v>1309</v>
      </c>
      <c r="Q2" t="s">
        <v>1310</v>
      </c>
      <c r="R2" t="s">
        <v>1309</v>
      </c>
      <c r="U2" t="s">
        <v>1312</v>
      </c>
      <c r="V2" t="s">
        <v>1312</v>
      </c>
      <c r="W2" t="s">
        <v>1312</v>
      </c>
      <c r="X2" t="s">
        <v>1312</v>
      </c>
      <c r="Y2" t="s">
        <v>1312</v>
      </c>
      <c r="Z2" t="s">
        <v>1312</v>
      </c>
      <c r="AC2">
        <v>1</v>
      </c>
      <c r="AD2">
        <v>10000</v>
      </c>
      <c r="AE2">
        <v>6000</v>
      </c>
      <c r="AF2" t="s">
        <v>1313</v>
      </c>
      <c r="AH2" t="s">
        <v>1319</v>
      </c>
      <c r="AI2" t="s">
        <v>4879</v>
      </c>
      <c r="AK2" t="s">
        <v>1307</v>
      </c>
      <c r="CG2" t="s">
        <v>2849</v>
      </c>
      <c r="CH2" t="s">
        <v>1309</v>
      </c>
      <c r="CI2" t="s">
        <v>1309</v>
      </c>
      <c r="CJ2" t="s">
        <v>1309</v>
      </c>
      <c r="CK2" t="s">
        <v>1310</v>
      </c>
      <c r="CL2" t="s">
        <v>1309</v>
      </c>
      <c r="CM2" t="s">
        <v>1309</v>
      </c>
      <c r="CN2" t="s">
        <v>1309</v>
      </c>
      <c r="CO2" t="s">
        <v>1309</v>
      </c>
      <c r="CP2" t="s">
        <v>1310</v>
      </c>
      <c r="CQ2" t="s">
        <v>1309</v>
      </c>
      <c r="CR2" t="s">
        <v>1309</v>
      </c>
      <c r="CS2" t="s">
        <v>1309</v>
      </c>
      <c r="CT2" t="s">
        <v>1309</v>
      </c>
      <c r="CU2" t="s">
        <v>1309</v>
      </c>
      <c r="CV2" t="s">
        <v>1309</v>
      </c>
      <c r="CX2" t="s">
        <v>2850</v>
      </c>
      <c r="CY2" t="s">
        <v>1310</v>
      </c>
      <c r="CZ2" t="s">
        <v>1309</v>
      </c>
      <c r="DA2" t="s">
        <v>1309</v>
      </c>
      <c r="DB2" t="s">
        <v>1310</v>
      </c>
      <c r="DC2" t="s">
        <v>1309</v>
      </c>
      <c r="DD2" t="s">
        <v>1310</v>
      </c>
      <c r="DE2" t="s">
        <v>1309</v>
      </c>
      <c r="DF2" t="s">
        <v>1309</v>
      </c>
      <c r="DG2" t="s">
        <v>1309</v>
      </c>
      <c r="DH2" t="s">
        <v>1310</v>
      </c>
      <c r="DI2" t="s">
        <v>1309</v>
      </c>
      <c r="DJ2" t="s">
        <v>1309</v>
      </c>
      <c r="DK2" t="s">
        <v>1309</v>
      </c>
      <c r="DM2" t="s">
        <v>4435</v>
      </c>
      <c r="DO2" t="s">
        <v>1308</v>
      </c>
      <c r="DP2" t="s">
        <v>1310</v>
      </c>
      <c r="DQ2" t="s">
        <v>1309</v>
      </c>
      <c r="DR2" t="s">
        <v>1309</v>
      </c>
      <c r="DS2" t="s">
        <v>1309</v>
      </c>
      <c r="DT2" t="s">
        <v>1309</v>
      </c>
      <c r="DU2" t="s">
        <v>1309</v>
      </c>
      <c r="DV2" t="s">
        <v>1309</v>
      </c>
      <c r="DX2" t="s">
        <v>1358</v>
      </c>
      <c r="DY2" t="s">
        <v>1307</v>
      </c>
      <c r="EA2">
        <v>1500</v>
      </c>
      <c r="EB2">
        <v>250</v>
      </c>
      <c r="EC2" t="s">
        <v>1358</v>
      </c>
      <c r="EE2">
        <v>1700</v>
      </c>
      <c r="EF2">
        <v>250</v>
      </c>
      <c r="EG2" t="s">
        <v>1703</v>
      </c>
      <c r="EH2" t="s">
        <v>1310</v>
      </c>
      <c r="EI2" t="s">
        <v>1309</v>
      </c>
      <c r="EJ2" t="s">
        <v>1309</v>
      </c>
      <c r="EK2" t="s">
        <v>1309</v>
      </c>
      <c r="EL2" t="s">
        <v>1309</v>
      </c>
      <c r="EM2" t="s">
        <v>1309</v>
      </c>
      <c r="EN2" t="s">
        <v>1309</v>
      </c>
      <c r="EO2" t="s">
        <v>1309</v>
      </c>
      <c r="EQ2" t="s">
        <v>1307</v>
      </c>
      <c r="ER2" t="s">
        <v>1307</v>
      </c>
      <c r="FN2" t="s">
        <v>1307</v>
      </c>
      <c r="GC2" t="s">
        <v>1324</v>
      </c>
      <c r="GD2" t="s">
        <v>1324</v>
      </c>
      <c r="GN2" t="s">
        <v>1364</v>
      </c>
      <c r="HB2" t="s">
        <v>1319</v>
      </c>
      <c r="HC2" t="s">
        <v>1423</v>
      </c>
      <c r="HD2" t="s">
        <v>1309</v>
      </c>
      <c r="HE2" t="s">
        <v>1309</v>
      </c>
      <c r="HF2" t="s">
        <v>1309</v>
      </c>
      <c r="HG2" t="s">
        <v>1309</v>
      </c>
      <c r="HH2" t="s">
        <v>1310</v>
      </c>
      <c r="HI2" t="s">
        <v>1309</v>
      </c>
      <c r="HJ2" t="s">
        <v>1309</v>
      </c>
      <c r="HK2" t="s">
        <v>1309</v>
      </c>
      <c r="HL2" t="s">
        <v>1309</v>
      </c>
      <c r="HM2" t="s">
        <v>1309</v>
      </c>
      <c r="HN2" t="s">
        <v>1309</v>
      </c>
      <c r="HO2" t="s">
        <v>1309</v>
      </c>
      <c r="HP2" t="s">
        <v>1309</v>
      </c>
      <c r="HR2" t="s">
        <v>1393</v>
      </c>
      <c r="HS2" t="s">
        <v>1310</v>
      </c>
      <c r="HT2" t="s">
        <v>1309</v>
      </c>
      <c r="HU2" t="s">
        <v>1309</v>
      </c>
      <c r="HV2" t="s">
        <v>1309</v>
      </c>
      <c r="HW2" t="s">
        <v>1309</v>
      </c>
      <c r="HX2" t="s">
        <v>1309</v>
      </c>
      <c r="HY2" t="s">
        <v>1309</v>
      </c>
      <c r="HZ2" t="s">
        <v>1309</v>
      </c>
      <c r="IB2" s="92" t="s">
        <v>1333</v>
      </c>
      <c r="IC2" s="92" t="s">
        <v>1334</v>
      </c>
      <c r="ID2" s="92">
        <v>32</v>
      </c>
      <c r="IE2" s="92" t="s">
        <v>1307</v>
      </c>
      <c r="IF2" s="92" t="s">
        <v>4398</v>
      </c>
      <c r="IG2" s="92" t="s">
        <v>1336</v>
      </c>
      <c r="IH2" s="92" t="s">
        <v>1296</v>
      </c>
      <c r="II2" s="92" t="s">
        <v>71</v>
      </c>
      <c r="IJ2" s="92" t="s">
        <v>5549</v>
      </c>
      <c r="IK2" s="92" t="s">
        <v>1398</v>
      </c>
      <c r="IL2" s="92" t="s">
        <v>4844</v>
      </c>
      <c r="IM2" s="92" t="s">
        <v>1338</v>
      </c>
      <c r="IN2" s="92" t="s">
        <v>109</v>
      </c>
      <c r="IO2" s="92" t="s">
        <v>4844</v>
      </c>
      <c r="IP2" s="92" t="s">
        <v>1424</v>
      </c>
      <c r="IQ2" s="92">
        <v>1750</v>
      </c>
      <c r="IR2" s="92" t="s">
        <v>4438</v>
      </c>
      <c r="IS2" s="92" t="s">
        <v>109</v>
      </c>
      <c r="IT2" s="92" t="s">
        <v>192</v>
      </c>
      <c r="IU2" s="92" t="s">
        <v>109</v>
      </c>
      <c r="IV2" s="92" t="s">
        <v>192</v>
      </c>
      <c r="IW2" s="92" t="s">
        <v>1440</v>
      </c>
      <c r="IX2" s="92">
        <v>1950</v>
      </c>
      <c r="IY2" s="92" t="s">
        <v>4438</v>
      </c>
      <c r="IZ2" s="92" t="s">
        <v>1440</v>
      </c>
      <c r="JA2" s="92" t="s">
        <v>1342</v>
      </c>
      <c r="JB2" s="92" t="s">
        <v>109</v>
      </c>
      <c r="JC2" s="92" t="s">
        <v>5795</v>
      </c>
      <c r="JD2" s="92" t="s">
        <v>109</v>
      </c>
      <c r="JE2" s="92" t="s">
        <v>109</v>
      </c>
      <c r="JF2" s="92" t="s">
        <v>4438</v>
      </c>
      <c r="JG2" s="92" t="s">
        <v>4438</v>
      </c>
      <c r="JH2" s="92" t="s">
        <v>109</v>
      </c>
      <c r="JI2" s="92" t="s">
        <v>109</v>
      </c>
    </row>
    <row r="3" spans="1:269" x14ac:dyDescent="0.25">
      <c r="A3" t="s">
        <v>2851</v>
      </c>
      <c r="B3" t="s">
        <v>2852</v>
      </c>
      <c r="C3" t="s">
        <v>1429</v>
      </c>
      <c r="D3" t="s">
        <v>1306</v>
      </c>
      <c r="F3" t="s">
        <v>1319</v>
      </c>
      <c r="G3" t="s">
        <v>1319</v>
      </c>
      <c r="H3">
        <v>2</v>
      </c>
      <c r="I3" t="s">
        <v>1358</v>
      </c>
      <c r="J3" t="s">
        <v>1308</v>
      </c>
      <c r="K3" t="s">
        <v>1309</v>
      </c>
      <c r="L3" t="s">
        <v>1309</v>
      </c>
      <c r="M3" t="s">
        <v>1309</v>
      </c>
      <c r="N3" t="s">
        <v>1309</v>
      </c>
      <c r="O3" t="s">
        <v>1309</v>
      </c>
      <c r="P3" t="s">
        <v>1309</v>
      </c>
      <c r="Q3" t="s">
        <v>1310</v>
      </c>
      <c r="R3" t="s">
        <v>1309</v>
      </c>
      <c r="U3" t="s">
        <v>1311</v>
      </c>
      <c r="V3" t="s">
        <v>1312</v>
      </c>
      <c r="W3" t="s">
        <v>1312</v>
      </c>
      <c r="X3" t="s">
        <v>1312</v>
      </c>
      <c r="Y3" t="s">
        <v>1312</v>
      </c>
      <c r="Z3" t="s">
        <v>1312</v>
      </c>
      <c r="AC3">
        <v>2</v>
      </c>
      <c r="AD3">
        <v>34000</v>
      </c>
      <c r="AE3">
        <v>30000</v>
      </c>
      <c r="AF3" t="s">
        <v>1313</v>
      </c>
      <c r="AH3" t="s">
        <v>1319</v>
      </c>
      <c r="AI3" t="s">
        <v>4876</v>
      </c>
      <c r="AK3" t="s">
        <v>1319</v>
      </c>
      <c r="AL3" t="s">
        <v>1315</v>
      </c>
      <c r="AN3" t="s">
        <v>1331</v>
      </c>
      <c r="BU3" t="s">
        <v>2853</v>
      </c>
      <c r="BV3" t="s">
        <v>1310</v>
      </c>
      <c r="BW3" t="s">
        <v>1309</v>
      </c>
      <c r="BX3" t="s">
        <v>1309</v>
      </c>
      <c r="BY3" t="s">
        <v>1309</v>
      </c>
      <c r="BZ3" t="s">
        <v>1309</v>
      </c>
      <c r="CA3" t="s">
        <v>1309</v>
      </c>
      <c r="CB3" t="s">
        <v>1309</v>
      </c>
      <c r="CC3" t="s">
        <v>1309</v>
      </c>
      <c r="CD3" t="s">
        <v>1309</v>
      </c>
      <c r="CE3" t="s">
        <v>1309</v>
      </c>
      <c r="CX3" t="s">
        <v>1767</v>
      </c>
      <c r="CY3" t="s">
        <v>1309</v>
      </c>
      <c r="CZ3" t="s">
        <v>1309</v>
      </c>
      <c r="DA3" t="s">
        <v>1309</v>
      </c>
      <c r="DB3" t="s">
        <v>1309</v>
      </c>
      <c r="DC3" t="s">
        <v>1310</v>
      </c>
      <c r="DD3" t="s">
        <v>1309</v>
      </c>
      <c r="DE3" t="s">
        <v>1309</v>
      </c>
      <c r="DF3" t="s">
        <v>1309</v>
      </c>
      <c r="DG3" t="s">
        <v>1309</v>
      </c>
      <c r="DH3" t="s">
        <v>1309</v>
      </c>
      <c r="DI3" t="s">
        <v>1309</v>
      </c>
      <c r="DJ3" t="s">
        <v>1309</v>
      </c>
      <c r="DK3" t="s">
        <v>1309</v>
      </c>
      <c r="DM3" t="s">
        <v>4435</v>
      </c>
      <c r="DO3" t="s">
        <v>1308</v>
      </c>
      <c r="DP3" t="s">
        <v>1310</v>
      </c>
      <c r="DQ3" t="s">
        <v>1309</v>
      </c>
      <c r="DR3" t="s">
        <v>1309</v>
      </c>
      <c r="DS3" t="s">
        <v>1309</v>
      </c>
      <c r="DT3" t="s">
        <v>1309</v>
      </c>
      <c r="DU3" t="s">
        <v>1309</v>
      </c>
      <c r="DV3" t="s">
        <v>1309</v>
      </c>
      <c r="DX3" t="s">
        <v>1358</v>
      </c>
      <c r="DY3" t="s">
        <v>1307</v>
      </c>
      <c r="EA3">
        <v>1600</v>
      </c>
      <c r="EB3">
        <v>850</v>
      </c>
      <c r="EC3" t="s">
        <v>1358</v>
      </c>
      <c r="EE3">
        <v>2100</v>
      </c>
      <c r="EF3">
        <v>1150</v>
      </c>
      <c r="EG3" t="s">
        <v>1703</v>
      </c>
      <c r="EH3" t="s">
        <v>1310</v>
      </c>
      <c r="EI3" t="s">
        <v>1309</v>
      </c>
      <c r="EJ3" t="s">
        <v>1309</v>
      </c>
      <c r="EK3" t="s">
        <v>1309</v>
      </c>
      <c r="EL3" t="s">
        <v>1309</v>
      </c>
      <c r="EM3" t="s">
        <v>1309</v>
      </c>
      <c r="EN3" t="s">
        <v>1309</v>
      </c>
      <c r="EO3" t="s">
        <v>1309</v>
      </c>
      <c r="EQ3" t="s">
        <v>1319</v>
      </c>
      <c r="ER3" t="s">
        <v>1307</v>
      </c>
      <c r="FN3" t="s">
        <v>1307</v>
      </c>
      <c r="GC3" t="s">
        <v>1436</v>
      </c>
      <c r="GD3" t="s">
        <v>1324</v>
      </c>
      <c r="GE3" t="s">
        <v>1307</v>
      </c>
      <c r="GN3" t="s">
        <v>1364</v>
      </c>
      <c r="HB3" t="s">
        <v>1307</v>
      </c>
      <c r="HR3" t="s">
        <v>1414</v>
      </c>
      <c r="HS3" t="s">
        <v>1309</v>
      </c>
      <c r="HT3" t="s">
        <v>1309</v>
      </c>
      <c r="HU3" t="s">
        <v>1309</v>
      </c>
      <c r="HV3" t="s">
        <v>1309</v>
      </c>
      <c r="HW3" t="s">
        <v>1309</v>
      </c>
      <c r="HX3" t="s">
        <v>1309</v>
      </c>
      <c r="HY3" t="s">
        <v>1310</v>
      </c>
      <c r="HZ3" t="s">
        <v>1309</v>
      </c>
      <c r="IB3" s="92" t="s">
        <v>1333</v>
      </c>
      <c r="IC3" s="92" t="s">
        <v>1334</v>
      </c>
      <c r="ID3" s="92">
        <v>44</v>
      </c>
      <c r="IE3" s="92" t="s">
        <v>1307</v>
      </c>
      <c r="IF3" s="92" t="s">
        <v>4398</v>
      </c>
      <c r="IG3" s="92" t="s">
        <v>1336</v>
      </c>
      <c r="IH3" s="92" t="s">
        <v>1296</v>
      </c>
      <c r="II3" s="92" t="s">
        <v>71</v>
      </c>
      <c r="IJ3" s="92" t="s">
        <v>1397</v>
      </c>
      <c r="IK3" s="92" t="s">
        <v>1337</v>
      </c>
      <c r="IL3" s="92" t="s">
        <v>4845</v>
      </c>
      <c r="IM3" s="92" t="s">
        <v>1338</v>
      </c>
      <c r="IN3" s="92" t="s">
        <v>109</v>
      </c>
      <c r="IO3" s="92" t="s">
        <v>4847</v>
      </c>
      <c r="IP3" s="92" t="s">
        <v>1416</v>
      </c>
      <c r="IQ3" s="92">
        <v>2450</v>
      </c>
      <c r="IR3" s="92" t="s">
        <v>1372</v>
      </c>
      <c r="IS3" s="92" t="s">
        <v>109</v>
      </c>
      <c r="IT3" s="92" t="s">
        <v>192</v>
      </c>
      <c r="IU3" s="92" t="s">
        <v>109</v>
      </c>
      <c r="IV3" s="92" t="s">
        <v>192</v>
      </c>
      <c r="IW3" s="92" t="s">
        <v>1425</v>
      </c>
      <c r="IX3" s="92">
        <v>3250</v>
      </c>
      <c r="IY3" s="92" t="s">
        <v>1372</v>
      </c>
      <c r="IZ3" s="92" t="s">
        <v>1341</v>
      </c>
      <c r="JA3" s="92" t="s">
        <v>1342</v>
      </c>
      <c r="JB3" s="92" t="s">
        <v>109</v>
      </c>
      <c r="JC3" s="92" t="s">
        <v>1403</v>
      </c>
      <c r="JD3" s="92" t="s">
        <v>109</v>
      </c>
      <c r="JE3" s="92" t="s">
        <v>109</v>
      </c>
      <c r="JF3" s="92" t="s">
        <v>1372</v>
      </c>
      <c r="JG3" s="92" t="s">
        <v>1372</v>
      </c>
      <c r="JH3" s="92" t="s">
        <v>109</v>
      </c>
      <c r="JI3" s="92" t="s">
        <v>109</v>
      </c>
    </row>
    <row r="4" spans="1:269" x14ac:dyDescent="0.25">
      <c r="A4" t="s">
        <v>2854</v>
      </c>
      <c r="B4" t="s">
        <v>2855</v>
      </c>
      <c r="C4" t="s">
        <v>1305</v>
      </c>
      <c r="D4" t="s">
        <v>1381</v>
      </c>
      <c r="F4" t="s">
        <v>1319</v>
      </c>
      <c r="G4" t="s">
        <v>1307</v>
      </c>
      <c r="H4">
        <v>4</v>
      </c>
      <c r="I4" t="s">
        <v>1358</v>
      </c>
      <c r="J4" t="s">
        <v>2035</v>
      </c>
      <c r="K4" t="s">
        <v>1309</v>
      </c>
      <c r="L4" t="s">
        <v>1310</v>
      </c>
      <c r="M4" t="s">
        <v>1309</v>
      </c>
      <c r="N4" t="s">
        <v>1310</v>
      </c>
      <c r="O4" t="s">
        <v>1310</v>
      </c>
      <c r="P4" t="s">
        <v>1309</v>
      </c>
      <c r="Q4" t="s">
        <v>1309</v>
      </c>
      <c r="R4" t="s">
        <v>1309</v>
      </c>
      <c r="S4">
        <v>2</v>
      </c>
      <c r="U4" t="s">
        <v>1311</v>
      </c>
      <c r="V4" t="s">
        <v>1312</v>
      </c>
      <c r="W4" t="s">
        <v>1311</v>
      </c>
      <c r="X4" t="s">
        <v>1312</v>
      </c>
      <c r="Y4" t="s">
        <v>1312</v>
      </c>
      <c r="Z4" t="s">
        <v>1312</v>
      </c>
      <c r="AA4">
        <v>0</v>
      </c>
      <c r="AC4">
        <v>4</v>
      </c>
      <c r="AD4">
        <v>15000</v>
      </c>
      <c r="AE4">
        <v>13000</v>
      </c>
      <c r="AF4" t="s">
        <v>1313</v>
      </c>
      <c r="AH4" t="s">
        <v>1319</v>
      </c>
      <c r="AI4" t="s">
        <v>4879</v>
      </c>
      <c r="AK4" t="s">
        <v>1307</v>
      </c>
      <c r="CG4" t="s">
        <v>2853</v>
      </c>
      <c r="CH4" t="s">
        <v>1309</v>
      </c>
      <c r="CI4" t="s">
        <v>1309</v>
      </c>
      <c r="CJ4" t="s">
        <v>1309</v>
      </c>
      <c r="CK4" t="s">
        <v>1310</v>
      </c>
      <c r="CL4" t="s">
        <v>1309</v>
      </c>
      <c r="CM4" t="s">
        <v>1309</v>
      </c>
      <c r="CN4" t="s">
        <v>1309</v>
      </c>
      <c r="CO4" t="s">
        <v>1309</v>
      </c>
      <c r="CP4" t="s">
        <v>1309</v>
      </c>
      <c r="CQ4" t="s">
        <v>1309</v>
      </c>
      <c r="CR4" t="s">
        <v>1309</v>
      </c>
      <c r="CS4" t="s">
        <v>1309</v>
      </c>
      <c r="CT4" t="s">
        <v>1309</v>
      </c>
      <c r="CU4" t="s">
        <v>1309</v>
      </c>
      <c r="CV4" t="s">
        <v>1309</v>
      </c>
      <c r="CX4" t="s">
        <v>1698</v>
      </c>
      <c r="CY4" t="s">
        <v>1309</v>
      </c>
      <c r="CZ4" t="s">
        <v>1309</v>
      </c>
      <c r="DA4" t="s">
        <v>1309</v>
      </c>
      <c r="DB4" t="s">
        <v>1309</v>
      </c>
      <c r="DC4" t="s">
        <v>1309</v>
      </c>
      <c r="DD4" t="s">
        <v>1309</v>
      </c>
      <c r="DE4" t="s">
        <v>1309</v>
      </c>
      <c r="DF4" t="s">
        <v>1309</v>
      </c>
      <c r="DG4" t="s">
        <v>1309</v>
      </c>
      <c r="DH4" t="s">
        <v>1309</v>
      </c>
      <c r="DI4" t="s">
        <v>1310</v>
      </c>
      <c r="DJ4" t="s">
        <v>1309</v>
      </c>
      <c r="DK4" t="s">
        <v>1309</v>
      </c>
      <c r="DL4" t="s">
        <v>2856</v>
      </c>
      <c r="DM4" t="s">
        <v>4434</v>
      </c>
      <c r="DO4" t="s">
        <v>1357</v>
      </c>
      <c r="DP4" t="s">
        <v>1309</v>
      </c>
      <c r="DQ4" t="s">
        <v>1309</v>
      </c>
      <c r="DR4" t="s">
        <v>1309</v>
      </c>
      <c r="DS4" t="s">
        <v>1309</v>
      </c>
      <c r="DT4" t="s">
        <v>1310</v>
      </c>
      <c r="DU4" t="s">
        <v>1309</v>
      </c>
      <c r="DV4" t="s">
        <v>1309</v>
      </c>
      <c r="DX4" t="s">
        <v>1358</v>
      </c>
      <c r="DZ4">
        <v>350</v>
      </c>
      <c r="EB4">
        <v>550</v>
      </c>
      <c r="EC4" t="s">
        <v>1358</v>
      </c>
      <c r="ED4">
        <v>650</v>
      </c>
      <c r="EF4">
        <v>950</v>
      </c>
      <c r="EG4" t="s">
        <v>2857</v>
      </c>
      <c r="EH4" t="s">
        <v>1310</v>
      </c>
      <c r="EI4" t="s">
        <v>1309</v>
      </c>
      <c r="EJ4" t="s">
        <v>1309</v>
      </c>
      <c r="EK4" t="s">
        <v>1309</v>
      </c>
      <c r="EL4" t="s">
        <v>1310</v>
      </c>
      <c r="EM4" t="s">
        <v>1309</v>
      </c>
      <c r="EN4" t="s">
        <v>1309</v>
      </c>
      <c r="EO4" t="s">
        <v>1309</v>
      </c>
      <c r="EQ4" t="s">
        <v>1307</v>
      </c>
      <c r="ER4" t="s">
        <v>1319</v>
      </c>
      <c r="ES4" t="s">
        <v>1319</v>
      </c>
      <c r="EU4" t="s">
        <v>2858</v>
      </c>
      <c r="EV4" t="s">
        <v>1309</v>
      </c>
      <c r="EW4" t="s">
        <v>1310</v>
      </c>
      <c r="EX4" t="s">
        <v>1310</v>
      </c>
      <c r="EY4" t="s">
        <v>1309</v>
      </c>
      <c r="EZ4" t="s">
        <v>1309</v>
      </c>
      <c r="FA4" t="s">
        <v>1309</v>
      </c>
      <c r="FB4" t="s">
        <v>1309</v>
      </c>
      <c r="FC4" t="s">
        <v>1309</v>
      </c>
      <c r="FD4" t="s">
        <v>1309</v>
      </c>
      <c r="FE4" t="s">
        <v>1309</v>
      </c>
      <c r="FF4" t="s">
        <v>1309</v>
      </c>
      <c r="FG4" t="s">
        <v>1309</v>
      </c>
      <c r="FH4" t="s">
        <v>1309</v>
      </c>
      <c r="FI4" t="s">
        <v>1309</v>
      </c>
      <c r="FJ4" t="s">
        <v>1309</v>
      </c>
      <c r="FK4" t="s">
        <v>1309</v>
      </c>
      <c r="FL4" t="s">
        <v>1309</v>
      </c>
      <c r="FN4" t="s">
        <v>1319</v>
      </c>
      <c r="FO4" t="s">
        <v>1389</v>
      </c>
      <c r="FP4" t="s">
        <v>1310</v>
      </c>
      <c r="FQ4" t="s">
        <v>1310</v>
      </c>
      <c r="FR4" t="s">
        <v>1309</v>
      </c>
      <c r="FS4" t="s">
        <v>1309</v>
      </c>
      <c r="FT4" t="s">
        <v>1309</v>
      </c>
      <c r="FU4" t="s">
        <v>1310</v>
      </c>
      <c r="FV4" t="s">
        <v>1309</v>
      </c>
      <c r="FW4" t="s">
        <v>1309</v>
      </c>
      <c r="FX4" t="s">
        <v>1309</v>
      </c>
      <c r="FY4" t="s">
        <v>1309</v>
      </c>
      <c r="FZ4" t="s">
        <v>1309</v>
      </c>
      <c r="GA4" t="s">
        <v>1309</v>
      </c>
      <c r="GC4" t="s">
        <v>1324</v>
      </c>
      <c r="GD4" t="s">
        <v>1324</v>
      </c>
      <c r="GN4" t="s">
        <v>1328</v>
      </c>
      <c r="GO4" t="s">
        <v>1626</v>
      </c>
      <c r="GP4" t="s">
        <v>1310</v>
      </c>
      <c r="GQ4" t="s">
        <v>1309</v>
      </c>
      <c r="GR4" t="s">
        <v>1309</v>
      </c>
      <c r="GS4" t="s">
        <v>1309</v>
      </c>
      <c r="GT4" t="s">
        <v>1309</v>
      </c>
      <c r="GU4" t="s">
        <v>1309</v>
      </c>
      <c r="GV4" t="s">
        <v>1309</v>
      </c>
      <c r="GW4" t="s">
        <v>1309</v>
      </c>
      <c r="GX4" t="s">
        <v>1309</v>
      </c>
      <c r="GY4" t="s">
        <v>1309</v>
      </c>
      <c r="GZ4" t="s">
        <v>1309</v>
      </c>
      <c r="HB4" t="s">
        <v>1307</v>
      </c>
      <c r="HR4" t="s">
        <v>1393</v>
      </c>
      <c r="HS4" t="s">
        <v>1310</v>
      </c>
      <c r="HT4" t="s">
        <v>1309</v>
      </c>
      <c r="HU4" t="s">
        <v>1309</v>
      </c>
      <c r="HV4" t="s">
        <v>1309</v>
      </c>
      <c r="HW4" t="s">
        <v>1309</v>
      </c>
      <c r="HX4" t="s">
        <v>1309</v>
      </c>
      <c r="HY4" t="s">
        <v>1309</v>
      </c>
      <c r="HZ4" t="s">
        <v>1309</v>
      </c>
      <c r="IB4" s="92" t="s">
        <v>2230</v>
      </c>
      <c r="IC4" s="92" t="s">
        <v>2231</v>
      </c>
      <c r="ID4" s="92">
        <v>39</v>
      </c>
      <c r="IE4" s="92" t="s">
        <v>1307</v>
      </c>
      <c r="IF4" s="92" t="s">
        <v>4398</v>
      </c>
      <c r="IG4" s="92" t="s">
        <v>1526</v>
      </c>
      <c r="IH4" s="92" t="s">
        <v>1296</v>
      </c>
      <c r="II4" s="92" t="s">
        <v>70</v>
      </c>
      <c r="IJ4" s="92" t="s">
        <v>1397</v>
      </c>
      <c r="IK4" s="92" t="s">
        <v>1337</v>
      </c>
      <c r="IL4" s="92" t="s">
        <v>4845</v>
      </c>
      <c r="IM4" s="92" t="s">
        <v>1415</v>
      </c>
      <c r="IN4" s="92" t="s">
        <v>109</v>
      </c>
      <c r="IO4" s="92" t="s">
        <v>4848</v>
      </c>
      <c r="IP4" s="92" t="s">
        <v>1371</v>
      </c>
      <c r="IQ4" s="92">
        <v>900</v>
      </c>
      <c r="IR4" s="92" t="s">
        <v>1372</v>
      </c>
      <c r="IS4" s="92" t="s">
        <v>192</v>
      </c>
      <c r="IT4" s="92" t="s">
        <v>109</v>
      </c>
      <c r="IU4" s="92" t="s">
        <v>192</v>
      </c>
      <c r="IV4" s="92" t="s">
        <v>109</v>
      </c>
      <c r="IW4" s="92" t="s">
        <v>1374</v>
      </c>
      <c r="IX4" s="92">
        <v>1600</v>
      </c>
      <c r="IY4" s="92" t="s">
        <v>4438</v>
      </c>
      <c r="IZ4" s="92" t="s">
        <v>1440</v>
      </c>
      <c r="JA4" s="92" t="s">
        <v>1375</v>
      </c>
      <c r="JB4" s="92" t="s">
        <v>192</v>
      </c>
      <c r="JC4" s="92" t="s">
        <v>1403</v>
      </c>
      <c r="JD4" s="92" t="s">
        <v>109</v>
      </c>
      <c r="JE4" s="92" t="s">
        <v>109</v>
      </c>
      <c r="JF4" s="92" t="s">
        <v>1372</v>
      </c>
      <c r="JG4" s="92" t="s">
        <v>4438</v>
      </c>
      <c r="JH4" s="92" t="s">
        <v>109</v>
      </c>
      <c r="JI4" s="92" t="s">
        <v>109</v>
      </c>
    </row>
    <row r="5" spans="1:269" x14ac:dyDescent="0.25">
      <c r="A5" t="s">
        <v>2859</v>
      </c>
      <c r="B5" t="s">
        <v>2860</v>
      </c>
      <c r="C5" t="s">
        <v>1305</v>
      </c>
      <c r="D5" t="s">
        <v>1306</v>
      </c>
      <c r="F5" t="s">
        <v>1307</v>
      </c>
      <c r="G5" t="s">
        <v>1319</v>
      </c>
      <c r="H5">
        <v>1</v>
      </c>
      <c r="J5" t="s">
        <v>1308</v>
      </c>
      <c r="K5" t="s">
        <v>1309</v>
      </c>
      <c r="L5" t="s">
        <v>1309</v>
      </c>
      <c r="M5" t="s">
        <v>1309</v>
      </c>
      <c r="N5" t="s">
        <v>1309</v>
      </c>
      <c r="O5" t="s">
        <v>1309</v>
      </c>
      <c r="P5" t="s">
        <v>1309</v>
      </c>
      <c r="Q5" t="s">
        <v>1310</v>
      </c>
      <c r="R5" t="s">
        <v>1309</v>
      </c>
      <c r="U5" t="s">
        <v>1312</v>
      </c>
      <c r="V5" t="s">
        <v>1312</v>
      </c>
      <c r="W5" t="s">
        <v>1311</v>
      </c>
      <c r="X5" t="s">
        <v>1312</v>
      </c>
      <c r="Y5" t="s">
        <v>1312</v>
      </c>
      <c r="Z5" t="s">
        <v>1312</v>
      </c>
      <c r="AC5">
        <v>1</v>
      </c>
      <c r="AD5">
        <v>15000</v>
      </c>
      <c r="AE5">
        <v>10000</v>
      </c>
      <c r="AF5" t="s">
        <v>1313</v>
      </c>
      <c r="AH5" t="s">
        <v>1319</v>
      </c>
      <c r="AI5" t="s">
        <v>4876</v>
      </c>
      <c r="AK5" t="s">
        <v>1319</v>
      </c>
      <c r="AL5" t="s">
        <v>1315</v>
      </c>
      <c r="AN5" t="s">
        <v>1316</v>
      </c>
      <c r="BU5" t="s">
        <v>2853</v>
      </c>
      <c r="BV5" t="s">
        <v>1310</v>
      </c>
      <c r="BW5" t="s">
        <v>1309</v>
      </c>
      <c r="BX5" t="s">
        <v>1309</v>
      </c>
      <c r="BY5" t="s">
        <v>1309</v>
      </c>
      <c r="BZ5" t="s">
        <v>1309</v>
      </c>
      <c r="CA5" t="s">
        <v>1309</v>
      </c>
      <c r="CB5" t="s">
        <v>1309</v>
      </c>
      <c r="CC5" t="s">
        <v>1309</v>
      </c>
      <c r="CD5" t="s">
        <v>1309</v>
      </c>
      <c r="CE5" t="s">
        <v>1309</v>
      </c>
      <c r="CX5" t="s">
        <v>2142</v>
      </c>
      <c r="CY5" t="s">
        <v>1310</v>
      </c>
      <c r="CZ5" t="s">
        <v>1309</v>
      </c>
      <c r="DA5" t="s">
        <v>1309</v>
      </c>
      <c r="DB5" t="s">
        <v>1309</v>
      </c>
      <c r="DC5" t="s">
        <v>1309</v>
      </c>
      <c r="DD5" t="s">
        <v>1310</v>
      </c>
      <c r="DE5" t="s">
        <v>1309</v>
      </c>
      <c r="DF5" t="s">
        <v>1309</v>
      </c>
      <c r="DG5" t="s">
        <v>1310</v>
      </c>
      <c r="DH5" t="s">
        <v>1309</v>
      </c>
      <c r="DI5" t="s">
        <v>1309</v>
      </c>
      <c r="DJ5" t="s">
        <v>1309</v>
      </c>
      <c r="DK5" t="s">
        <v>1309</v>
      </c>
      <c r="DM5" t="s">
        <v>4435</v>
      </c>
      <c r="DO5" t="s">
        <v>1308</v>
      </c>
      <c r="DP5" t="s">
        <v>1310</v>
      </c>
      <c r="DQ5" t="s">
        <v>1309</v>
      </c>
      <c r="DR5" t="s">
        <v>1309</v>
      </c>
      <c r="DS5" t="s">
        <v>1309</v>
      </c>
      <c r="DT5" t="s">
        <v>1309</v>
      </c>
      <c r="DU5" t="s">
        <v>1309</v>
      </c>
      <c r="DV5" t="s">
        <v>1309</v>
      </c>
      <c r="DX5" t="s">
        <v>1358</v>
      </c>
      <c r="DY5" t="s">
        <v>1319</v>
      </c>
      <c r="DZ5">
        <v>100</v>
      </c>
      <c r="EA5">
        <v>1400</v>
      </c>
      <c r="EB5">
        <v>500</v>
      </c>
      <c r="EC5" t="s">
        <v>1358</v>
      </c>
      <c r="ED5">
        <v>100</v>
      </c>
      <c r="EE5">
        <v>1500</v>
      </c>
      <c r="EF5">
        <v>350</v>
      </c>
      <c r="EG5" t="s">
        <v>1703</v>
      </c>
      <c r="EH5" t="s">
        <v>1310</v>
      </c>
      <c r="EI5" t="s">
        <v>1309</v>
      </c>
      <c r="EJ5" t="s">
        <v>1309</v>
      </c>
      <c r="EK5" t="s">
        <v>1309</v>
      </c>
      <c r="EL5" t="s">
        <v>1309</v>
      </c>
      <c r="EM5" t="s">
        <v>1309</v>
      </c>
      <c r="EN5" t="s">
        <v>1309</v>
      </c>
      <c r="EO5" t="s">
        <v>1309</v>
      </c>
      <c r="EQ5" t="s">
        <v>1307</v>
      </c>
      <c r="ER5" t="s">
        <v>1307</v>
      </c>
      <c r="ES5" t="s">
        <v>1307</v>
      </c>
      <c r="FN5" t="s">
        <v>1307</v>
      </c>
      <c r="GC5" t="s">
        <v>1324</v>
      </c>
      <c r="GD5" t="s">
        <v>1324</v>
      </c>
      <c r="GN5" t="s">
        <v>1364</v>
      </c>
      <c r="HB5" t="s">
        <v>1307</v>
      </c>
      <c r="HR5" t="s">
        <v>2861</v>
      </c>
      <c r="HS5" t="s">
        <v>1309</v>
      </c>
      <c r="HT5" t="s">
        <v>1309</v>
      </c>
      <c r="HU5" t="s">
        <v>1310</v>
      </c>
      <c r="HV5" t="s">
        <v>1309</v>
      </c>
      <c r="HW5" t="s">
        <v>1309</v>
      </c>
      <c r="HX5" t="s">
        <v>1309</v>
      </c>
      <c r="HY5" t="s">
        <v>1309</v>
      </c>
      <c r="HZ5" t="s">
        <v>1309</v>
      </c>
      <c r="IB5" s="92" t="s">
        <v>1333</v>
      </c>
      <c r="IC5" s="92" t="s">
        <v>1334</v>
      </c>
      <c r="ID5" s="92">
        <v>26</v>
      </c>
      <c r="IE5" s="92" t="s">
        <v>1307</v>
      </c>
      <c r="IF5" s="92" t="s">
        <v>4396</v>
      </c>
      <c r="IG5" s="92" t="s">
        <v>1336</v>
      </c>
      <c r="IH5" s="92" t="s">
        <v>1296</v>
      </c>
      <c r="II5" s="92" t="s">
        <v>71</v>
      </c>
      <c r="IJ5" s="92" t="s">
        <v>5549</v>
      </c>
      <c r="IK5" s="92" t="s">
        <v>1398</v>
      </c>
      <c r="IL5" s="92" t="s">
        <v>4844</v>
      </c>
      <c r="IM5" s="92" t="s">
        <v>1338</v>
      </c>
      <c r="IN5" s="92" t="s">
        <v>109</v>
      </c>
      <c r="IO5" s="92" t="s">
        <v>4844</v>
      </c>
      <c r="IP5" s="92" t="s">
        <v>1371</v>
      </c>
      <c r="IQ5" s="92">
        <v>2000</v>
      </c>
      <c r="IR5" s="92" t="s">
        <v>4438</v>
      </c>
      <c r="IS5" s="92" t="s">
        <v>192</v>
      </c>
      <c r="IT5" s="92" t="s">
        <v>192</v>
      </c>
      <c r="IU5" s="92" t="s">
        <v>192</v>
      </c>
      <c r="IV5" s="92" t="s">
        <v>192</v>
      </c>
      <c r="IW5" s="92" t="s">
        <v>1440</v>
      </c>
      <c r="IX5" s="92">
        <v>1950</v>
      </c>
      <c r="IY5" s="92" t="s">
        <v>4438</v>
      </c>
      <c r="IZ5" s="92" t="s">
        <v>1440</v>
      </c>
      <c r="JA5" s="92" t="s">
        <v>1342</v>
      </c>
      <c r="JB5" s="92" t="s">
        <v>192</v>
      </c>
      <c r="JC5" s="92" t="s">
        <v>5795</v>
      </c>
      <c r="JD5" s="92" t="s">
        <v>109</v>
      </c>
      <c r="JE5" s="92" t="s">
        <v>109</v>
      </c>
      <c r="JF5" s="92" t="s">
        <v>4438</v>
      </c>
      <c r="JG5" s="92" t="s">
        <v>4438</v>
      </c>
      <c r="JH5" s="92" t="s">
        <v>109</v>
      </c>
      <c r="JI5" s="92" t="s">
        <v>109</v>
      </c>
    </row>
    <row r="6" spans="1:269" x14ac:dyDescent="0.25">
      <c r="A6" t="s">
        <v>2862</v>
      </c>
      <c r="B6" t="s">
        <v>2863</v>
      </c>
      <c r="C6" t="s">
        <v>1305</v>
      </c>
      <c r="D6" t="s">
        <v>1381</v>
      </c>
      <c r="F6" t="s">
        <v>1319</v>
      </c>
      <c r="G6" t="s">
        <v>1319</v>
      </c>
      <c r="H6">
        <v>3</v>
      </c>
      <c r="I6" t="s">
        <v>1358</v>
      </c>
      <c r="J6" t="s">
        <v>1406</v>
      </c>
      <c r="K6" t="s">
        <v>1309</v>
      </c>
      <c r="L6" t="s">
        <v>1310</v>
      </c>
      <c r="M6" t="s">
        <v>1309</v>
      </c>
      <c r="N6" t="s">
        <v>1309</v>
      </c>
      <c r="O6" t="s">
        <v>1309</v>
      </c>
      <c r="P6" t="s">
        <v>1309</v>
      </c>
      <c r="Q6" t="s">
        <v>1309</v>
      </c>
      <c r="R6" t="s">
        <v>1309</v>
      </c>
      <c r="S6">
        <v>1</v>
      </c>
      <c r="U6" t="s">
        <v>1312</v>
      </c>
      <c r="V6" t="s">
        <v>1311</v>
      </c>
      <c r="W6" t="s">
        <v>1312</v>
      </c>
      <c r="X6" t="s">
        <v>1312</v>
      </c>
      <c r="Y6" t="s">
        <v>1312</v>
      </c>
      <c r="Z6" t="s">
        <v>1312</v>
      </c>
      <c r="AC6">
        <v>2</v>
      </c>
      <c r="AD6">
        <v>2000</v>
      </c>
      <c r="AE6">
        <v>3000</v>
      </c>
      <c r="AF6" t="s">
        <v>1351</v>
      </c>
      <c r="AH6" t="s">
        <v>1319</v>
      </c>
      <c r="AI6" t="s">
        <v>4876</v>
      </c>
      <c r="AK6" t="s">
        <v>1307</v>
      </c>
      <c r="CG6" t="s">
        <v>2864</v>
      </c>
      <c r="CH6" t="s">
        <v>1309</v>
      </c>
      <c r="CI6" t="s">
        <v>1309</v>
      </c>
      <c r="CJ6" t="s">
        <v>1310</v>
      </c>
      <c r="CK6" t="s">
        <v>1309</v>
      </c>
      <c r="CL6" t="s">
        <v>1309</v>
      </c>
      <c r="CM6" t="s">
        <v>1309</v>
      </c>
      <c r="CN6" t="s">
        <v>1309</v>
      </c>
      <c r="CO6" t="s">
        <v>1309</v>
      </c>
      <c r="CP6" t="s">
        <v>1310</v>
      </c>
      <c r="CQ6" t="s">
        <v>1309</v>
      </c>
      <c r="CR6" t="s">
        <v>1309</v>
      </c>
      <c r="CS6" t="s">
        <v>1309</v>
      </c>
      <c r="CT6" t="s">
        <v>1310</v>
      </c>
      <c r="CU6" t="s">
        <v>1309</v>
      </c>
      <c r="CV6" t="s">
        <v>1309</v>
      </c>
      <c r="CW6" t="s">
        <v>2865</v>
      </c>
      <c r="CX6" t="s">
        <v>1355</v>
      </c>
      <c r="CY6" t="s">
        <v>1309</v>
      </c>
      <c r="CZ6" t="s">
        <v>1309</v>
      </c>
      <c r="DA6" t="s">
        <v>1309</v>
      </c>
      <c r="DB6" t="s">
        <v>1309</v>
      </c>
      <c r="DC6" t="s">
        <v>1309</v>
      </c>
      <c r="DD6" t="s">
        <v>1309</v>
      </c>
      <c r="DE6" t="s">
        <v>1309</v>
      </c>
      <c r="DF6" t="s">
        <v>1309</v>
      </c>
      <c r="DG6" t="s">
        <v>1310</v>
      </c>
      <c r="DH6" t="s">
        <v>1309</v>
      </c>
      <c r="DI6" t="s">
        <v>1309</v>
      </c>
      <c r="DJ6" t="s">
        <v>1309</v>
      </c>
      <c r="DK6" t="s">
        <v>1309</v>
      </c>
      <c r="DM6" t="s">
        <v>4434</v>
      </c>
      <c r="DO6" t="s">
        <v>1308</v>
      </c>
      <c r="DP6" t="s">
        <v>1310</v>
      </c>
      <c r="DQ6" t="s">
        <v>1309</v>
      </c>
      <c r="DR6" t="s">
        <v>1309</v>
      </c>
      <c r="DS6" t="s">
        <v>1309</v>
      </c>
      <c r="DT6" t="s">
        <v>1309</v>
      </c>
      <c r="DU6" t="s">
        <v>1309</v>
      </c>
      <c r="DV6" t="s">
        <v>1309</v>
      </c>
      <c r="DX6" t="s">
        <v>1358</v>
      </c>
      <c r="DZ6">
        <v>6200</v>
      </c>
      <c r="EB6">
        <v>400</v>
      </c>
      <c r="EC6" t="s">
        <v>1358</v>
      </c>
      <c r="ED6">
        <v>7600</v>
      </c>
      <c r="EG6" t="s">
        <v>1703</v>
      </c>
      <c r="EH6" t="s">
        <v>1310</v>
      </c>
      <c r="EI6" t="s">
        <v>1309</v>
      </c>
      <c r="EJ6" t="s">
        <v>1309</v>
      </c>
      <c r="EK6" t="s">
        <v>1309</v>
      </c>
      <c r="EL6" t="s">
        <v>1309</v>
      </c>
      <c r="EM6" t="s">
        <v>1309</v>
      </c>
      <c r="EN6" t="s">
        <v>1309</v>
      </c>
      <c r="EO6" t="s">
        <v>1309</v>
      </c>
      <c r="EQ6" t="s">
        <v>1319</v>
      </c>
      <c r="ER6" t="s">
        <v>1319</v>
      </c>
      <c r="ES6" t="s">
        <v>1319</v>
      </c>
      <c r="EU6" t="s">
        <v>2866</v>
      </c>
      <c r="EV6" t="s">
        <v>1310</v>
      </c>
      <c r="EW6" t="s">
        <v>1309</v>
      </c>
      <c r="EX6" t="s">
        <v>1309</v>
      </c>
      <c r="EY6" t="s">
        <v>1309</v>
      </c>
      <c r="EZ6" t="s">
        <v>1309</v>
      </c>
      <c r="FA6" t="s">
        <v>1309</v>
      </c>
      <c r="FB6" t="s">
        <v>1309</v>
      </c>
      <c r="FC6" t="s">
        <v>1309</v>
      </c>
      <c r="FD6" t="s">
        <v>1309</v>
      </c>
      <c r="FE6" t="s">
        <v>1309</v>
      </c>
      <c r="FF6" t="s">
        <v>1309</v>
      </c>
      <c r="FG6" t="s">
        <v>1310</v>
      </c>
      <c r="FH6" t="s">
        <v>1309</v>
      </c>
      <c r="FI6" t="s">
        <v>1309</v>
      </c>
      <c r="FJ6" t="s">
        <v>1309</v>
      </c>
      <c r="FK6" t="s">
        <v>1309</v>
      </c>
      <c r="FL6" t="s">
        <v>1309</v>
      </c>
      <c r="FN6" t="s">
        <v>1319</v>
      </c>
      <c r="FO6" t="s">
        <v>1435</v>
      </c>
      <c r="FP6" t="s">
        <v>1310</v>
      </c>
      <c r="FQ6" t="s">
        <v>1309</v>
      </c>
      <c r="FR6" t="s">
        <v>1309</v>
      </c>
      <c r="FS6" t="s">
        <v>1309</v>
      </c>
      <c r="FT6" t="s">
        <v>1309</v>
      </c>
      <c r="FU6" t="s">
        <v>1309</v>
      </c>
      <c r="FV6" t="s">
        <v>1309</v>
      </c>
      <c r="FW6" t="s">
        <v>1309</v>
      </c>
      <c r="FX6" t="s">
        <v>1309</v>
      </c>
      <c r="FY6" t="s">
        <v>1309</v>
      </c>
      <c r="FZ6" t="s">
        <v>1309</v>
      </c>
      <c r="GA6" t="s">
        <v>1309</v>
      </c>
      <c r="GC6" t="s">
        <v>1324</v>
      </c>
      <c r="GD6" t="s">
        <v>1436</v>
      </c>
      <c r="GE6" t="s">
        <v>1307</v>
      </c>
      <c r="GN6" t="s">
        <v>1437</v>
      </c>
      <c r="GO6" t="s">
        <v>1513</v>
      </c>
      <c r="GP6" t="s">
        <v>1309</v>
      </c>
      <c r="GQ6" t="s">
        <v>1310</v>
      </c>
      <c r="GR6" t="s">
        <v>1309</v>
      </c>
      <c r="GS6" t="s">
        <v>1309</v>
      </c>
      <c r="GT6" t="s">
        <v>1310</v>
      </c>
      <c r="GU6" t="s">
        <v>1309</v>
      </c>
      <c r="GV6" t="s">
        <v>1309</v>
      </c>
      <c r="GW6" t="s">
        <v>1309</v>
      </c>
      <c r="GX6" t="s">
        <v>1309</v>
      </c>
      <c r="GY6" t="s">
        <v>1309</v>
      </c>
      <c r="GZ6" t="s">
        <v>1309</v>
      </c>
      <c r="HB6" t="s">
        <v>1307</v>
      </c>
      <c r="HR6" t="s">
        <v>1451</v>
      </c>
      <c r="HS6" t="s">
        <v>1310</v>
      </c>
      <c r="HT6" t="s">
        <v>1309</v>
      </c>
      <c r="HU6" t="s">
        <v>1309</v>
      </c>
      <c r="HV6" t="s">
        <v>1310</v>
      </c>
      <c r="HW6" t="s">
        <v>1309</v>
      </c>
      <c r="HX6" t="s">
        <v>1309</v>
      </c>
      <c r="HY6" t="s">
        <v>1309</v>
      </c>
      <c r="HZ6" t="s">
        <v>1309</v>
      </c>
      <c r="IB6" s="92" t="s">
        <v>1333</v>
      </c>
      <c r="IC6" s="92" t="s">
        <v>1334</v>
      </c>
      <c r="ID6" s="92">
        <v>36</v>
      </c>
      <c r="IE6" s="92" t="s">
        <v>1307</v>
      </c>
      <c r="IF6" s="92" t="s">
        <v>4398</v>
      </c>
      <c r="IG6" s="92" t="s">
        <v>1336</v>
      </c>
      <c r="IH6" s="92" t="s">
        <v>1296</v>
      </c>
      <c r="II6" s="92" t="s">
        <v>71</v>
      </c>
      <c r="IJ6" s="92" t="s">
        <v>1397</v>
      </c>
      <c r="IK6" s="92" t="s">
        <v>1337</v>
      </c>
      <c r="IL6" s="92" t="s">
        <v>4845</v>
      </c>
      <c r="IM6" s="92" t="s">
        <v>1415</v>
      </c>
      <c r="IN6" s="92" t="s">
        <v>109</v>
      </c>
      <c r="IO6" s="92" t="s">
        <v>4847</v>
      </c>
      <c r="IP6" s="92" t="s">
        <v>5561</v>
      </c>
      <c r="IQ6" s="92">
        <v>6600</v>
      </c>
      <c r="IR6" s="92" t="s">
        <v>1426</v>
      </c>
      <c r="IS6" s="92" t="s">
        <v>192</v>
      </c>
      <c r="IT6" s="92" t="s">
        <v>109</v>
      </c>
      <c r="IU6" s="92" t="s">
        <v>192</v>
      </c>
      <c r="IV6" s="92" t="s">
        <v>109</v>
      </c>
      <c r="IW6" s="92" t="s">
        <v>1341</v>
      </c>
      <c r="IX6" s="92">
        <v>7600</v>
      </c>
      <c r="IY6" s="92" t="s">
        <v>1426</v>
      </c>
      <c r="IZ6" s="92" t="s">
        <v>1341</v>
      </c>
      <c r="JA6" s="92" t="s">
        <v>1460</v>
      </c>
      <c r="JB6" s="92" t="s">
        <v>192</v>
      </c>
      <c r="JC6" s="92" t="s">
        <v>1403</v>
      </c>
      <c r="JD6" s="92" t="s">
        <v>109</v>
      </c>
      <c r="JE6" s="92" t="s">
        <v>109</v>
      </c>
      <c r="JF6" s="92" t="s">
        <v>1400</v>
      </c>
      <c r="JG6" s="92" t="s">
        <v>1400</v>
      </c>
      <c r="JH6" s="92" t="s">
        <v>192</v>
      </c>
      <c r="JI6" s="92" t="s">
        <v>192</v>
      </c>
    </row>
    <row r="7" spans="1:269" x14ac:dyDescent="0.25">
      <c r="A7" t="s">
        <v>2867</v>
      </c>
      <c r="B7" t="s">
        <v>2868</v>
      </c>
      <c r="C7" t="s">
        <v>1429</v>
      </c>
      <c r="D7" t="s">
        <v>1306</v>
      </c>
      <c r="F7" t="s">
        <v>1307</v>
      </c>
      <c r="G7" t="s">
        <v>1319</v>
      </c>
      <c r="H7">
        <v>3</v>
      </c>
      <c r="I7" t="s">
        <v>1307</v>
      </c>
      <c r="J7" t="s">
        <v>1406</v>
      </c>
      <c r="K7" t="s">
        <v>1309</v>
      </c>
      <c r="L7" t="s">
        <v>1310</v>
      </c>
      <c r="M7" t="s">
        <v>1309</v>
      </c>
      <c r="N7" t="s">
        <v>1309</v>
      </c>
      <c r="O7" t="s">
        <v>1309</v>
      </c>
      <c r="P7" t="s">
        <v>1309</v>
      </c>
      <c r="Q7" t="s">
        <v>1309</v>
      </c>
      <c r="R7" t="s">
        <v>1309</v>
      </c>
      <c r="S7">
        <v>1</v>
      </c>
      <c r="U7" t="s">
        <v>1311</v>
      </c>
      <c r="V7" t="s">
        <v>1312</v>
      </c>
      <c r="W7" t="s">
        <v>1311</v>
      </c>
      <c r="X7" t="s">
        <v>1312</v>
      </c>
      <c r="Y7" t="s">
        <v>1312</v>
      </c>
      <c r="Z7" t="s">
        <v>1312</v>
      </c>
      <c r="AC7">
        <v>2</v>
      </c>
      <c r="AD7">
        <v>26000</v>
      </c>
      <c r="AE7">
        <v>11000</v>
      </c>
      <c r="AF7" t="s">
        <v>1313</v>
      </c>
      <c r="AH7" t="s">
        <v>1319</v>
      </c>
      <c r="AI7" t="s">
        <v>4879</v>
      </c>
      <c r="AK7" t="s">
        <v>1319</v>
      </c>
      <c r="AL7" t="s">
        <v>1315</v>
      </c>
      <c r="AN7" t="s">
        <v>1316</v>
      </c>
      <c r="BU7" t="s">
        <v>2853</v>
      </c>
      <c r="BV7" t="s">
        <v>1310</v>
      </c>
      <c r="BW7" t="s">
        <v>1309</v>
      </c>
      <c r="BX7" t="s">
        <v>1309</v>
      </c>
      <c r="BY7" t="s">
        <v>1309</v>
      </c>
      <c r="BZ7" t="s">
        <v>1309</v>
      </c>
      <c r="CA7" t="s">
        <v>1309</v>
      </c>
      <c r="CB7" t="s">
        <v>1309</v>
      </c>
      <c r="CC7" t="s">
        <v>1309</v>
      </c>
      <c r="CD7" t="s">
        <v>1309</v>
      </c>
      <c r="CE7" t="s">
        <v>1309</v>
      </c>
      <c r="CX7" t="s">
        <v>2869</v>
      </c>
      <c r="CY7" t="s">
        <v>1310</v>
      </c>
      <c r="CZ7" t="s">
        <v>1309</v>
      </c>
      <c r="DA7" t="s">
        <v>1309</v>
      </c>
      <c r="DB7" t="s">
        <v>1309</v>
      </c>
      <c r="DC7" t="s">
        <v>1310</v>
      </c>
      <c r="DD7" t="s">
        <v>1309</v>
      </c>
      <c r="DE7" t="s">
        <v>1309</v>
      </c>
      <c r="DF7" t="s">
        <v>1309</v>
      </c>
      <c r="DG7" t="s">
        <v>1309</v>
      </c>
      <c r="DH7" t="s">
        <v>1309</v>
      </c>
      <c r="DI7" t="s">
        <v>1309</v>
      </c>
      <c r="DJ7" t="s">
        <v>1309</v>
      </c>
      <c r="DK7" t="s">
        <v>1309</v>
      </c>
      <c r="DM7" t="s">
        <v>4434</v>
      </c>
      <c r="DO7" t="s">
        <v>1357</v>
      </c>
      <c r="DP7" t="s">
        <v>1309</v>
      </c>
      <c r="DQ7" t="s">
        <v>1309</v>
      </c>
      <c r="DR7" t="s">
        <v>1309</v>
      </c>
      <c r="DS7" t="s">
        <v>1309</v>
      </c>
      <c r="DT7" t="s">
        <v>1310</v>
      </c>
      <c r="DU7" t="s">
        <v>1309</v>
      </c>
      <c r="DV7" t="s">
        <v>1309</v>
      </c>
      <c r="DX7" t="s">
        <v>1358</v>
      </c>
      <c r="DZ7">
        <v>2500</v>
      </c>
      <c r="EB7">
        <v>400</v>
      </c>
      <c r="EC7" t="s">
        <v>1358</v>
      </c>
      <c r="ED7">
        <v>2500</v>
      </c>
      <c r="EF7">
        <v>600</v>
      </c>
      <c r="EG7" t="s">
        <v>1703</v>
      </c>
      <c r="EH7" t="s">
        <v>1310</v>
      </c>
      <c r="EI7" t="s">
        <v>1309</v>
      </c>
      <c r="EJ7" t="s">
        <v>1309</v>
      </c>
      <c r="EK7" t="s">
        <v>1309</v>
      </c>
      <c r="EL7" t="s">
        <v>1309</v>
      </c>
      <c r="EM7" t="s">
        <v>1309</v>
      </c>
      <c r="EN7" t="s">
        <v>1309</v>
      </c>
      <c r="EO7" t="s">
        <v>1309</v>
      </c>
      <c r="EQ7" t="s">
        <v>1319</v>
      </c>
      <c r="ER7" t="s">
        <v>1319</v>
      </c>
      <c r="ES7" t="s">
        <v>1319</v>
      </c>
      <c r="EU7" t="s">
        <v>2870</v>
      </c>
      <c r="EV7" t="s">
        <v>1309</v>
      </c>
      <c r="EW7" t="s">
        <v>1309</v>
      </c>
      <c r="EX7" t="s">
        <v>1310</v>
      </c>
      <c r="EY7" t="s">
        <v>1309</v>
      </c>
      <c r="EZ7" t="s">
        <v>1309</v>
      </c>
      <c r="FA7" t="s">
        <v>1310</v>
      </c>
      <c r="FB7" t="s">
        <v>1309</v>
      </c>
      <c r="FC7" t="s">
        <v>1309</v>
      </c>
      <c r="FD7" t="s">
        <v>1309</v>
      </c>
      <c r="FE7" t="s">
        <v>1309</v>
      </c>
      <c r="FF7" t="s">
        <v>1309</v>
      </c>
      <c r="FG7" t="s">
        <v>1310</v>
      </c>
      <c r="FH7" t="s">
        <v>1310</v>
      </c>
      <c r="FI7" t="s">
        <v>1309</v>
      </c>
      <c r="FJ7" t="s">
        <v>1309</v>
      </c>
      <c r="FK7" t="s">
        <v>1309</v>
      </c>
      <c r="FL7" t="s">
        <v>1309</v>
      </c>
      <c r="FN7" t="s">
        <v>1319</v>
      </c>
      <c r="FO7" t="s">
        <v>1649</v>
      </c>
      <c r="FP7" t="s">
        <v>1310</v>
      </c>
      <c r="FQ7" t="s">
        <v>1310</v>
      </c>
      <c r="FR7" t="s">
        <v>1309</v>
      </c>
      <c r="FS7" t="s">
        <v>1309</v>
      </c>
      <c r="FT7" t="s">
        <v>1309</v>
      </c>
      <c r="FU7" t="s">
        <v>1309</v>
      </c>
      <c r="FV7" t="s">
        <v>1309</v>
      </c>
      <c r="FW7" t="s">
        <v>1309</v>
      </c>
      <c r="FX7" t="s">
        <v>1309</v>
      </c>
      <c r="FY7" t="s">
        <v>1309</v>
      </c>
      <c r="FZ7" t="s">
        <v>1309</v>
      </c>
      <c r="GA7" t="s">
        <v>1309</v>
      </c>
      <c r="GC7" t="s">
        <v>1436</v>
      </c>
      <c r="GD7" t="s">
        <v>1436</v>
      </c>
      <c r="GE7" t="s">
        <v>1319</v>
      </c>
      <c r="GF7" t="s">
        <v>2169</v>
      </c>
      <c r="GG7" t="s">
        <v>1310</v>
      </c>
      <c r="GH7" t="s">
        <v>1310</v>
      </c>
      <c r="GI7" t="s">
        <v>1309</v>
      </c>
      <c r="GJ7" t="s">
        <v>1309</v>
      </c>
      <c r="GK7" t="s">
        <v>1309</v>
      </c>
      <c r="GL7" t="s">
        <v>1309</v>
      </c>
      <c r="GN7" t="s">
        <v>1692</v>
      </c>
      <c r="GO7" t="s">
        <v>2871</v>
      </c>
      <c r="GP7" t="s">
        <v>1310</v>
      </c>
      <c r="GQ7" t="s">
        <v>1309</v>
      </c>
      <c r="GR7" t="s">
        <v>1310</v>
      </c>
      <c r="GS7" t="s">
        <v>1309</v>
      </c>
      <c r="GT7" t="s">
        <v>1309</v>
      </c>
      <c r="GU7" t="s">
        <v>1309</v>
      </c>
      <c r="GV7" t="s">
        <v>1309</v>
      </c>
      <c r="GW7" t="s">
        <v>1309</v>
      </c>
      <c r="GX7" t="s">
        <v>1310</v>
      </c>
      <c r="GY7" t="s">
        <v>1309</v>
      </c>
      <c r="GZ7" t="s">
        <v>1309</v>
      </c>
      <c r="HA7" t="s">
        <v>2872</v>
      </c>
      <c r="HB7" t="s">
        <v>1319</v>
      </c>
      <c r="HC7" t="s">
        <v>2873</v>
      </c>
      <c r="HD7" t="s">
        <v>1310</v>
      </c>
      <c r="HE7" t="s">
        <v>1309</v>
      </c>
      <c r="HF7" t="s">
        <v>1309</v>
      </c>
      <c r="HG7" t="s">
        <v>1309</v>
      </c>
      <c r="HH7" t="s">
        <v>1309</v>
      </c>
      <c r="HI7" t="s">
        <v>1309</v>
      </c>
      <c r="HJ7" t="s">
        <v>1309</v>
      </c>
      <c r="HK7" t="s">
        <v>1310</v>
      </c>
      <c r="HL7" t="s">
        <v>1309</v>
      </c>
      <c r="HM7" t="s">
        <v>1309</v>
      </c>
      <c r="HN7" t="s">
        <v>1309</v>
      </c>
      <c r="HO7" t="s">
        <v>1309</v>
      </c>
      <c r="HP7" t="s">
        <v>1309</v>
      </c>
      <c r="HR7" t="s">
        <v>1393</v>
      </c>
      <c r="HS7" t="s">
        <v>1310</v>
      </c>
      <c r="HT7" t="s">
        <v>1309</v>
      </c>
      <c r="HU7" t="s">
        <v>1309</v>
      </c>
      <c r="HV7" t="s">
        <v>1309</v>
      </c>
      <c r="HW7" t="s">
        <v>1309</v>
      </c>
      <c r="HX7" t="s">
        <v>1309</v>
      </c>
      <c r="HY7" t="s">
        <v>1309</v>
      </c>
      <c r="HZ7" t="s">
        <v>1309</v>
      </c>
      <c r="IB7" s="92" t="s">
        <v>1516</v>
      </c>
      <c r="IC7" s="92" t="s">
        <v>1660</v>
      </c>
      <c r="ID7" s="92">
        <v>52</v>
      </c>
      <c r="IE7" s="92" t="s">
        <v>1307</v>
      </c>
      <c r="IF7" s="92" t="s">
        <v>4398</v>
      </c>
      <c r="IG7" s="92" t="s">
        <v>1336</v>
      </c>
      <c r="IH7" s="92" t="s">
        <v>1296</v>
      </c>
      <c r="II7" s="92" t="s">
        <v>71</v>
      </c>
      <c r="IJ7" s="92" t="s">
        <v>5549</v>
      </c>
      <c r="IK7" s="92" t="s">
        <v>1337</v>
      </c>
      <c r="IL7" s="92" t="s">
        <v>4845</v>
      </c>
      <c r="IM7" s="92" t="s">
        <v>1415</v>
      </c>
      <c r="IN7" s="92" t="s">
        <v>109</v>
      </c>
      <c r="IO7" s="92" t="s">
        <v>4847</v>
      </c>
      <c r="IP7" s="92" t="s">
        <v>1416</v>
      </c>
      <c r="IQ7" s="92">
        <v>2900</v>
      </c>
      <c r="IR7" s="92" t="s">
        <v>4438</v>
      </c>
      <c r="IS7" s="92" t="s">
        <v>192</v>
      </c>
      <c r="IT7" s="92" t="s">
        <v>109</v>
      </c>
      <c r="IU7" s="92" t="s">
        <v>192</v>
      </c>
      <c r="IV7" s="92" t="s">
        <v>109</v>
      </c>
      <c r="IW7" s="92" t="s">
        <v>1425</v>
      </c>
      <c r="IX7" s="92">
        <v>3100</v>
      </c>
      <c r="IY7" s="92" t="s">
        <v>4438</v>
      </c>
      <c r="IZ7" s="92" t="s">
        <v>1341</v>
      </c>
      <c r="JA7" s="92" t="s">
        <v>1375</v>
      </c>
      <c r="JB7" s="92" t="s">
        <v>192</v>
      </c>
      <c r="JC7" s="92" t="s">
        <v>5795</v>
      </c>
      <c r="JD7" s="92" t="s">
        <v>109</v>
      </c>
      <c r="JE7" s="92" t="s">
        <v>109</v>
      </c>
      <c r="JF7" s="92" t="s">
        <v>4438</v>
      </c>
      <c r="JG7" s="92" t="s">
        <v>4438</v>
      </c>
      <c r="JH7" s="92" t="s">
        <v>109</v>
      </c>
      <c r="JI7" s="92" t="s">
        <v>109</v>
      </c>
    </row>
    <row r="8" spans="1:269" x14ac:dyDescent="0.25">
      <c r="A8" t="s">
        <v>2874</v>
      </c>
      <c r="B8" t="s">
        <v>2875</v>
      </c>
      <c r="C8" t="s">
        <v>1305</v>
      </c>
      <c r="D8" t="s">
        <v>1306</v>
      </c>
      <c r="F8" t="s">
        <v>1307</v>
      </c>
      <c r="G8" t="s">
        <v>1319</v>
      </c>
      <c r="H8">
        <v>2</v>
      </c>
      <c r="I8" t="s">
        <v>1307</v>
      </c>
      <c r="J8" t="s">
        <v>2876</v>
      </c>
      <c r="K8" t="s">
        <v>1309</v>
      </c>
      <c r="L8" t="s">
        <v>1309</v>
      </c>
      <c r="M8" t="s">
        <v>1309</v>
      </c>
      <c r="N8" t="s">
        <v>1310</v>
      </c>
      <c r="O8" t="s">
        <v>1309</v>
      </c>
      <c r="P8" t="s">
        <v>1310</v>
      </c>
      <c r="Q8" t="s">
        <v>1309</v>
      </c>
      <c r="R8" t="s">
        <v>1309</v>
      </c>
      <c r="U8" t="s">
        <v>1312</v>
      </c>
      <c r="V8" t="s">
        <v>1312</v>
      </c>
      <c r="W8" t="s">
        <v>1486</v>
      </c>
      <c r="X8" t="s">
        <v>1311</v>
      </c>
      <c r="Y8" t="s">
        <v>1311</v>
      </c>
      <c r="Z8" t="s">
        <v>1312</v>
      </c>
      <c r="AC8">
        <v>1</v>
      </c>
      <c r="AD8">
        <v>8000</v>
      </c>
      <c r="AE8">
        <v>5000</v>
      </c>
      <c r="AF8" t="s">
        <v>1351</v>
      </c>
      <c r="AH8" t="s">
        <v>1319</v>
      </c>
      <c r="AI8" t="s">
        <v>4879</v>
      </c>
      <c r="AK8" t="s">
        <v>1319</v>
      </c>
      <c r="AL8" t="s">
        <v>1315</v>
      </c>
      <c r="AN8" t="s">
        <v>1331</v>
      </c>
      <c r="BU8" t="s">
        <v>2877</v>
      </c>
      <c r="BV8" t="s">
        <v>1309</v>
      </c>
      <c r="BW8" t="s">
        <v>1309</v>
      </c>
      <c r="BX8" t="s">
        <v>1309</v>
      </c>
      <c r="BY8" t="s">
        <v>1309</v>
      </c>
      <c r="BZ8" t="s">
        <v>1309</v>
      </c>
      <c r="CA8" t="s">
        <v>1310</v>
      </c>
      <c r="CB8" t="s">
        <v>1309</v>
      </c>
      <c r="CC8" t="s">
        <v>1310</v>
      </c>
      <c r="CD8" t="s">
        <v>1309</v>
      </c>
      <c r="CE8" t="s">
        <v>1309</v>
      </c>
      <c r="CF8" t="s">
        <v>2878</v>
      </c>
      <c r="CX8" t="s">
        <v>2879</v>
      </c>
      <c r="CY8" t="s">
        <v>1310</v>
      </c>
      <c r="CZ8" t="s">
        <v>1309</v>
      </c>
      <c r="DA8" t="s">
        <v>1309</v>
      </c>
      <c r="DB8" t="s">
        <v>1310</v>
      </c>
      <c r="DC8" t="s">
        <v>1309</v>
      </c>
      <c r="DD8" t="s">
        <v>1309</v>
      </c>
      <c r="DE8" t="s">
        <v>1309</v>
      </c>
      <c r="DF8" t="s">
        <v>1309</v>
      </c>
      <c r="DG8" t="s">
        <v>1309</v>
      </c>
      <c r="DH8" t="s">
        <v>1310</v>
      </c>
      <c r="DI8" t="s">
        <v>1309</v>
      </c>
      <c r="DJ8" t="s">
        <v>1309</v>
      </c>
      <c r="DK8" t="s">
        <v>1309</v>
      </c>
      <c r="DM8" t="s">
        <v>4436</v>
      </c>
      <c r="DO8" t="s">
        <v>1308</v>
      </c>
      <c r="DP8" t="s">
        <v>1310</v>
      </c>
      <c r="DQ8" t="s">
        <v>1309</v>
      </c>
      <c r="DR8" t="s">
        <v>1309</v>
      </c>
      <c r="DS8" t="s">
        <v>1309</v>
      </c>
      <c r="DT8" t="s">
        <v>1309</v>
      </c>
      <c r="DU8" t="s">
        <v>1309</v>
      </c>
      <c r="DV8" t="s">
        <v>1309</v>
      </c>
      <c r="DX8" t="s">
        <v>1358</v>
      </c>
      <c r="DY8" t="s">
        <v>1319</v>
      </c>
      <c r="DZ8">
        <v>250</v>
      </c>
      <c r="EA8">
        <v>2500</v>
      </c>
      <c r="EB8">
        <v>250</v>
      </c>
      <c r="EC8" t="s">
        <v>1358</v>
      </c>
      <c r="ED8">
        <v>250</v>
      </c>
      <c r="EE8">
        <v>3000</v>
      </c>
      <c r="EF8">
        <v>250</v>
      </c>
      <c r="EG8" t="s">
        <v>2880</v>
      </c>
      <c r="EH8" t="s">
        <v>1310</v>
      </c>
      <c r="EI8" t="s">
        <v>1310</v>
      </c>
      <c r="EJ8" t="s">
        <v>1309</v>
      </c>
      <c r="EK8" t="s">
        <v>1309</v>
      </c>
      <c r="EL8" t="s">
        <v>1309</v>
      </c>
      <c r="EM8" t="s">
        <v>1309</v>
      </c>
      <c r="EN8" t="s">
        <v>1309</v>
      </c>
      <c r="EO8" t="s">
        <v>1309</v>
      </c>
      <c r="EQ8" t="s">
        <v>1307</v>
      </c>
      <c r="ER8" t="s">
        <v>1319</v>
      </c>
      <c r="ES8" t="s">
        <v>1319</v>
      </c>
      <c r="ET8" t="s">
        <v>1319</v>
      </c>
      <c r="EU8" t="s">
        <v>2881</v>
      </c>
      <c r="EV8" t="s">
        <v>1310</v>
      </c>
      <c r="EW8" t="s">
        <v>1310</v>
      </c>
      <c r="EX8" t="s">
        <v>1309</v>
      </c>
      <c r="EY8" t="s">
        <v>1309</v>
      </c>
      <c r="EZ8" t="s">
        <v>1310</v>
      </c>
      <c r="FA8" t="s">
        <v>1309</v>
      </c>
      <c r="FB8" t="s">
        <v>1310</v>
      </c>
      <c r="FC8" t="s">
        <v>1310</v>
      </c>
      <c r="FD8" t="s">
        <v>1309</v>
      </c>
      <c r="FE8" t="s">
        <v>1309</v>
      </c>
      <c r="FF8" t="s">
        <v>1309</v>
      </c>
      <c r="FG8" t="s">
        <v>1309</v>
      </c>
      <c r="FH8" t="s">
        <v>1309</v>
      </c>
      <c r="FI8" t="s">
        <v>1309</v>
      </c>
      <c r="FJ8" t="s">
        <v>1309</v>
      </c>
      <c r="FK8" t="s">
        <v>1309</v>
      </c>
      <c r="FL8" t="s">
        <v>1309</v>
      </c>
      <c r="FN8" t="s">
        <v>1307</v>
      </c>
      <c r="GC8" t="s">
        <v>1324</v>
      </c>
      <c r="GD8" t="s">
        <v>1324</v>
      </c>
      <c r="GN8" t="s">
        <v>1364</v>
      </c>
      <c r="HB8" t="s">
        <v>1319</v>
      </c>
      <c r="HC8" t="s">
        <v>2340</v>
      </c>
      <c r="HD8" t="s">
        <v>1309</v>
      </c>
      <c r="HE8" t="s">
        <v>1309</v>
      </c>
      <c r="HF8" t="s">
        <v>1309</v>
      </c>
      <c r="HG8" t="s">
        <v>1309</v>
      </c>
      <c r="HH8" t="s">
        <v>1310</v>
      </c>
      <c r="HI8" t="s">
        <v>1309</v>
      </c>
      <c r="HJ8" t="s">
        <v>1310</v>
      </c>
      <c r="HK8" t="s">
        <v>1309</v>
      </c>
      <c r="HL8" t="s">
        <v>1309</v>
      </c>
      <c r="HM8" t="s">
        <v>1310</v>
      </c>
      <c r="HN8" t="s">
        <v>1309</v>
      </c>
      <c r="HO8" t="s">
        <v>1309</v>
      </c>
      <c r="HP8" t="s">
        <v>1309</v>
      </c>
      <c r="HR8" t="s">
        <v>1332</v>
      </c>
      <c r="HS8" t="s">
        <v>1309</v>
      </c>
      <c r="HT8" t="s">
        <v>1309</v>
      </c>
      <c r="HU8" t="s">
        <v>1309</v>
      </c>
      <c r="HV8" t="s">
        <v>1309</v>
      </c>
      <c r="HW8" t="s">
        <v>1310</v>
      </c>
      <c r="HX8" t="s">
        <v>1309</v>
      </c>
      <c r="HY8" t="s">
        <v>1309</v>
      </c>
      <c r="HZ8" t="s">
        <v>1309</v>
      </c>
      <c r="IB8" s="92" t="s">
        <v>1366</v>
      </c>
      <c r="IC8" s="92" t="s">
        <v>1533</v>
      </c>
      <c r="ID8" s="92">
        <v>48</v>
      </c>
      <c r="IE8" s="92" t="s">
        <v>1307</v>
      </c>
      <c r="IF8" s="92" t="s">
        <v>4396</v>
      </c>
      <c r="IG8" s="92" t="s">
        <v>1368</v>
      </c>
      <c r="IH8" s="92" t="s">
        <v>1296</v>
      </c>
      <c r="II8" s="92" t="s">
        <v>70</v>
      </c>
      <c r="IJ8" s="92" t="s">
        <v>5549</v>
      </c>
      <c r="IK8" s="92" t="s">
        <v>1337</v>
      </c>
      <c r="IL8" s="92" t="s">
        <v>4845</v>
      </c>
      <c r="IM8" s="92" t="s">
        <v>1338</v>
      </c>
      <c r="IN8" s="92" t="s">
        <v>192</v>
      </c>
      <c r="IO8" s="92" t="s">
        <v>4844</v>
      </c>
      <c r="IP8" s="92" t="s">
        <v>1424</v>
      </c>
      <c r="IQ8" s="92">
        <v>3000</v>
      </c>
      <c r="IR8" s="92" t="s">
        <v>4439</v>
      </c>
      <c r="IS8" s="92" t="s">
        <v>192</v>
      </c>
      <c r="IT8" s="92" t="s">
        <v>192</v>
      </c>
      <c r="IU8" s="92" t="s">
        <v>192</v>
      </c>
      <c r="IV8" s="92" t="s">
        <v>192</v>
      </c>
      <c r="IW8" s="92" t="s">
        <v>1425</v>
      </c>
      <c r="IX8" s="92">
        <v>3500</v>
      </c>
      <c r="IY8" s="92" t="s">
        <v>4439</v>
      </c>
      <c r="IZ8" s="92" t="s">
        <v>1341</v>
      </c>
      <c r="JA8" s="92" t="s">
        <v>1401</v>
      </c>
      <c r="JB8" s="92" t="s">
        <v>192</v>
      </c>
      <c r="JC8" s="92" t="s">
        <v>5795</v>
      </c>
      <c r="JD8" s="92" t="s">
        <v>109</v>
      </c>
      <c r="JE8" s="92" t="s">
        <v>109</v>
      </c>
      <c r="JF8" s="92" t="s">
        <v>4439</v>
      </c>
      <c r="JG8" s="92" t="s">
        <v>4439</v>
      </c>
      <c r="JH8" s="92" t="s">
        <v>109</v>
      </c>
      <c r="JI8" s="92" t="s">
        <v>192</v>
      </c>
    </row>
    <row r="9" spans="1:269" x14ac:dyDescent="0.25">
      <c r="A9" t="s">
        <v>2882</v>
      </c>
      <c r="B9" t="s">
        <v>2883</v>
      </c>
      <c r="C9" t="s">
        <v>1429</v>
      </c>
      <c r="D9" t="s">
        <v>1306</v>
      </c>
      <c r="F9" t="s">
        <v>1307</v>
      </c>
      <c r="G9" t="s">
        <v>1319</v>
      </c>
      <c r="H9">
        <v>3</v>
      </c>
      <c r="I9" t="s">
        <v>1307</v>
      </c>
      <c r="J9" t="s">
        <v>1406</v>
      </c>
      <c r="K9" t="s">
        <v>1309</v>
      </c>
      <c r="L9" t="s">
        <v>1310</v>
      </c>
      <c r="M9" t="s">
        <v>1309</v>
      </c>
      <c r="N9" t="s">
        <v>1309</v>
      </c>
      <c r="O9" t="s">
        <v>1309</v>
      </c>
      <c r="P9" t="s">
        <v>1309</v>
      </c>
      <c r="Q9" t="s">
        <v>1309</v>
      </c>
      <c r="R9" t="s">
        <v>1309</v>
      </c>
      <c r="S9">
        <v>1</v>
      </c>
      <c r="U9" t="s">
        <v>1311</v>
      </c>
      <c r="V9" t="s">
        <v>1312</v>
      </c>
      <c r="W9" t="s">
        <v>1312</v>
      </c>
      <c r="X9" t="s">
        <v>1312</v>
      </c>
      <c r="Y9" t="s">
        <v>1312</v>
      </c>
      <c r="Z9" t="s">
        <v>1312</v>
      </c>
      <c r="AC9">
        <v>2</v>
      </c>
      <c r="AD9">
        <v>17000</v>
      </c>
      <c r="AE9">
        <v>4000</v>
      </c>
      <c r="AF9" t="s">
        <v>1313</v>
      </c>
      <c r="AH9" t="s">
        <v>1319</v>
      </c>
      <c r="AI9" t="s">
        <v>4875</v>
      </c>
      <c r="AK9" t="s">
        <v>1319</v>
      </c>
      <c r="AL9" t="s">
        <v>1315</v>
      </c>
      <c r="AN9" t="s">
        <v>1331</v>
      </c>
      <c r="BU9" t="s">
        <v>2853</v>
      </c>
      <c r="BV9" t="s">
        <v>1310</v>
      </c>
      <c r="BW9" t="s">
        <v>1309</v>
      </c>
      <c r="BX9" t="s">
        <v>1309</v>
      </c>
      <c r="BY9" t="s">
        <v>1309</v>
      </c>
      <c r="BZ9" t="s">
        <v>1309</v>
      </c>
      <c r="CA9" t="s">
        <v>1309</v>
      </c>
      <c r="CB9" t="s">
        <v>1309</v>
      </c>
      <c r="CC9" t="s">
        <v>1309</v>
      </c>
      <c r="CD9" t="s">
        <v>1309</v>
      </c>
      <c r="CE9" t="s">
        <v>1309</v>
      </c>
      <c r="CX9" t="s">
        <v>1384</v>
      </c>
      <c r="CY9" t="s">
        <v>1310</v>
      </c>
      <c r="CZ9" t="s">
        <v>1309</v>
      </c>
      <c r="DA9" t="s">
        <v>1309</v>
      </c>
      <c r="DB9" t="s">
        <v>1309</v>
      </c>
      <c r="DC9" t="s">
        <v>1309</v>
      </c>
      <c r="DD9" t="s">
        <v>1309</v>
      </c>
      <c r="DE9" t="s">
        <v>1309</v>
      </c>
      <c r="DF9" t="s">
        <v>1309</v>
      </c>
      <c r="DG9" t="s">
        <v>1309</v>
      </c>
      <c r="DH9" t="s">
        <v>1309</v>
      </c>
      <c r="DI9" t="s">
        <v>1309</v>
      </c>
      <c r="DJ9" t="s">
        <v>1309</v>
      </c>
      <c r="DK9" t="s">
        <v>1309</v>
      </c>
      <c r="DM9" t="s">
        <v>4434</v>
      </c>
      <c r="DO9" t="s">
        <v>1357</v>
      </c>
      <c r="DP9" t="s">
        <v>1309</v>
      </c>
      <c r="DQ9" t="s">
        <v>1309</v>
      </c>
      <c r="DR9" t="s">
        <v>1309</v>
      </c>
      <c r="DS9" t="s">
        <v>1309</v>
      </c>
      <c r="DT9" t="s">
        <v>1310</v>
      </c>
      <c r="DU9" t="s">
        <v>1309</v>
      </c>
      <c r="DV9" t="s">
        <v>1309</v>
      </c>
      <c r="DX9" t="s">
        <v>1358</v>
      </c>
      <c r="DZ9">
        <v>3600</v>
      </c>
      <c r="EB9">
        <v>300</v>
      </c>
      <c r="EC9" t="s">
        <v>1358</v>
      </c>
      <c r="ED9">
        <v>3900</v>
      </c>
      <c r="EF9">
        <v>300</v>
      </c>
      <c r="EG9" t="s">
        <v>1703</v>
      </c>
      <c r="EH9" t="s">
        <v>1310</v>
      </c>
      <c r="EI9" t="s">
        <v>1309</v>
      </c>
      <c r="EJ9" t="s">
        <v>1309</v>
      </c>
      <c r="EK9" t="s">
        <v>1309</v>
      </c>
      <c r="EL9" t="s">
        <v>1309</v>
      </c>
      <c r="EM9" t="s">
        <v>1309</v>
      </c>
      <c r="EN9" t="s">
        <v>1309</v>
      </c>
      <c r="EO9" t="s">
        <v>1309</v>
      </c>
      <c r="EQ9" t="s">
        <v>1307</v>
      </c>
      <c r="ER9" t="s">
        <v>1319</v>
      </c>
      <c r="ES9" t="s">
        <v>1319</v>
      </c>
      <c r="EU9" t="s">
        <v>2884</v>
      </c>
      <c r="EV9" t="s">
        <v>1310</v>
      </c>
      <c r="EW9" t="s">
        <v>1310</v>
      </c>
      <c r="EX9" t="s">
        <v>1309</v>
      </c>
      <c r="EY9" t="s">
        <v>1309</v>
      </c>
      <c r="EZ9" t="s">
        <v>1309</v>
      </c>
      <c r="FA9" t="s">
        <v>1309</v>
      </c>
      <c r="FB9" t="s">
        <v>1309</v>
      </c>
      <c r="FC9" t="s">
        <v>1309</v>
      </c>
      <c r="FD9" t="s">
        <v>1309</v>
      </c>
      <c r="FE9" t="s">
        <v>1309</v>
      </c>
      <c r="FF9" t="s">
        <v>1309</v>
      </c>
      <c r="FG9" t="s">
        <v>1310</v>
      </c>
      <c r="FH9" t="s">
        <v>1309</v>
      </c>
      <c r="FI9" t="s">
        <v>1309</v>
      </c>
      <c r="FJ9" t="s">
        <v>1309</v>
      </c>
      <c r="FK9" t="s">
        <v>1309</v>
      </c>
      <c r="FL9" t="s">
        <v>1309</v>
      </c>
      <c r="FN9" t="s">
        <v>1319</v>
      </c>
      <c r="FO9" t="s">
        <v>1435</v>
      </c>
      <c r="FP9" t="s">
        <v>1310</v>
      </c>
      <c r="FQ9" t="s">
        <v>1309</v>
      </c>
      <c r="FR9" t="s">
        <v>1309</v>
      </c>
      <c r="FS9" t="s">
        <v>1309</v>
      </c>
      <c r="FT9" t="s">
        <v>1309</v>
      </c>
      <c r="FU9" t="s">
        <v>1309</v>
      </c>
      <c r="FV9" t="s">
        <v>1309</v>
      </c>
      <c r="FW9" t="s">
        <v>1309</v>
      </c>
      <c r="FX9" t="s">
        <v>1309</v>
      </c>
      <c r="FY9" t="s">
        <v>1309</v>
      </c>
      <c r="FZ9" t="s">
        <v>1309</v>
      </c>
      <c r="GA9" t="s">
        <v>1309</v>
      </c>
      <c r="GC9" t="s">
        <v>1324</v>
      </c>
      <c r="GD9" t="s">
        <v>1324</v>
      </c>
      <c r="GN9" t="s">
        <v>1328</v>
      </c>
      <c r="GO9" t="s">
        <v>2885</v>
      </c>
      <c r="GP9" t="s">
        <v>1309</v>
      </c>
      <c r="GQ9" t="s">
        <v>1309</v>
      </c>
      <c r="GR9" t="s">
        <v>1310</v>
      </c>
      <c r="GS9" t="s">
        <v>1309</v>
      </c>
      <c r="GT9" t="s">
        <v>1309</v>
      </c>
      <c r="GU9" t="s">
        <v>1309</v>
      </c>
      <c r="GV9" t="s">
        <v>1309</v>
      </c>
      <c r="GW9" t="s">
        <v>1309</v>
      </c>
      <c r="GX9" t="s">
        <v>1310</v>
      </c>
      <c r="GY9" t="s">
        <v>1309</v>
      </c>
      <c r="GZ9" t="s">
        <v>1309</v>
      </c>
      <c r="HA9" t="s">
        <v>2872</v>
      </c>
      <c r="HB9" t="s">
        <v>1319</v>
      </c>
      <c r="HC9" t="s">
        <v>2886</v>
      </c>
      <c r="HD9" t="s">
        <v>1309</v>
      </c>
      <c r="HE9" t="s">
        <v>1309</v>
      </c>
      <c r="HF9" t="s">
        <v>1309</v>
      </c>
      <c r="HG9" t="s">
        <v>1309</v>
      </c>
      <c r="HH9" t="s">
        <v>1309</v>
      </c>
      <c r="HI9" t="s">
        <v>1309</v>
      </c>
      <c r="HJ9" t="s">
        <v>1309</v>
      </c>
      <c r="HK9" t="s">
        <v>1309</v>
      </c>
      <c r="HL9" t="s">
        <v>1309</v>
      </c>
      <c r="HM9" t="s">
        <v>1310</v>
      </c>
      <c r="HN9" t="s">
        <v>1309</v>
      </c>
      <c r="HO9" t="s">
        <v>1309</v>
      </c>
      <c r="HP9" t="s">
        <v>1309</v>
      </c>
      <c r="HR9" t="s">
        <v>1764</v>
      </c>
      <c r="HS9" t="s">
        <v>1309</v>
      </c>
      <c r="HT9" t="s">
        <v>1310</v>
      </c>
      <c r="HU9" t="s">
        <v>1309</v>
      </c>
      <c r="HV9" t="s">
        <v>1310</v>
      </c>
      <c r="HW9" t="s">
        <v>1309</v>
      </c>
      <c r="HX9" t="s">
        <v>1309</v>
      </c>
      <c r="HY9" t="s">
        <v>1309</v>
      </c>
      <c r="HZ9" t="s">
        <v>1309</v>
      </c>
      <c r="IB9" s="92" t="s">
        <v>1516</v>
      </c>
      <c r="IC9" s="92" t="s">
        <v>1660</v>
      </c>
      <c r="ID9" s="92">
        <v>37</v>
      </c>
      <c r="IE9" s="92" t="s">
        <v>1307</v>
      </c>
      <c r="IF9" s="92" t="s">
        <v>4396</v>
      </c>
      <c r="IG9" s="92" t="s">
        <v>1336</v>
      </c>
      <c r="IH9" s="92" t="s">
        <v>1296</v>
      </c>
      <c r="II9" s="92" t="s">
        <v>71</v>
      </c>
      <c r="IJ9" s="92" t="s">
        <v>5549</v>
      </c>
      <c r="IK9" s="92" t="s">
        <v>1337</v>
      </c>
      <c r="IL9" s="92" t="s">
        <v>4845</v>
      </c>
      <c r="IM9" s="92" t="s">
        <v>1415</v>
      </c>
      <c r="IN9" s="92" t="s">
        <v>109</v>
      </c>
      <c r="IO9" s="92" t="s">
        <v>4847</v>
      </c>
      <c r="IP9" s="92" t="s">
        <v>1452</v>
      </c>
      <c r="IQ9" s="92">
        <v>3900</v>
      </c>
      <c r="IR9" s="92" t="s">
        <v>4438</v>
      </c>
      <c r="IS9" s="92" t="s">
        <v>192</v>
      </c>
      <c r="IT9" s="92" t="s">
        <v>109</v>
      </c>
      <c r="IU9" s="92" t="s">
        <v>192</v>
      </c>
      <c r="IV9" s="92" t="s">
        <v>109</v>
      </c>
      <c r="IW9" s="92" t="s">
        <v>1341</v>
      </c>
      <c r="IX9" s="92">
        <v>4200</v>
      </c>
      <c r="IY9" s="92" t="s">
        <v>4438</v>
      </c>
      <c r="IZ9" s="92" t="s">
        <v>1341</v>
      </c>
      <c r="JA9" s="92" t="s">
        <v>1375</v>
      </c>
      <c r="JB9" s="92" t="s">
        <v>192</v>
      </c>
      <c r="JC9" s="92" t="s">
        <v>5795</v>
      </c>
      <c r="JD9" s="92" t="s">
        <v>109</v>
      </c>
      <c r="JE9" s="92" t="s">
        <v>109</v>
      </c>
      <c r="JF9" s="92" t="s">
        <v>4439</v>
      </c>
      <c r="JG9" s="92" t="s">
        <v>1400</v>
      </c>
      <c r="JH9" s="92" t="s">
        <v>109</v>
      </c>
      <c r="JI9" s="92" t="s">
        <v>109</v>
      </c>
    </row>
    <row r="10" spans="1:269" x14ac:dyDescent="0.25">
      <c r="A10" t="s">
        <v>2887</v>
      </c>
      <c r="B10" t="s">
        <v>2888</v>
      </c>
      <c r="C10" t="s">
        <v>1305</v>
      </c>
      <c r="D10" t="s">
        <v>1306</v>
      </c>
      <c r="F10" t="s">
        <v>1307</v>
      </c>
      <c r="G10" t="s">
        <v>1319</v>
      </c>
      <c r="H10">
        <v>3</v>
      </c>
      <c r="I10" t="s">
        <v>1307</v>
      </c>
      <c r="J10" t="s">
        <v>1430</v>
      </c>
      <c r="K10" t="s">
        <v>1309</v>
      </c>
      <c r="L10" t="s">
        <v>1309</v>
      </c>
      <c r="M10" t="s">
        <v>1310</v>
      </c>
      <c r="N10" t="s">
        <v>1309</v>
      </c>
      <c r="O10" t="s">
        <v>1309</v>
      </c>
      <c r="P10" t="s">
        <v>1309</v>
      </c>
      <c r="Q10" t="s">
        <v>1309</v>
      </c>
      <c r="R10" t="s">
        <v>1309</v>
      </c>
      <c r="T10">
        <v>1</v>
      </c>
      <c r="U10" t="s">
        <v>1486</v>
      </c>
      <c r="V10" t="s">
        <v>1311</v>
      </c>
      <c r="W10" t="s">
        <v>1486</v>
      </c>
      <c r="X10" t="s">
        <v>1312</v>
      </c>
      <c r="Y10" t="s">
        <v>1312</v>
      </c>
      <c r="Z10" t="s">
        <v>1312</v>
      </c>
      <c r="AC10">
        <v>3</v>
      </c>
      <c r="AD10">
        <v>9000</v>
      </c>
      <c r="AE10">
        <v>8500</v>
      </c>
      <c r="AF10" t="s">
        <v>1313</v>
      </c>
      <c r="AH10" t="s">
        <v>1319</v>
      </c>
      <c r="AI10" t="s">
        <v>4876</v>
      </c>
      <c r="AK10" t="s">
        <v>1319</v>
      </c>
      <c r="AL10" t="s">
        <v>1353</v>
      </c>
      <c r="AN10" t="s">
        <v>1331</v>
      </c>
      <c r="BC10" t="s">
        <v>1331</v>
      </c>
      <c r="BU10" t="s">
        <v>2853</v>
      </c>
      <c r="BV10" t="s">
        <v>1310</v>
      </c>
      <c r="BW10" t="s">
        <v>1309</v>
      </c>
      <c r="BX10" t="s">
        <v>1309</v>
      </c>
      <c r="BY10" t="s">
        <v>1309</v>
      </c>
      <c r="BZ10" t="s">
        <v>1309</v>
      </c>
      <c r="CA10" t="s">
        <v>1309</v>
      </c>
      <c r="CB10" t="s">
        <v>1309</v>
      </c>
      <c r="CC10" t="s">
        <v>1309</v>
      </c>
      <c r="CD10" t="s">
        <v>1309</v>
      </c>
      <c r="CE10" t="s">
        <v>1309</v>
      </c>
      <c r="CX10" t="s">
        <v>2889</v>
      </c>
      <c r="CY10" t="s">
        <v>1309</v>
      </c>
      <c r="CZ10" t="s">
        <v>1309</v>
      </c>
      <c r="DA10" t="s">
        <v>1309</v>
      </c>
      <c r="DB10" t="s">
        <v>1310</v>
      </c>
      <c r="DC10" t="s">
        <v>1310</v>
      </c>
      <c r="DD10" t="s">
        <v>1309</v>
      </c>
      <c r="DE10" t="s">
        <v>1309</v>
      </c>
      <c r="DF10" t="s">
        <v>1309</v>
      </c>
      <c r="DG10" t="s">
        <v>1309</v>
      </c>
      <c r="DH10" t="s">
        <v>1309</v>
      </c>
      <c r="DI10" t="s">
        <v>1309</v>
      </c>
      <c r="DJ10" t="s">
        <v>1309</v>
      </c>
      <c r="DK10" t="s">
        <v>1309</v>
      </c>
      <c r="DM10" t="s">
        <v>4435</v>
      </c>
      <c r="DO10" t="s">
        <v>1308</v>
      </c>
      <c r="DP10" t="s">
        <v>1310</v>
      </c>
      <c r="DQ10" t="s">
        <v>1309</v>
      </c>
      <c r="DR10" t="s">
        <v>1309</v>
      </c>
      <c r="DS10" t="s">
        <v>1309</v>
      </c>
      <c r="DT10" t="s">
        <v>1309</v>
      </c>
      <c r="DU10" t="s">
        <v>1309</v>
      </c>
      <c r="DV10" t="s">
        <v>1309</v>
      </c>
      <c r="DX10" t="s">
        <v>1358</v>
      </c>
      <c r="DY10" t="s">
        <v>1319</v>
      </c>
      <c r="DZ10">
        <v>500</v>
      </c>
      <c r="EA10">
        <v>2600</v>
      </c>
      <c r="EB10">
        <v>200</v>
      </c>
      <c r="EC10" t="s">
        <v>1358</v>
      </c>
      <c r="EE10">
        <v>3200</v>
      </c>
      <c r="EF10">
        <v>550</v>
      </c>
      <c r="EG10" t="s">
        <v>1703</v>
      </c>
      <c r="EH10" t="s">
        <v>1310</v>
      </c>
      <c r="EI10" t="s">
        <v>1309</v>
      </c>
      <c r="EJ10" t="s">
        <v>1309</v>
      </c>
      <c r="EK10" t="s">
        <v>1309</v>
      </c>
      <c r="EL10" t="s">
        <v>1309</v>
      </c>
      <c r="EM10" t="s">
        <v>1309</v>
      </c>
      <c r="EN10" t="s">
        <v>1309</v>
      </c>
      <c r="EO10" t="s">
        <v>1309</v>
      </c>
      <c r="EQ10" t="s">
        <v>1307</v>
      </c>
      <c r="ER10" t="s">
        <v>1307</v>
      </c>
      <c r="ES10" t="s">
        <v>1307</v>
      </c>
      <c r="FN10" t="s">
        <v>1319</v>
      </c>
      <c r="FO10" t="s">
        <v>1649</v>
      </c>
      <c r="FP10" t="s">
        <v>1310</v>
      </c>
      <c r="FQ10" t="s">
        <v>1310</v>
      </c>
      <c r="FR10" t="s">
        <v>1309</v>
      </c>
      <c r="FS10" t="s">
        <v>1309</v>
      </c>
      <c r="FT10" t="s">
        <v>1309</v>
      </c>
      <c r="FU10" t="s">
        <v>1309</v>
      </c>
      <c r="FV10" t="s">
        <v>1309</v>
      </c>
      <c r="FW10" t="s">
        <v>1309</v>
      </c>
      <c r="FX10" t="s">
        <v>1309</v>
      </c>
      <c r="FY10" t="s">
        <v>1309</v>
      </c>
      <c r="FZ10" t="s">
        <v>1309</v>
      </c>
      <c r="GA10" t="s">
        <v>1309</v>
      </c>
      <c r="GC10" t="s">
        <v>1324</v>
      </c>
      <c r="GD10" t="s">
        <v>1324</v>
      </c>
      <c r="GN10" t="s">
        <v>1437</v>
      </c>
      <c r="GO10" t="s">
        <v>1513</v>
      </c>
      <c r="GP10" t="s">
        <v>1309</v>
      </c>
      <c r="GQ10" t="s">
        <v>1310</v>
      </c>
      <c r="GR10" t="s">
        <v>1309</v>
      </c>
      <c r="GS10" t="s">
        <v>1309</v>
      </c>
      <c r="GT10" t="s">
        <v>1310</v>
      </c>
      <c r="GU10" t="s">
        <v>1309</v>
      </c>
      <c r="GV10" t="s">
        <v>1309</v>
      </c>
      <c r="GW10" t="s">
        <v>1309</v>
      </c>
      <c r="GX10" t="s">
        <v>1309</v>
      </c>
      <c r="GY10" t="s">
        <v>1309</v>
      </c>
      <c r="GZ10" t="s">
        <v>1309</v>
      </c>
      <c r="HB10" t="s">
        <v>1307</v>
      </c>
      <c r="HR10" t="s">
        <v>1764</v>
      </c>
      <c r="HS10" t="s">
        <v>1309</v>
      </c>
      <c r="HT10" t="s">
        <v>1310</v>
      </c>
      <c r="HU10" t="s">
        <v>1309</v>
      </c>
      <c r="HV10" t="s">
        <v>1310</v>
      </c>
      <c r="HW10" t="s">
        <v>1309</v>
      </c>
      <c r="HX10" t="s">
        <v>1309</v>
      </c>
      <c r="HY10" t="s">
        <v>1309</v>
      </c>
      <c r="HZ10" t="s">
        <v>1309</v>
      </c>
      <c r="IB10" s="92" t="s">
        <v>1524</v>
      </c>
      <c r="IC10" s="92" t="s">
        <v>1525</v>
      </c>
      <c r="ID10" s="92">
        <v>67</v>
      </c>
      <c r="IE10" s="92" t="s">
        <v>1307</v>
      </c>
      <c r="IF10" s="92" t="s">
        <v>4396</v>
      </c>
      <c r="IG10" s="92" t="s">
        <v>1526</v>
      </c>
      <c r="IH10" s="92" t="s">
        <v>1296</v>
      </c>
      <c r="II10" s="92" t="s">
        <v>71</v>
      </c>
      <c r="IJ10" s="92" t="s">
        <v>5549</v>
      </c>
      <c r="IK10" s="92" t="s">
        <v>1369</v>
      </c>
      <c r="IL10" s="92" t="s">
        <v>4845</v>
      </c>
      <c r="IM10" s="92" t="s">
        <v>1439</v>
      </c>
      <c r="IN10" s="92" t="s">
        <v>192</v>
      </c>
      <c r="IO10" s="92" t="s">
        <v>4848</v>
      </c>
      <c r="IP10" s="92" t="s">
        <v>1424</v>
      </c>
      <c r="IQ10" s="92">
        <v>3300</v>
      </c>
      <c r="IR10" s="92" t="s">
        <v>4439</v>
      </c>
      <c r="IS10" s="92" t="s">
        <v>192</v>
      </c>
      <c r="IT10" s="92" t="s">
        <v>192</v>
      </c>
      <c r="IU10" s="92" t="s">
        <v>109</v>
      </c>
      <c r="IV10" s="92" t="s">
        <v>192</v>
      </c>
      <c r="IW10" s="92" t="s">
        <v>1341</v>
      </c>
      <c r="IX10" s="92">
        <v>3750</v>
      </c>
      <c r="IY10" s="92" t="s">
        <v>4439</v>
      </c>
      <c r="IZ10" s="92" t="s">
        <v>1341</v>
      </c>
      <c r="JA10" s="92" t="s">
        <v>1342</v>
      </c>
      <c r="JB10" s="92" t="s">
        <v>192</v>
      </c>
      <c r="JC10" s="92" t="s">
        <v>5795</v>
      </c>
      <c r="JD10" s="92" t="s">
        <v>109</v>
      </c>
      <c r="JE10" s="92" t="s">
        <v>109</v>
      </c>
      <c r="JF10" s="92" t="s">
        <v>4439</v>
      </c>
      <c r="JG10" s="92" t="s">
        <v>4439</v>
      </c>
      <c r="JH10" s="92" t="s">
        <v>192</v>
      </c>
      <c r="JI10" s="92" t="s">
        <v>192</v>
      </c>
    </row>
    <row r="11" spans="1:269" x14ac:dyDescent="0.25">
      <c r="A11" t="s">
        <v>2890</v>
      </c>
      <c r="B11" t="s">
        <v>2891</v>
      </c>
      <c r="C11" t="s">
        <v>1305</v>
      </c>
      <c r="D11" t="s">
        <v>1381</v>
      </c>
      <c r="F11" t="s">
        <v>1319</v>
      </c>
      <c r="G11" t="s">
        <v>1319</v>
      </c>
      <c r="H11">
        <v>2</v>
      </c>
      <c r="I11" t="s">
        <v>1358</v>
      </c>
      <c r="J11" t="s">
        <v>1430</v>
      </c>
      <c r="K11" t="s">
        <v>1309</v>
      </c>
      <c r="L11" t="s">
        <v>1309</v>
      </c>
      <c r="M11" t="s">
        <v>1310</v>
      </c>
      <c r="N11" t="s">
        <v>1309</v>
      </c>
      <c r="O11" t="s">
        <v>1309</v>
      </c>
      <c r="P11" t="s">
        <v>1309</v>
      </c>
      <c r="Q11" t="s">
        <v>1309</v>
      </c>
      <c r="R11" t="s">
        <v>1309</v>
      </c>
      <c r="T11">
        <v>2</v>
      </c>
      <c r="U11" t="s">
        <v>1311</v>
      </c>
      <c r="V11" t="s">
        <v>1312</v>
      </c>
      <c r="W11" t="s">
        <v>1311</v>
      </c>
      <c r="X11" t="s">
        <v>1312</v>
      </c>
      <c r="Y11" t="s">
        <v>1312</v>
      </c>
      <c r="Z11" t="s">
        <v>1312</v>
      </c>
      <c r="AC11">
        <v>2</v>
      </c>
      <c r="AD11">
        <v>8000</v>
      </c>
      <c r="AE11">
        <v>7500</v>
      </c>
      <c r="AF11" t="s">
        <v>1313</v>
      </c>
      <c r="AH11" t="s">
        <v>1319</v>
      </c>
      <c r="AI11" t="s">
        <v>4879</v>
      </c>
      <c r="AK11" t="s">
        <v>1307</v>
      </c>
      <c r="CG11" t="s">
        <v>2892</v>
      </c>
      <c r="CH11" t="s">
        <v>1309</v>
      </c>
      <c r="CI11" t="s">
        <v>1309</v>
      </c>
      <c r="CJ11" t="s">
        <v>1310</v>
      </c>
      <c r="CK11" t="s">
        <v>1309</v>
      </c>
      <c r="CL11" t="s">
        <v>1309</v>
      </c>
      <c r="CM11" t="s">
        <v>1309</v>
      </c>
      <c r="CN11" t="s">
        <v>1309</v>
      </c>
      <c r="CO11" t="s">
        <v>1309</v>
      </c>
      <c r="CP11" t="s">
        <v>1309</v>
      </c>
      <c r="CQ11" t="s">
        <v>1309</v>
      </c>
      <c r="CR11" t="s">
        <v>1309</v>
      </c>
      <c r="CS11" t="s">
        <v>1309</v>
      </c>
      <c r="CT11" t="s">
        <v>1309</v>
      </c>
      <c r="CU11" t="s">
        <v>1309</v>
      </c>
      <c r="CV11" t="s">
        <v>1309</v>
      </c>
      <c r="CX11" t="s">
        <v>2893</v>
      </c>
      <c r="CY11" t="s">
        <v>1309</v>
      </c>
      <c r="CZ11" t="s">
        <v>1309</v>
      </c>
      <c r="DA11" t="s">
        <v>1309</v>
      </c>
      <c r="DB11" t="s">
        <v>1310</v>
      </c>
      <c r="DC11" t="s">
        <v>1310</v>
      </c>
      <c r="DD11" t="s">
        <v>1310</v>
      </c>
      <c r="DE11" t="s">
        <v>1310</v>
      </c>
      <c r="DF11" t="s">
        <v>1309</v>
      </c>
      <c r="DG11" t="s">
        <v>1309</v>
      </c>
      <c r="DH11" t="s">
        <v>1309</v>
      </c>
      <c r="DI11" t="s">
        <v>1309</v>
      </c>
      <c r="DJ11" t="s">
        <v>1309</v>
      </c>
      <c r="DK11" t="s">
        <v>1309</v>
      </c>
      <c r="DM11" t="s">
        <v>4435</v>
      </c>
      <c r="DO11" t="s">
        <v>1308</v>
      </c>
      <c r="DP11" t="s">
        <v>1310</v>
      </c>
      <c r="DQ11" t="s">
        <v>1309</v>
      </c>
      <c r="DR11" t="s">
        <v>1309</v>
      </c>
      <c r="DS11" t="s">
        <v>1309</v>
      </c>
      <c r="DT11" t="s">
        <v>1309</v>
      </c>
      <c r="DU11" t="s">
        <v>1309</v>
      </c>
      <c r="DV11" t="s">
        <v>1309</v>
      </c>
      <c r="DX11" t="s">
        <v>1358</v>
      </c>
      <c r="DY11" t="s">
        <v>1307</v>
      </c>
      <c r="EA11">
        <v>1500</v>
      </c>
      <c r="EB11">
        <v>300</v>
      </c>
      <c r="EC11" t="s">
        <v>1358</v>
      </c>
      <c r="EE11">
        <v>2000</v>
      </c>
      <c r="EF11">
        <v>400</v>
      </c>
      <c r="EG11" t="s">
        <v>2857</v>
      </c>
      <c r="EH11" t="s">
        <v>1310</v>
      </c>
      <c r="EI11" t="s">
        <v>1309</v>
      </c>
      <c r="EJ11" t="s">
        <v>1309</v>
      </c>
      <c r="EK11" t="s">
        <v>1309</v>
      </c>
      <c r="EL11" t="s">
        <v>1310</v>
      </c>
      <c r="EM11" t="s">
        <v>1309</v>
      </c>
      <c r="EN11" t="s">
        <v>1309</v>
      </c>
      <c r="EO11" t="s">
        <v>1309</v>
      </c>
      <c r="EQ11" t="s">
        <v>1307</v>
      </c>
      <c r="ER11" t="s">
        <v>1307</v>
      </c>
      <c r="FN11" t="s">
        <v>1307</v>
      </c>
      <c r="GC11" t="s">
        <v>1436</v>
      </c>
      <c r="GD11" t="s">
        <v>1436</v>
      </c>
      <c r="GE11" t="s">
        <v>1307</v>
      </c>
      <c r="GN11" t="s">
        <v>1364</v>
      </c>
      <c r="HB11" t="s">
        <v>1560</v>
      </c>
      <c r="HR11" t="s">
        <v>1414</v>
      </c>
      <c r="HS11" t="s">
        <v>1309</v>
      </c>
      <c r="HT11" t="s">
        <v>1309</v>
      </c>
      <c r="HU11" t="s">
        <v>1309</v>
      </c>
      <c r="HV11" t="s">
        <v>1309</v>
      </c>
      <c r="HW11" t="s">
        <v>1309</v>
      </c>
      <c r="HX11" t="s">
        <v>1309</v>
      </c>
      <c r="HY11" t="s">
        <v>1310</v>
      </c>
      <c r="HZ11" t="s">
        <v>1309</v>
      </c>
      <c r="IB11" s="92" t="s">
        <v>1394</v>
      </c>
      <c r="IC11" s="92" t="s">
        <v>1496</v>
      </c>
      <c r="ID11" s="92">
        <v>69</v>
      </c>
      <c r="IE11" s="92" t="s">
        <v>1307</v>
      </c>
      <c r="IF11" s="92" t="s">
        <v>4398</v>
      </c>
      <c r="IG11" s="92" t="s">
        <v>1336</v>
      </c>
      <c r="IH11" s="92" t="s">
        <v>1296</v>
      </c>
      <c r="II11" s="92" t="s">
        <v>71</v>
      </c>
      <c r="IJ11" s="92" t="s">
        <v>1397</v>
      </c>
      <c r="IK11" s="92" t="s">
        <v>1369</v>
      </c>
      <c r="IL11" s="92" t="s">
        <v>4845</v>
      </c>
      <c r="IM11" s="92" t="s">
        <v>1476</v>
      </c>
      <c r="IN11" s="92" t="s">
        <v>109</v>
      </c>
      <c r="IO11" s="92" t="s">
        <v>4847</v>
      </c>
      <c r="IP11" s="92" t="s">
        <v>1424</v>
      </c>
      <c r="IQ11" s="92">
        <v>1800</v>
      </c>
      <c r="IR11" s="92" t="s">
        <v>4438</v>
      </c>
      <c r="IS11" s="92" t="s">
        <v>109</v>
      </c>
      <c r="IT11" s="92" t="s">
        <v>192</v>
      </c>
      <c r="IU11" s="92" t="s">
        <v>109</v>
      </c>
      <c r="IV11" s="92" t="s">
        <v>192</v>
      </c>
      <c r="IW11" s="92" t="s">
        <v>1440</v>
      </c>
      <c r="IX11" s="92">
        <v>2400</v>
      </c>
      <c r="IY11" s="92" t="s">
        <v>4439</v>
      </c>
      <c r="IZ11" s="92" t="s">
        <v>1425</v>
      </c>
      <c r="JA11" s="92" t="s">
        <v>1342</v>
      </c>
      <c r="JB11" s="92" t="s">
        <v>109</v>
      </c>
      <c r="JC11" s="92" t="s">
        <v>1403</v>
      </c>
      <c r="JD11" s="92" t="s">
        <v>109</v>
      </c>
      <c r="JE11" s="92" t="s">
        <v>109</v>
      </c>
      <c r="JF11" s="92" t="s">
        <v>4438</v>
      </c>
      <c r="JG11" s="92" t="s">
        <v>4438</v>
      </c>
      <c r="JH11" s="92" t="s">
        <v>192</v>
      </c>
      <c r="JI11" s="92" t="s">
        <v>192</v>
      </c>
    </row>
    <row r="12" spans="1:269" x14ac:dyDescent="0.25">
      <c r="A12" t="s">
        <v>2894</v>
      </c>
      <c r="B12" t="s">
        <v>2895</v>
      </c>
      <c r="C12" t="s">
        <v>1305</v>
      </c>
      <c r="D12" t="s">
        <v>1381</v>
      </c>
      <c r="F12" t="s">
        <v>1319</v>
      </c>
      <c r="G12" t="s">
        <v>1319</v>
      </c>
      <c r="H12">
        <v>1</v>
      </c>
      <c r="J12" t="s">
        <v>1308</v>
      </c>
      <c r="K12" t="s">
        <v>1309</v>
      </c>
      <c r="L12" t="s">
        <v>1309</v>
      </c>
      <c r="M12" t="s">
        <v>1309</v>
      </c>
      <c r="N12" t="s">
        <v>1309</v>
      </c>
      <c r="O12" t="s">
        <v>1309</v>
      </c>
      <c r="P12" t="s">
        <v>1309</v>
      </c>
      <c r="Q12" t="s">
        <v>1310</v>
      </c>
      <c r="R12" t="s">
        <v>1309</v>
      </c>
      <c r="U12" t="s">
        <v>1312</v>
      </c>
      <c r="V12" t="s">
        <v>1312</v>
      </c>
      <c r="W12" t="s">
        <v>1312</v>
      </c>
      <c r="X12" t="s">
        <v>1312</v>
      </c>
      <c r="Y12" t="s">
        <v>1312</v>
      </c>
      <c r="Z12" t="s">
        <v>1311</v>
      </c>
      <c r="AC12">
        <v>1</v>
      </c>
      <c r="AD12">
        <v>5000</v>
      </c>
      <c r="AE12">
        <v>4000</v>
      </c>
      <c r="AF12" t="s">
        <v>1351</v>
      </c>
      <c r="AH12" t="s">
        <v>1307</v>
      </c>
      <c r="AI12" t="s">
        <v>4879</v>
      </c>
      <c r="AK12" t="s">
        <v>1307</v>
      </c>
      <c r="CG12" t="s">
        <v>1544</v>
      </c>
      <c r="CH12" t="s">
        <v>1309</v>
      </c>
      <c r="CI12" t="s">
        <v>1310</v>
      </c>
      <c r="CJ12" t="s">
        <v>1309</v>
      </c>
      <c r="CK12" t="s">
        <v>1309</v>
      </c>
      <c r="CL12" t="s">
        <v>1309</v>
      </c>
      <c r="CM12" t="s">
        <v>1309</v>
      </c>
      <c r="CN12" t="s">
        <v>1309</v>
      </c>
      <c r="CO12" t="s">
        <v>1309</v>
      </c>
      <c r="CP12" t="s">
        <v>1309</v>
      </c>
      <c r="CQ12" t="s">
        <v>1309</v>
      </c>
      <c r="CR12" t="s">
        <v>1309</v>
      </c>
      <c r="CS12" t="s">
        <v>1309</v>
      </c>
      <c r="CT12" t="s">
        <v>1309</v>
      </c>
      <c r="CU12" t="s">
        <v>1309</v>
      </c>
      <c r="CV12" t="s">
        <v>1309</v>
      </c>
      <c r="CX12" t="s">
        <v>2896</v>
      </c>
      <c r="CY12" t="s">
        <v>1309</v>
      </c>
      <c r="CZ12" t="s">
        <v>1309</v>
      </c>
      <c r="DA12" t="s">
        <v>1309</v>
      </c>
      <c r="DB12" t="s">
        <v>1310</v>
      </c>
      <c r="DC12" t="s">
        <v>1310</v>
      </c>
      <c r="DD12" t="s">
        <v>1309</v>
      </c>
      <c r="DE12" t="s">
        <v>1309</v>
      </c>
      <c r="DF12" t="s">
        <v>1309</v>
      </c>
      <c r="DG12" t="s">
        <v>1310</v>
      </c>
      <c r="DH12" t="s">
        <v>1309</v>
      </c>
      <c r="DI12" t="s">
        <v>1309</v>
      </c>
      <c r="DJ12" t="s">
        <v>1309</v>
      </c>
      <c r="DK12" t="s">
        <v>1309</v>
      </c>
      <c r="DM12" t="s">
        <v>4436</v>
      </c>
      <c r="DO12" t="s">
        <v>1308</v>
      </c>
      <c r="DP12" t="s">
        <v>1310</v>
      </c>
      <c r="DQ12" t="s">
        <v>1309</v>
      </c>
      <c r="DR12" t="s">
        <v>1309</v>
      </c>
      <c r="DS12" t="s">
        <v>1309</v>
      </c>
      <c r="DT12" t="s">
        <v>1309</v>
      </c>
      <c r="DU12" t="s">
        <v>1309</v>
      </c>
      <c r="DV12" t="s">
        <v>1309</v>
      </c>
      <c r="DX12" t="s">
        <v>1358</v>
      </c>
      <c r="DY12" t="s">
        <v>1319</v>
      </c>
      <c r="DZ12">
        <v>150</v>
      </c>
      <c r="EB12">
        <v>150</v>
      </c>
      <c r="EC12" t="s">
        <v>1358</v>
      </c>
      <c r="ED12">
        <v>200</v>
      </c>
      <c r="EF12">
        <v>200</v>
      </c>
      <c r="EG12" t="s">
        <v>2897</v>
      </c>
      <c r="EH12" t="s">
        <v>1309</v>
      </c>
      <c r="EI12" t="s">
        <v>1310</v>
      </c>
      <c r="EJ12" t="s">
        <v>1309</v>
      </c>
      <c r="EK12" t="s">
        <v>1309</v>
      </c>
      <c r="EL12" t="s">
        <v>1310</v>
      </c>
      <c r="EM12" t="s">
        <v>1309</v>
      </c>
      <c r="EN12" t="s">
        <v>1309</v>
      </c>
      <c r="EO12" t="s">
        <v>1309</v>
      </c>
      <c r="EQ12" t="s">
        <v>1307</v>
      </c>
      <c r="ER12" t="s">
        <v>1319</v>
      </c>
      <c r="ES12" t="s">
        <v>1319</v>
      </c>
      <c r="ET12" t="s">
        <v>1319</v>
      </c>
      <c r="EU12" t="s">
        <v>2898</v>
      </c>
      <c r="EV12" t="s">
        <v>1309</v>
      </c>
      <c r="EW12" t="s">
        <v>1310</v>
      </c>
      <c r="EX12" t="s">
        <v>1310</v>
      </c>
      <c r="EY12" t="s">
        <v>1309</v>
      </c>
      <c r="EZ12" t="s">
        <v>1309</v>
      </c>
      <c r="FA12" t="s">
        <v>1309</v>
      </c>
      <c r="FB12" t="s">
        <v>1309</v>
      </c>
      <c r="FC12" t="s">
        <v>1309</v>
      </c>
      <c r="FD12" t="s">
        <v>1309</v>
      </c>
      <c r="FE12" t="s">
        <v>1309</v>
      </c>
      <c r="FF12" t="s">
        <v>1309</v>
      </c>
      <c r="FG12" t="s">
        <v>1309</v>
      </c>
      <c r="FH12" t="s">
        <v>1310</v>
      </c>
      <c r="FI12" t="s">
        <v>1309</v>
      </c>
      <c r="FJ12" t="s">
        <v>1309</v>
      </c>
      <c r="FK12" t="s">
        <v>1309</v>
      </c>
      <c r="FL12" t="s">
        <v>1309</v>
      </c>
      <c r="FN12" t="s">
        <v>1307</v>
      </c>
      <c r="GC12" t="s">
        <v>1324</v>
      </c>
      <c r="GD12" t="s">
        <v>1324</v>
      </c>
      <c r="GN12" t="s">
        <v>1364</v>
      </c>
      <c r="HB12" t="s">
        <v>1319</v>
      </c>
      <c r="HC12" t="s">
        <v>2899</v>
      </c>
      <c r="HD12" t="s">
        <v>1309</v>
      </c>
      <c r="HE12" t="s">
        <v>1309</v>
      </c>
      <c r="HF12" t="s">
        <v>1309</v>
      </c>
      <c r="HG12" t="s">
        <v>1309</v>
      </c>
      <c r="HH12" t="s">
        <v>1309</v>
      </c>
      <c r="HI12" t="s">
        <v>1309</v>
      </c>
      <c r="HJ12" t="s">
        <v>1310</v>
      </c>
      <c r="HK12" t="s">
        <v>1309</v>
      </c>
      <c r="HL12" t="s">
        <v>1309</v>
      </c>
      <c r="HM12" t="s">
        <v>1309</v>
      </c>
      <c r="HN12" t="s">
        <v>1309</v>
      </c>
      <c r="HO12" t="s">
        <v>1309</v>
      </c>
      <c r="HP12" t="s">
        <v>1309</v>
      </c>
      <c r="HR12" t="s">
        <v>1332</v>
      </c>
      <c r="HS12" t="s">
        <v>1309</v>
      </c>
      <c r="HT12" t="s">
        <v>1309</v>
      </c>
      <c r="HU12" t="s">
        <v>1309</v>
      </c>
      <c r="HV12" t="s">
        <v>1309</v>
      </c>
      <c r="HW12" t="s">
        <v>1310</v>
      </c>
      <c r="HX12" t="s">
        <v>1309</v>
      </c>
      <c r="HY12" t="s">
        <v>1309</v>
      </c>
      <c r="HZ12" t="s">
        <v>1309</v>
      </c>
      <c r="IB12" s="92" t="s">
        <v>2158</v>
      </c>
      <c r="IC12" s="92" t="s">
        <v>2900</v>
      </c>
      <c r="ID12" s="92">
        <v>20</v>
      </c>
      <c r="IE12" s="92" t="s">
        <v>1307</v>
      </c>
      <c r="IF12" s="92" t="s">
        <v>4395</v>
      </c>
      <c r="IG12" s="92" t="s">
        <v>1526</v>
      </c>
      <c r="IH12" s="92" t="s">
        <v>1296</v>
      </c>
      <c r="II12" s="92" t="s">
        <v>70</v>
      </c>
      <c r="IJ12" s="92" t="s">
        <v>1397</v>
      </c>
      <c r="IK12" s="92" t="s">
        <v>1398</v>
      </c>
      <c r="IL12" s="92" t="s">
        <v>4844</v>
      </c>
      <c r="IM12" s="92" t="s">
        <v>1338</v>
      </c>
      <c r="IN12" s="92" t="s">
        <v>109</v>
      </c>
      <c r="IO12" s="92" t="s">
        <v>4844</v>
      </c>
      <c r="IP12" s="92" t="s">
        <v>5560</v>
      </c>
      <c r="IQ12" s="92">
        <v>300</v>
      </c>
      <c r="IR12" s="92" t="s">
        <v>1372</v>
      </c>
      <c r="IS12" s="92" t="s">
        <v>192</v>
      </c>
      <c r="IT12" s="92" t="s">
        <v>109</v>
      </c>
      <c r="IU12" s="92" t="s">
        <v>192</v>
      </c>
      <c r="IV12" s="92" t="s">
        <v>109</v>
      </c>
      <c r="IW12" s="92" t="s">
        <v>1373</v>
      </c>
      <c r="IX12" s="92">
        <v>400</v>
      </c>
      <c r="IY12" s="92" t="s">
        <v>1372</v>
      </c>
      <c r="IZ12" s="92" t="s">
        <v>1373</v>
      </c>
      <c r="JA12" s="92" t="s">
        <v>1401</v>
      </c>
      <c r="JB12" s="92" t="s">
        <v>192</v>
      </c>
      <c r="JC12" s="92" t="s">
        <v>1403</v>
      </c>
      <c r="JD12" s="92" t="s">
        <v>109</v>
      </c>
      <c r="JE12" s="92" t="s">
        <v>109</v>
      </c>
      <c r="JF12" s="92" t="s">
        <v>1372</v>
      </c>
      <c r="JG12" s="92" t="s">
        <v>1372</v>
      </c>
      <c r="JH12" s="92" t="s">
        <v>109</v>
      </c>
      <c r="JI12" s="92" t="s">
        <v>109</v>
      </c>
    </row>
    <row r="13" spans="1:269" x14ac:dyDescent="0.25">
      <c r="A13" t="s">
        <v>2901</v>
      </c>
      <c r="B13" t="s">
        <v>2902</v>
      </c>
      <c r="C13" t="s">
        <v>1305</v>
      </c>
      <c r="D13" t="s">
        <v>1306</v>
      </c>
      <c r="F13" t="s">
        <v>1307</v>
      </c>
      <c r="G13" t="s">
        <v>1319</v>
      </c>
      <c r="H13">
        <v>4</v>
      </c>
      <c r="I13" t="s">
        <v>1307</v>
      </c>
      <c r="J13" t="s">
        <v>1406</v>
      </c>
      <c r="K13" t="s">
        <v>1309</v>
      </c>
      <c r="L13" t="s">
        <v>1310</v>
      </c>
      <c r="M13" t="s">
        <v>1309</v>
      </c>
      <c r="N13" t="s">
        <v>1309</v>
      </c>
      <c r="O13" t="s">
        <v>1309</v>
      </c>
      <c r="P13" t="s">
        <v>1309</v>
      </c>
      <c r="Q13" t="s">
        <v>1309</v>
      </c>
      <c r="R13" t="s">
        <v>1309</v>
      </c>
      <c r="S13">
        <v>2</v>
      </c>
      <c r="U13" t="s">
        <v>1312</v>
      </c>
      <c r="V13" t="s">
        <v>1312</v>
      </c>
      <c r="W13" t="s">
        <v>1312</v>
      </c>
      <c r="X13" t="s">
        <v>1312</v>
      </c>
      <c r="Y13" t="s">
        <v>1312</v>
      </c>
      <c r="Z13" t="s">
        <v>1312</v>
      </c>
      <c r="AC13">
        <v>2</v>
      </c>
      <c r="AD13">
        <v>17000</v>
      </c>
      <c r="AE13">
        <v>15000</v>
      </c>
      <c r="AF13" t="s">
        <v>1351</v>
      </c>
      <c r="AH13" t="s">
        <v>1319</v>
      </c>
      <c r="AI13" t="s">
        <v>4879</v>
      </c>
      <c r="AK13" t="s">
        <v>1307</v>
      </c>
      <c r="CG13" t="s">
        <v>2853</v>
      </c>
      <c r="CH13" t="s">
        <v>1309</v>
      </c>
      <c r="CI13" t="s">
        <v>1309</v>
      </c>
      <c r="CJ13" t="s">
        <v>1309</v>
      </c>
      <c r="CK13" t="s">
        <v>1310</v>
      </c>
      <c r="CL13" t="s">
        <v>1309</v>
      </c>
      <c r="CM13" t="s">
        <v>1309</v>
      </c>
      <c r="CN13" t="s">
        <v>1309</v>
      </c>
      <c r="CO13" t="s">
        <v>1309</v>
      </c>
      <c r="CP13" t="s">
        <v>1309</v>
      </c>
      <c r="CQ13" t="s">
        <v>1309</v>
      </c>
      <c r="CR13" t="s">
        <v>1309</v>
      </c>
      <c r="CS13" t="s">
        <v>1309</v>
      </c>
      <c r="CT13" t="s">
        <v>1309</v>
      </c>
      <c r="CU13" t="s">
        <v>1309</v>
      </c>
      <c r="CV13" t="s">
        <v>1309</v>
      </c>
      <c r="CX13" t="s">
        <v>1414</v>
      </c>
      <c r="CY13" t="s">
        <v>1309</v>
      </c>
      <c r="CZ13" t="s">
        <v>1309</v>
      </c>
      <c r="DA13" t="s">
        <v>1309</v>
      </c>
      <c r="DB13" t="s">
        <v>1309</v>
      </c>
      <c r="DC13" t="s">
        <v>1309</v>
      </c>
      <c r="DD13" t="s">
        <v>1309</v>
      </c>
      <c r="DE13" t="s">
        <v>1309</v>
      </c>
      <c r="DF13" t="s">
        <v>1309</v>
      </c>
      <c r="DG13" t="s">
        <v>1309</v>
      </c>
      <c r="DH13" t="s">
        <v>1309</v>
      </c>
      <c r="DI13" t="s">
        <v>1309</v>
      </c>
      <c r="DJ13" t="s">
        <v>1310</v>
      </c>
      <c r="DK13" t="s">
        <v>1309</v>
      </c>
      <c r="DM13" t="s">
        <v>4436</v>
      </c>
      <c r="DO13" t="s">
        <v>1444</v>
      </c>
      <c r="DP13" t="s">
        <v>1309</v>
      </c>
      <c r="DQ13" t="s">
        <v>1310</v>
      </c>
      <c r="DR13" t="s">
        <v>1309</v>
      </c>
      <c r="DS13" t="s">
        <v>1309</v>
      </c>
      <c r="DT13" t="s">
        <v>1309</v>
      </c>
      <c r="DU13" t="s">
        <v>1309</v>
      </c>
      <c r="DV13" t="s">
        <v>1309</v>
      </c>
      <c r="DX13" t="s">
        <v>1358</v>
      </c>
      <c r="DZ13">
        <v>100</v>
      </c>
      <c r="EB13">
        <v>900</v>
      </c>
      <c r="EC13" t="s">
        <v>1358</v>
      </c>
      <c r="ED13">
        <v>150</v>
      </c>
      <c r="EF13">
        <v>800</v>
      </c>
      <c r="EG13" t="s">
        <v>1703</v>
      </c>
      <c r="EH13" t="s">
        <v>1310</v>
      </c>
      <c r="EI13" t="s">
        <v>1309</v>
      </c>
      <c r="EJ13" t="s">
        <v>1309</v>
      </c>
      <c r="EK13" t="s">
        <v>1309</v>
      </c>
      <c r="EL13" t="s">
        <v>1309</v>
      </c>
      <c r="EM13" t="s">
        <v>1309</v>
      </c>
      <c r="EN13" t="s">
        <v>1309</v>
      </c>
      <c r="EO13" t="s">
        <v>1309</v>
      </c>
      <c r="EQ13" t="s">
        <v>1307</v>
      </c>
      <c r="ER13" t="s">
        <v>1307</v>
      </c>
      <c r="ES13" t="s">
        <v>1307</v>
      </c>
      <c r="ET13" t="s">
        <v>1307</v>
      </c>
      <c r="FN13" t="s">
        <v>1307</v>
      </c>
      <c r="GC13" t="s">
        <v>1411</v>
      </c>
      <c r="GD13" t="s">
        <v>1411</v>
      </c>
      <c r="GN13" t="s">
        <v>1364</v>
      </c>
      <c r="HB13" t="s">
        <v>1319</v>
      </c>
      <c r="HC13" t="s">
        <v>1601</v>
      </c>
      <c r="HD13" t="s">
        <v>1310</v>
      </c>
      <c r="HE13" t="s">
        <v>1309</v>
      </c>
      <c r="HF13" t="s">
        <v>1309</v>
      </c>
      <c r="HG13" t="s">
        <v>1309</v>
      </c>
      <c r="HH13" t="s">
        <v>1309</v>
      </c>
      <c r="HI13" t="s">
        <v>1309</v>
      </c>
      <c r="HJ13" t="s">
        <v>1309</v>
      </c>
      <c r="HK13" t="s">
        <v>1309</v>
      </c>
      <c r="HL13" t="s">
        <v>1309</v>
      </c>
      <c r="HM13" t="s">
        <v>1309</v>
      </c>
      <c r="HN13" t="s">
        <v>1309</v>
      </c>
      <c r="HO13" t="s">
        <v>1309</v>
      </c>
      <c r="HP13" t="s">
        <v>1309</v>
      </c>
      <c r="HR13" t="s">
        <v>1620</v>
      </c>
      <c r="HS13" t="s">
        <v>1310</v>
      </c>
      <c r="HT13" t="s">
        <v>1310</v>
      </c>
      <c r="HU13" t="s">
        <v>1309</v>
      </c>
      <c r="HV13" t="s">
        <v>1309</v>
      </c>
      <c r="HW13" t="s">
        <v>1310</v>
      </c>
      <c r="HX13" t="s">
        <v>1309</v>
      </c>
      <c r="HY13" t="s">
        <v>1309</v>
      </c>
      <c r="HZ13" t="s">
        <v>1309</v>
      </c>
      <c r="IB13" s="92" t="s">
        <v>1593</v>
      </c>
      <c r="IC13" s="92" t="s">
        <v>1631</v>
      </c>
      <c r="ID13" s="92">
        <v>20</v>
      </c>
      <c r="IE13" s="92" t="s">
        <v>1307</v>
      </c>
      <c r="IF13" s="92" t="s">
        <v>4396</v>
      </c>
      <c r="IG13" s="92" t="s">
        <v>1526</v>
      </c>
      <c r="IH13" s="92" t="s">
        <v>1296</v>
      </c>
      <c r="II13" s="92" t="s">
        <v>70</v>
      </c>
      <c r="IJ13" s="92" t="s">
        <v>5549</v>
      </c>
      <c r="IK13" s="92" t="s">
        <v>1398</v>
      </c>
      <c r="IL13" s="92" t="s">
        <v>4845</v>
      </c>
      <c r="IM13" s="92" t="s">
        <v>1415</v>
      </c>
      <c r="IN13" s="92" t="s">
        <v>109</v>
      </c>
      <c r="IO13" s="92" t="s">
        <v>4847</v>
      </c>
      <c r="IP13" s="92" t="s">
        <v>1452</v>
      </c>
      <c r="IQ13" s="92">
        <v>1000</v>
      </c>
      <c r="IR13" s="92" t="s">
        <v>1372</v>
      </c>
      <c r="IS13" s="92" t="s">
        <v>192</v>
      </c>
      <c r="IT13" s="92" t="s">
        <v>109</v>
      </c>
      <c r="IU13" s="92" t="s">
        <v>192</v>
      </c>
      <c r="IV13" s="92" t="s">
        <v>109</v>
      </c>
      <c r="IW13" s="92" t="s">
        <v>1374</v>
      </c>
      <c r="IX13" s="92">
        <v>950</v>
      </c>
      <c r="IY13" s="92" t="s">
        <v>1372</v>
      </c>
      <c r="IZ13" s="92" t="s">
        <v>1374</v>
      </c>
      <c r="JA13" s="92" t="s">
        <v>1375</v>
      </c>
      <c r="JB13" s="92" t="s">
        <v>192</v>
      </c>
      <c r="JC13" s="92" t="s">
        <v>5795</v>
      </c>
      <c r="JD13" s="92" t="s">
        <v>109</v>
      </c>
      <c r="JE13" s="92" t="s">
        <v>109</v>
      </c>
      <c r="JF13" s="92" t="s">
        <v>1372</v>
      </c>
      <c r="JG13" s="92" t="s">
        <v>1372</v>
      </c>
      <c r="JH13" s="92" t="s">
        <v>109</v>
      </c>
      <c r="JI13" s="92" t="s">
        <v>109</v>
      </c>
    </row>
    <row r="14" spans="1:269" x14ac:dyDescent="0.25">
      <c r="A14" t="s">
        <v>2903</v>
      </c>
      <c r="B14" t="s">
        <v>2904</v>
      </c>
      <c r="C14" t="s">
        <v>1305</v>
      </c>
      <c r="D14" t="s">
        <v>1381</v>
      </c>
      <c r="F14" t="s">
        <v>1319</v>
      </c>
      <c r="G14" t="s">
        <v>1319</v>
      </c>
      <c r="H14">
        <v>2</v>
      </c>
      <c r="I14" t="s">
        <v>1358</v>
      </c>
      <c r="J14" t="s">
        <v>1382</v>
      </c>
      <c r="K14" t="s">
        <v>1309</v>
      </c>
      <c r="L14" t="s">
        <v>1310</v>
      </c>
      <c r="M14" t="s">
        <v>1309</v>
      </c>
      <c r="N14" t="s">
        <v>1309</v>
      </c>
      <c r="O14" t="s">
        <v>1309</v>
      </c>
      <c r="P14" t="s">
        <v>1310</v>
      </c>
      <c r="Q14" t="s">
        <v>1309</v>
      </c>
      <c r="R14" t="s">
        <v>1309</v>
      </c>
      <c r="S14">
        <v>1</v>
      </c>
      <c r="U14" t="s">
        <v>1312</v>
      </c>
      <c r="V14" t="s">
        <v>1312</v>
      </c>
      <c r="W14" t="s">
        <v>1312</v>
      </c>
      <c r="X14" t="s">
        <v>1312</v>
      </c>
      <c r="Y14" t="s">
        <v>1312</v>
      </c>
      <c r="Z14" t="s">
        <v>1312</v>
      </c>
      <c r="AC14">
        <v>2</v>
      </c>
      <c r="AD14">
        <v>5000</v>
      </c>
      <c r="AE14">
        <v>5000</v>
      </c>
      <c r="AF14" t="s">
        <v>1351</v>
      </c>
      <c r="AH14" t="s">
        <v>1307</v>
      </c>
      <c r="AI14" t="s">
        <v>4879</v>
      </c>
      <c r="AK14" t="s">
        <v>1307</v>
      </c>
      <c r="CG14" t="s">
        <v>1544</v>
      </c>
      <c r="CH14" t="s">
        <v>1309</v>
      </c>
      <c r="CI14" t="s">
        <v>1310</v>
      </c>
      <c r="CJ14" t="s">
        <v>1309</v>
      </c>
      <c r="CK14" t="s">
        <v>1309</v>
      </c>
      <c r="CL14" t="s">
        <v>1309</v>
      </c>
      <c r="CM14" t="s">
        <v>1309</v>
      </c>
      <c r="CN14" t="s">
        <v>1309</v>
      </c>
      <c r="CO14" t="s">
        <v>1309</v>
      </c>
      <c r="CP14" t="s">
        <v>1309</v>
      </c>
      <c r="CQ14" t="s">
        <v>1309</v>
      </c>
      <c r="CR14" t="s">
        <v>1309</v>
      </c>
      <c r="CS14" t="s">
        <v>1309</v>
      </c>
      <c r="CT14" t="s">
        <v>1309</v>
      </c>
      <c r="CU14" t="s">
        <v>1309</v>
      </c>
      <c r="CV14" t="s">
        <v>1309</v>
      </c>
      <c r="CX14" t="s">
        <v>1702</v>
      </c>
      <c r="CY14" t="s">
        <v>1310</v>
      </c>
      <c r="CZ14" t="s">
        <v>1309</v>
      </c>
      <c r="DA14" t="s">
        <v>1309</v>
      </c>
      <c r="DB14" t="s">
        <v>1309</v>
      </c>
      <c r="DC14" t="s">
        <v>1309</v>
      </c>
      <c r="DD14" t="s">
        <v>1309</v>
      </c>
      <c r="DE14" t="s">
        <v>1309</v>
      </c>
      <c r="DF14" t="s">
        <v>1309</v>
      </c>
      <c r="DG14" t="s">
        <v>1309</v>
      </c>
      <c r="DH14" t="s">
        <v>1310</v>
      </c>
      <c r="DI14" t="s">
        <v>1309</v>
      </c>
      <c r="DJ14" t="s">
        <v>1309</v>
      </c>
      <c r="DK14" t="s">
        <v>1309</v>
      </c>
      <c r="DM14" t="s">
        <v>4436</v>
      </c>
      <c r="DO14" t="s">
        <v>1308</v>
      </c>
      <c r="DP14" t="s">
        <v>1310</v>
      </c>
      <c r="DQ14" t="s">
        <v>1309</v>
      </c>
      <c r="DR14" t="s">
        <v>1309</v>
      </c>
      <c r="DS14" t="s">
        <v>1309</v>
      </c>
      <c r="DT14" t="s">
        <v>1309</v>
      </c>
      <c r="DU14" t="s">
        <v>1309</v>
      </c>
      <c r="DV14" t="s">
        <v>1309</v>
      </c>
      <c r="DX14" t="s">
        <v>1358</v>
      </c>
      <c r="DY14" t="s">
        <v>1319</v>
      </c>
      <c r="DZ14">
        <v>100</v>
      </c>
      <c r="EA14">
        <v>3000</v>
      </c>
      <c r="EB14">
        <v>200</v>
      </c>
      <c r="EC14" t="s">
        <v>1358</v>
      </c>
      <c r="ED14">
        <v>100</v>
      </c>
      <c r="EE14">
        <v>3000</v>
      </c>
      <c r="EF14">
        <v>200</v>
      </c>
      <c r="EG14" t="s">
        <v>2905</v>
      </c>
      <c r="EH14" t="s">
        <v>1309</v>
      </c>
      <c r="EI14" t="s">
        <v>1310</v>
      </c>
      <c r="EJ14" t="s">
        <v>1309</v>
      </c>
      <c r="EK14" t="s">
        <v>1310</v>
      </c>
      <c r="EL14" t="s">
        <v>1310</v>
      </c>
      <c r="EM14" t="s">
        <v>1309</v>
      </c>
      <c r="EN14" t="s">
        <v>1309</v>
      </c>
      <c r="EO14" t="s">
        <v>1309</v>
      </c>
      <c r="EQ14" t="s">
        <v>1307</v>
      </c>
      <c r="ER14" t="s">
        <v>1307</v>
      </c>
      <c r="ES14" t="s">
        <v>1319</v>
      </c>
      <c r="ET14" t="s">
        <v>1319</v>
      </c>
      <c r="EU14" t="s">
        <v>1731</v>
      </c>
      <c r="EV14" t="s">
        <v>1310</v>
      </c>
      <c r="EW14" t="s">
        <v>1310</v>
      </c>
      <c r="EX14" t="s">
        <v>1309</v>
      </c>
      <c r="EY14" t="s">
        <v>1309</v>
      </c>
      <c r="EZ14" t="s">
        <v>1309</v>
      </c>
      <c r="FA14" t="s">
        <v>1309</v>
      </c>
      <c r="FB14" t="s">
        <v>1309</v>
      </c>
      <c r="FC14" t="s">
        <v>1309</v>
      </c>
      <c r="FD14" t="s">
        <v>1309</v>
      </c>
      <c r="FE14" t="s">
        <v>1309</v>
      </c>
      <c r="FF14" t="s">
        <v>1309</v>
      </c>
      <c r="FG14" t="s">
        <v>1309</v>
      </c>
      <c r="FH14" t="s">
        <v>1309</v>
      </c>
      <c r="FI14" t="s">
        <v>1309</v>
      </c>
      <c r="FJ14" t="s">
        <v>1309</v>
      </c>
      <c r="FK14" t="s">
        <v>1309</v>
      </c>
      <c r="FL14" t="s">
        <v>1309</v>
      </c>
      <c r="FN14" t="s">
        <v>1307</v>
      </c>
      <c r="GC14" t="s">
        <v>1436</v>
      </c>
      <c r="GD14" t="s">
        <v>1436</v>
      </c>
      <c r="GE14" t="s">
        <v>1307</v>
      </c>
      <c r="GN14" t="s">
        <v>1364</v>
      </c>
      <c r="HB14" t="s">
        <v>1319</v>
      </c>
      <c r="HC14" t="s">
        <v>1423</v>
      </c>
      <c r="HD14" t="s">
        <v>1309</v>
      </c>
      <c r="HE14" t="s">
        <v>1309</v>
      </c>
      <c r="HF14" t="s">
        <v>1309</v>
      </c>
      <c r="HG14" t="s">
        <v>1309</v>
      </c>
      <c r="HH14" t="s">
        <v>1310</v>
      </c>
      <c r="HI14" t="s">
        <v>1309</v>
      </c>
      <c r="HJ14" t="s">
        <v>1309</v>
      </c>
      <c r="HK14" t="s">
        <v>1309</v>
      </c>
      <c r="HL14" t="s">
        <v>1309</v>
      </c>
      <c r="HM14" t="s">
        <v>1309</v>
      </c>
      <c r="HN14" t="s">
        <v>1309</v>
      </c>
      <c r="HO14" t="s">
        <v>1309</v>
      </c>
      <c r="HP14" t="s">
        <v>1309</v>
      </c>
      <c r="HR14" t="s">
        <v>1332</v>
      </c>
      <c r="HS14" t="s">
        <v>1309</v>
      </c>
      <c r="HT14" t="s">
        <v>1309</v>
      </c>
      <c r="HU14" t="s">
        <v>1309</v>
      </c>
      <c r="HV14" t="s">
        <v>1309</v>
      </c>
      <c r="HW14" t="s">
        <v>1310</v>
      </c>
      <c r="HX14" t="s">
        <v>1309</v>
      </c>
      <c r="HY14" t="s">
        <v>1309</v>
      </c>
      <c r="HZ14" t="s">
        <v>1309</v>
      </c>
      <c r="IB14" s="92" t="s">
        <v>1516</v>
      </c>
      <c r="IC14" s="92" t="s">
        <v>2906</v>
      </c>
      <c r="ID14" s="92">
        <v>50</v>
      </c>
      <c r="IE14" s="92" t="s">
        <v>1307</v>
      </c>
      <c r="IF14" s="92" t="s">
        <v>4398</v>
      </c>
      <c r="IG14" s="92" t="s">
        <v>1336</v>
      </c>
      <c r="IH14" s="92" t="s">
        <v>1296</v>
      </c>
      <c r="II14" s="92" t="s">
        <v>70</v>
      </c>
      <c r="IJ14" s="92" t="s">
        <v>1397</v>
      </c>
      <c r="IK14" s="92" t="s">
        <v>1337</v>
      </c>
      <c r="IL14" s="92" t="s">
        <v>4845</v>
      </c>
      <c r="IM14" s="92" t="s">
        <v>1399</v>
      </c>
      <c r="IN14" s="92" t="s">
        <v>109</v>
      </c>
      <c r="IO14" s="92" t="s">
        <v>4847</v>
      </c>
      <c r="IP14" s="92" t="s">
        <v>5560</v>
      </c>
      <c r="IQ14" s="92">
        <v>3300</v>
      </c>
      <c r="IR14" s="92" t="s">
        <v>1400</v>
      </c>
      <c r="IS14" s="92" t="s">
        <v>192</v>
      </c>
      <c r="IT14" s="92" t="s">
        <v>192</v>
      </c>
      <c r="IU14" s="92" t="s">
        <v>192</v>
      </c>
      <c r="IV14" s="92" t="s">
        <v>192</v>
      </c>
      <c r="IW14" s="92" t="s">
        <v>1341</v>
      </c>
      <c r="IX14" s="92">
        <v>3300</v>
      </c>
      <c r="IY14" s="92" t="s">
        <v>1400</v>
      </c>
      <c r="IZ14" s="92" t="s">
        <v>1341</v>
      </c>
      <c r="JA14" s="92" t="s">
        <v>1401</v>
      </c>
      <c r="JB14" s="92" t="s">
        <v>192</v>
      </c>
      <c r="JC14" s="92" t="s">
        <v>1403</v>
      </c>
      <c r="JD14" s="92" t="s">
        <v>109</v>
      </c>
      <c r="JE14" s="92" t="s">
        <v>109</v>
      </c>
      <c r="JF14" s="92" t="s">
        <v>4439</v>
      </c>
      <c r="JG14" s="92" t="s">
        <v>4439</v>
      </c>
      <c r="JH14" s="92" t="s">
        <v>192</v>
      </c>
      <c r="JI14" s="92" t="s">
        <v>192</v>
      </c>
    </row>
    <row r="15" spans="1:269" x14ac:dyDescent="0.25">
      <c r="A15" t="s">
        <v>2907</v>
      </c>
      <c r="B15" t="s">
        <v>2908</v>
      </c>
      <c r="C15" t="s">
        <v>1305</v>
      </c>
      <c r="D15" t="s">
        <v>1306</v>
      </c>
      <c r="F15" t="s">
        <v>1307</v>
      </c>
      <c r="G15" t="s">
        <v>1319</v>
      </c>
      <c r="H15">
        <v>4</v>
      </c>
      <c r="I15" t="s">
        <v>1307</v>
      </c>
      <c r="J15" t="s">
        <v>1406</v>
      </c>
      <c r="K15" t="s">
        <v>1309</v>
      </c>
      <c r="L15" t="s">
        <v>1310</v>
      </c>
      <c r="M15" t="s">
        <v>1309</v>
      </c>
      <c r="N15" t="s">
        <v>1309</v>
      </c>
      <c r="O15" t="s">
        <v>1309</v>
      </c>
      <c r="P15" t="s">
        <v>1309</v>
      </c>
      <c r="Q15" t="s">
        <v>1309</v>
      </c>
      <c r="R15" t="s">
        <v>1309</v>
      </c>
      <c r="S15">
        <v>2</v>
      </c>
      <c r="U15" t="s">
        <v>1486</v>
      </c>
      <c r="V15" t="s">
        <v>1312</v>
      </c>
      <c r="W15" t="s">
        <v>1312</v>
      </c>
      <c r="X15" t="s">
        <v>1311</v>
      </c>
      <c r="Y15" t="s">
        <v>1312</v>
      </c>
      <c r="Z15" t="s">
        <v>1312</v>
      </c>
      <c r="AC15">
        <v>1</v>
      </c>
      <c r="AD15">
        <v>5000</v>
      </c>
      <c r="AE15">
        <v>5000</v>
      </c>
      <c r="AF15" t="s">
        <v>1351</v>
      </c>
      <c r="AH15" t="s">
        <v>1307</v>
      </c>
      <c r="AI15" t="s">
        <v>4877</v>
      </c>
      <c r="AK15" t="s">
        <v>1319</v>
      </c>
      <c r="AL15" t="s">
        <v>1315</v>
      </c>
      <c r="AN15" t="s">
        <v>1413</v>
      </c>
      <c r="AO15" t="s">
        <v>2909</v>
      </c>
      <c r="AP15" t="s">
        <v>1309</v>
      </c>
      <c r="AQ15" t="s">
        <v>1309</v>
      </c>
      <c r="AR15" t="s">
        <v>1310</v>
      </c>
      <c r="AS15" t="s">
        <v>1309</v>
      </c>
      <c r="AT15" t="s">
        <v>1310</v>
      </c>
      <c r="AU15" t="s">
        <v>1310</v>
      </c>
      <c r="AV15" t="s">
        <v>1309</v>
      </c>
      <c r="AW15" t="s">
        <v>1309</v>
      </c>
      <c r="AX15" t="s">
        <v>1309</v>
      </c>
      <c r="AY15" t="s">
        <v>1309</v>
      </c>
      <c r="AZ15" t="s">
        <v>1309</v>
      </c>
      <c r="BA15" t="s">
        <v>1309</v>
      </c>
      <c r="BU15" t="s">
        <v>1604</v>
      </c>
      <c r="BV15" t="s">
        <v>1309</v>
      </c>
      <c r="BW15" t="s">
        <v>1309</v>
      </c>
      <c r="BX15" t="s">
        <v>1309</v>
      </c>
      <c r="BY15" t="s">
        <v>1309</v>
      </c>
      <c r="BZ15" t="s">
        <v>1309</v>
      </c>
      <c r="CA15" t="s">
        <v>1309</v>
      </c>
      <c r="CB15" t="s">
        <v>1310</v>
      </c>
      <c r="CC15" t="s">
        <v>1309</v>
      </c>
      <c r="CD15" t="s">
        <v>1309</v>
      </c>
      <c r="CE15" t="s">
        <v>1309</v>
      </c>
      <c r="CX15" t="s">
        <v>2910</v>
      </c>
      <c r="CY15" t="s">
        <v>1310</v>
      </c>
      <c r="CZ15" t="s">
        <v>1309</v>
      </c>
      <c r="DA15" t="s">
        <v>1309</v>
      </c>
      <c r="DB15" t="s">
        <v>1309</v>
      </c>
      <c r="DC15" t="s">
        <v>1310</v>
      </c>
      <c r="DD15" t="s">
        <v>1310</v>
      </c>
      <c r="DE15" t="s">
        <v>1309</v>
      </c>
      <c r="DF15" t="s">
        <v>1309</v>
      </c>
      <c r="DG15" t="s">
        <v>1309</v>
      </c>
      <c r="DH15" t="s">
        <v>1309</v>
      </c>
      <c r="DI15" t="s">
        <v>1309</v>
      </c>
      <c r="DJ15" t="s">
        <v>1309</v>
      </c>
      <c r="DK15" t="s">
        <v>1309</v>
      </c>
      <c r="DM15" t="s">
        <v>4436</v>
      </c>
      <c r="DO15" t="s">
        <v>1308</v>
      </c>
      <c r="DP15" t="s">
        <v>1310</v>
      </c>
      <c r="DQ15" t="s">
        <v>1309</v>
      </c>
      <c r="DR15" t="s">
        <v>1309</v>
      </c>
      <c r="DS15" t="s">
        <v>1309</v>
      </c>
      <c r="DT15" t="s">
        <v>1309</v>
      </c>
      <c r="DU15" t="s">
        <v>1309</v>
      </c>
      <c r="DV15" t="s">
        <v>1309</v>
      </c>
      <c r="DX15" t="s">
        <v>1358</v>
      </c>
      <c r="DY15" t="s">
        <v>1307</v>
      </c>
      <c r="EA15">
        <v>3000</v>
      </c>
      <c r="EB15">
        <v>1500</v>
      </c>
      <c r="EC15" t="s">
        <v>1358</v>
      </c>
      <c r="EE15">
        <v>4000</v>
      </c>
      <c r="EF15">
        <v>1500</v>
      </c>
      <c r="EG15" t="s">
        <v>2911</v>
      </c>
      <c r="EH15" t="s">
        <v>1310</v>
      </c>
      <c r="EI15" t="s">
        <v>1309</v>
      </c>
      <c r="EJ15" t="s">
        <v>1309</v>
      </c>
      <c r="EK15" t="s">
        <v>1310</v>
      </c>
      <c r="EL15" t="s">
        <v>1309</v>
      </c>
      <c r="EM15" t="s">
        <v>1309</v>
      </c>
      <c r="EN15" t="s">
        <v>1309</v>
      </c>
      <c r="EO15" t="s">
        <v>1309</v>
      </c>
      <c r="EQ15" t="s">
        <v>1307</v>
      </c>
      <c r="ER15" t="s">
        <v>1319</v>
      </c>
      <c r="ET15" t="s">
        <v>1319</v>
      </c>
      <c r="EU15" t="s">
        <v>2912</v>
      </c>
      <c r="EV15" t="s">
        <v>1310</v>
      </c>
      <c r="EW15" t="s">
        <v>1309</v>
      </c>
      <c r="EX15" t="s">
        <v>1309</v>
      </c>
      <c r="EY15" t="s">
        <v>1309</v>
      </c>
      <c r="EZ15" t="s">
        <v>1309</v>
      </c>
      <c r="FA15" t="s">
        <v>1310</v>
      </c>
      <c r="FB15" t="s">
        <v>1310</v>
      </c>
      <c r="FC15" t="s">
        <v>1309</v>
      </c>
      <c r="FD15" t="s">
        <v>1309</v>
      </c>
      <c r="FE15" t="s">
        <v>1309</v>
      </c>
      <c r="FF15" t="s">
        <v>1310</v>
      </c>
      <c r="FG15" t="s">
        <v>1309</v>
      </c>
      <c r="FH15" t="s">
        <v>1309</v>
      </c>
      <c r="FI15" t="s">
        <v>1309</v>
      </c>
      <c r="FJ15" t="s">
        <v>1309</v>
      </c>
      <c r="FK15" t="s">
        <v>1309</v>
      </c>
      <c r="FL15" t="s">
        <v>1309</v>
      </c>
      <c r="FN15" t="s">
        <v>1319</v>
      </c>
      <c r="FO15" t="s">
        <v>1626</v>
      </c>
      <c r="FP15" t="s">
        <v>1309</v>
      </c>
      <c r="FQ15" t="s">
        <v>1310</v>
      </c>
      <c r="FR15" t="s">
        <v>1309</v>
      </c>
      <c r="FS15" t="s">
        <v>1309</v>
      </c>
      <c r="FT15" t="s">
        <v>1309</v>
      </c>
      <c r="FU15" t="s">
        <v>1309</v>
      </c>
      <c r="FV15" t="s">
        <v>1309</v>
      </c>
      <c r="FW15" t="s">
        <v>1309</v>
      </c>
      <c r="FX15" t="s">
        <v>1309</v>
      </c>
      <c r="FY15" t="s">
        <v>1309</v>
      </c>
      <c r="FZ15" t="s">
        <v>1309</v>
      </c>
      <c r="GA15" t="s">
        <v>1309</v>
      </c>
      <c r="GC15" t="s">
        <v>1324</v>
      </c>
      <c r="GD15" t="s">
        <v>1324</v>
      </c>
      <c r="GN15" t="s">
        <v>1364</v>
      </c>
      <c r="HB15" t="s">
        <v>1319</v>
      </c>
      <c r="HC15" t="s">
        <v>1423</v>
      </c>
      <c r="HD15" t="s">
        <v>1309</v>
      </c>
      <c r="HE15" t="s">
        <v>1309</v>
      </c>
      <c r="HF15" t="s">
        <v>1309</v>
      </c>
      <c r="HG15" t="s">
        <v>1309</v>
      </c>
      <c r="HH15" t="s">
        <v>1310</v>
      </c>
      <c r="HI15" t="s">
        <v>1309</v>
      </c>
      <c r="HJ15" t="s">
        <v>1309</v>
      </c>
      <c r="HK15" t="s">
        <v>1309</v>
      </c>
      <c r="HL15" t="s">
        <v>1309</v>
      </c>
      <c r="HM15" t="s">
        <v>1309</v>
      </c>
      <c r="HN15" t="s">
        <v>1309</v>
      </c>
      <c r="HO15" t="s">
        <v>1309</v>
      </c>
      <c r="HP15" t="s">
        <v>1309</v>
      </c>
      <c r="HR15" t="s">
        <v>1332</v>
      </c>
      <c r="HS15" t="s">
        <v>1309</v>
      </c>
      <c r="HT15" t="s">
        <v>1309</v>
      </c>
      <c r="HU15" t="s">
        <v>1309</v>
      </c>
      <c r="HV15" t="s">
        <v>1309</v>
      </c>
      <c r="HW15" t="s">
        <v>1310</v>
      </c>
      <c r="HX15" t="s">
        <v>1309</v>
      </c>
      <c r="HY15" t="s">
        <v>1309</v>
      </c>
      <c r="HZ15" t="s">
        <v>1309</v>
      </c>
      <c r="IB15" s="92" t="s">
        <v>1524</v>
      </c>
      <c r="IC15" s="92" t="s">
        <v>1525</v>
      </c>
      <c r="ID15" s="92">
        <v>36</v>
      </c>
      <c r="IE15" s="92" t="s">
        <v>1307</v>
      </c>
      <c r="IF15" s="92" t="s">
        <v>4396</v>
      </c>
      <c r="IG15" s="92" t="s">
        <v>1526</v>
      </c>
      <c r="IH15" s="92" t="s">
        <v>1296</v>
      </c>
      <c r="II15" s="92" t="s">
        <v>71</v>
      </c>
      <c r="IJ15" s="92" t="s">
        <v>5549</v>
      </c>
      <c r="IK15" s="92" t="s">
        <v>1337</v>
      </c>
      <c r="IL15" s="92" t="s">
        <v>4845</v>
      </c>
      <c r="IM15" s="92" t="s">
        <v>1415</v>
      </c>
      <c r="IN15" s="92" t="s">
        <v>192</v>
      </c>
      <c r="IO15" s="92" t="s">
        <v>4844</v>
      </c>
      <c r="IP15" s="92" t="s">
        <v>5560</v>
      </c>
      <c r="IQ15" s="92">
        <v>4500</v>
      </c>
      <c r="IR15" s="92" t="s">
        <v>1426</v>
      </c>
      <c r="IS15" s="92" t="s">
        <v>109</v>
      </c>
      <c r="IT15" s="92" t="s">
        <v>192</v>
      </c>
      <c r="IU15" s="92" t="s">
        <v>109</v>
      </c>
      <c r="IV15" s="92" t="s">
        <v>192</v>
      </c>
      <c r="IW15" s="92" t="s">
        <v>1341</v>
      </c>
      <c r="IX15" s="92">
        <v>5500</v>
      </c>
      <c r="IY15" s="92" t="s">
        <v>1426</v>
      </c>
      <c r="IZ15" s="92" t="s">
        <v>1341</v>
      </c>
      <c r="JA15" s="92" t="s">
        <v>1401</v>
      </c>
      <c r="JB15" s="92" t="s">
        <v>109</v>
      </c>
      <c r="JC15" s="92" t="s">
        <v>5795</v>
      </c>
      <c r="JD15" s="92" t="s">
        <v>109</v>
      </c>
      <c r="JE15" s="92" t="s">
        <v>109</v>
      </c>
      <c r="JF15" s="92" t="s">
        <v>4439</v>
      </c>
      <c r="JG15" s="92" t="s">
        <v>1400</v>
      </c>
      <c r="JH15" s="92" t="s">
        <v>192</v>
      </c>
      <c r="JI15" s="92" t="s">
        <v>192</v>
      </c>
    </row>
    <row r="16" spans="1:269" x14ac:dyDescent="0.25">
      <c r="A16" t="s">
        <v>2913</v>
      </c>
      <c r="B16" t="s">
        <v>2914</v>
      </c>
      <c r="C16" t="s">
        <v>1305</v>
      </c>
      <c r="D16" t="s">
        <v>1381</v>
      </c>
      <c r="F16" t="s">
        <v>1319</v>
      </c>
      <c r="G16" t="s">
        <v>1319</v>
      </c>
      <c r="H16">
        <v>3</v>
      </c>
      <c r="I16" t="s">
        <v>1358</v>
      </c>
      <c r="J16" t="s">
        <v>1614</v>
      </c>
      <c r="K16" t="s">
        <v>1309</v>
      </c>
      <c r="L16" t="s">
        <v>1310</v>
      </c>
      <c r="M16" t="s">
        <v>1310</v>
      </c>
      <c r="N16" t="s">
        <v>1309</v>
      </c>
      <c r="O16" t="s">
        <v>1310</v>
      </c>
      <c r="P16" t="s">
        <v>1309</v>
      </c>
      <c r="Q16" t="s">
        <v>1309</v>
      </c>
      <c r="R16" t="s">
        <v>1309</v>
      </c>
      <c r="S16">
        <v>2</v>
      </c>
      <c r="T16">
        <v>1</v>
      </c>
      <c r="U16" t="s">
        <v>1312</v>
      </c>
      <c r="V16" t="s">
        <v>1312</v>
      </c>
      <c r="W16" t="s">
        <v>1312</v>
      </c>
      <c r="X16" t="s">
        <v>1312</v>
      </c>
      <c r="Y16" t="s">
        <v>1312</v>
      </c>
      <c r="Z16" t="s">
        <v>1312</v>
      </c>
      <c r="AC16">
        <v>1</v>
      </c>
      <c r="AD16">
        <v>7000</v>
      </c>
      <c r="AE16">
        <v>4000</v>
      </c>
      <c r="AF16" t="s">
        <v>1313</v>
      </c>
      <c r="AH16" t="s">
        <v>1307</v>
      </c>
      <c r="AI16" t="s">
        <v>4732</v>
      </c>
      <c r="AK16" t="s">
        <v>1307</v>
      </c>
      <c r="CG16" t="s">
        <v>1544</v>
      </c>
      <c r="CH16" t="s">
        <v>1309</v>
      </c>
      <c r="CI16" t="s">
        <v>1310</v>
      </c>
      <c r="CJ16" t="s">
        <v>1309</v>
      </c>
      <c r="CK16" t="s">
        <v>1309</v>
      </c>
      <c r="CL16" t="s">
        <v>1309</v>
      </c>
      <c r="CM16" t="s">
        <v>1309</v>
      </c>
      <c r="CN16" t="s">
        <v>1309</v>
      </c>
      <c r="CO16" t="s">
        <v>1309</v>
      </c>
      <c r="CP16" t="s">
        <v>1309</v>
      </c>
      <c r="CQ16" t="s">
        <v>1309</v>
      </c>
      <c r="CR16" t="s">
        <v>1309</v>
      </c>
      <c r="CS16" t="s">
        <v>1309</v>
      </c>
      <c r="CT16" t="s">
        <v>1309</v>
      </c>
      <c r="CU16" t="s">
        <v>1309</v>
      </c>
      <c r="CV16" t="s">
        <v>1309</v>
      </c>
      <c r="CX16" t="s">
        <v>1414</v>
      </c>
      <c r="CY16" t="s">
        <v>1309</v>
      </c>
      <c r="CZ16" t="s">
        <v>1309</v>
      </c>
      <c r="DA16" t="s">
        <v>1309</v>
      </c>
      <c r="DB16" t="s">
        <v>1309</v>
      </c>
      <c r="DC16" t="s">
        <v>1309</v>
      </c>
      <c r="DD16" t="s">
        <v>1309</v>
      </c>
      <c r="DE16" t="s">
        <v>1309</v>
      </c>
      <c r="DF16" t="s">
        <v>1309</v>
      </c>
      <c r="DG16" t="s">
        <v>1309</v>
      </c>
      <c r="DH16" t="s">
        <v>1309</v>
      </c>
      <c r="DI16" t="s">
        <v>1309</v>
      </c>
      <c r="DJ16" t="s">
        <v>1310</v>
      </c>
      <c r="DK16" t="s">
        <v>1309</v>
      </c>
      <c r="DM16" t="s">
        <v>4435</v>
      </c>
      <c r="DO16" t="s">
        <v>1357</v>
      </c>
      <c r="DP16" t="s">
        <v>1309</v>
      </c>
      <c r="DQ16" t="s">
        <v>1309</v>
      </c>
      <c r="DR16" t="s">
        <v>1309</v>
      </c>
      <c r="DS16" t="s">
        <v>1309</v>
      </c>
      <c r="DT16" t="s">
        <v>1310</v>
      </c>
      <c r="DU16" t="s">
        <v>1309</v>
      </c>
      <c r="DV16" t="s">
        <v>1309</v>
      </c>
      <c r="DX16" t="s">
        <v>1358</v>
      </c>
      <c r="DY16" t="s">
        <v>1319</v>
      </c>
      <c r="DZ16">
        <v>3000</v>
      </c>
      <c r="EA16">
        <v>1000</v>
      </c>
      <c r="EB16">
        <v>1000</v>
      </c>
      <c r="EC16" t="s">
        <v>1307</v>
      </c>
      <c r="EG16" t="s">
        <v>1703</v>
      </c>
      <c r="EH16" t="s">
        <v>1310</v>
      </c>
      <c r="EI16" t="s">
        <v>1309</v>
      </c>
      <c r="EJ16" t="s">
        <v>1309</v>
      </c>
      <c r="EK16" t="s">
        <v>1309</v>
      </c>
      <c r="EL16" t="s">
        <v>1309</v>
      </c>
      <c r="EM16" t="s">
        <v>1309</v>
      </c>
      <c r="EN16" t="s">
        <v>1309</v>
      </c>
      <c r="EO16" t="s">
        <v>1309</v>
      </c>
      <c r="EQ16" t="s">
        <v>1307</v>
      </c>
      <c r="ER16" t="s">
        <v>1319</v>
      </c>
      <c r="ES16" t="s">
        <v>1319</v>
      </c>
      <c r="EU16" t="s">
        <v>2915</v>
      </c>
      <c r="EV16" t="s">
        <v>1309</v>
      </c>
      <c r="EW16" t="s">
        <v>1309</v>
      </c>
      <c r="EX16" t="s">
        <v>1309</v>
      </c>
      <c r="EY16" t="s">
        <v>1310</v>
      </c>
      <c r="EZ16" t="s">
        <v>1309</v>
      </c>
      <c r="FA16" t="s">
        <v>1310</v>
      </c>
      <c r="FB16" t="s">
        <v>1310</v>
      </c>
      <c r="FC16" t="s">
        <v>1310</v>
      </c>
      <c r="FD16" t="s">
        <v>1310</v>
      </c>
      <c r="FE16" t="s">
        <v>1310</v>
      </c>
      <c r="FF16" t="s">
        <v>1310</v>
      </c>
      <c r="FG16" t="s">
        <v>1309</v>
      </c>
      <c r="FH16" t="s">
        <v>1310</v>
      </c>
      <c r="FI16" t="s">
        <v>1309</v>
      </c>
      <c r="FJ16" t="s">
        <v>1309</v>
      </c>
      <c r="FK16" t="s">
        <v>1309</v>
      </c>
      <c r="FL16" t="s">
        <v>1309</v>
      </c>
      <c r="FN16" t="s">
        <v>1307</v>
      </c>
      <c r="GC16" t="s">
        <v>1436</v>
      </c>
      <c r="GD16" t="s">
        <v>1436</v>
      </c>
      <c r="GE16" t="s">
        <v>1307</v>
      </c>
      <c r="GN16" t="s">
        <v>1364</v>
      </c>
      <c r="HB16" t="s">
        <v>1307</v>
      </c>
      <c r="HR16" t="s">
        <v>1393</v>
      </c>
      <c r="HS16" t="s">
        <v>1310</v>
      </c>
      <c r="HT16" t="s">
        <v>1309</v>
      </c>
      <c r="HU16" t="s">
        <v>1309</v>
      </c>
      <c r="HV16" t="s">
        <v>1309</v>
      </c>
      <c r="HW16" t="s">
        <v>1309</v>
      </c>
      <c r="HX16" t="s">
        <v>1309</v>
      </c>
      <c r="HY16" t="s">
        <v>1309</v>
      </c>
      <c r="HZ16" t="s">
        <v>1309</v>
      </c>
      <c r="IB16" s="92" t="s">
        <v>1516</v>
      </c>
      <c r="IC16" s="92" t="s">
        <v>2916</v>
      </c>
      <c r="ID16" s="92">
        <v>68</v>
      </c>
      <c r="IE16" s="92" t="s">
        <v>1307</v>
      </c>
      <c r="IF16" s="92" t="s">
        <v>4398</v>
      </c>
      <c r="IG16" s="92" t="s">
        <v>1336</v>
      </c>
      <c r="IH16" s="92" t="s">
        <v>1296</v>
      </c>
      <c r="II16" s="92" t="s">
        <v>70</v>
      </c>
      <c r="IJ16" s="92" t="s">
        <v>1397</v>
      </c>
      <c r="IK16" s="92" t="s">
        <v>1369</v>
      </c>
      <c r="IL16" s="92" t="s">
        <v>4845</v>
      </c>
      <c r="IM16" s="92" t="s">
        <v>5476</v>
      </c>
      <c r="IN16" s="92" t="s">
        <v>109</v>
      </c>
      <c r="IO16" s="92" t="s">
        <v>4844</v>
      </c>
      <c r="IP16" s="92" t="s">
        <v>1424</v>
      </c>
      <c r="IQ16" s="92">
        <v>5000</v>
      </c>
      <c r="IR16" s="92" t="s">
        <v>1400</v>
      </c>
      <c r="IS16" s="92" t="s">
        <v>192</v>
      </c>
      <c r="IT16" s="92" t="s">
        <v>192</v>
      </c>
      <c r="IU16" s="92" t="s">
        <v>109</v>
      </c>
      <c r="IV16" s="92" t="s">
        <v>109</v>
      </c>
      <c r="IW16" s="92" t="s">
        <v>1341</v>
      </c>
      <c r="IX16" s="92">
        <v>0</v>
      </c>
      <c r="IY16" s="92" t="s">
        <v>1372</v>
      </c>
      <c r="IZ16" s="92" t="s">
        <v>1373</v>
      </c>
      <c r="JA16" s="92" t="s">
        <v>1375</v>
      </c>
      <c r="JB16" s="92" t="s">
        <v>192</v>
      </c>
      <c r="JC16" s="92" t="s">
        <v>1403</v>
      </c>
      <c r="JD16" s="92" t="s">
        <v>109</v>
      </c>
      <c r="JE16" s="92" t="s">
        <v>109</v>
      </c>
      <c r="JF16" s="92" t="s">
        <v>1400</v>
      </c>
      <c r="JG16" s="92" t="s">
        <v>1372</v>
      </c>
      <c r="JH16" s="92" t="s">
        <v>192</v>
      </c>
      <c r="JI16" s="92" t="s">
        <v>109</v>
      </c>
    </row>
    <row r="17" spans="1:269" x14ac:dyDescent="0.25">
      <c r="A17" t="s">
        <v>2917</v>
      </c>
      <c r="B17" t="s">
        <v>2918</v>
      </c>
      <c r="C17" t="s">
        <v>1429</v>
      </c>
      <c r="D17" t="s">
        <v>1306</v>
      </c>
      <c r="F17" t="s">
        <v>1307</v>
      </c>
      <c r="G17" t="s">
        <v>1319</v>
      </c>
      <c r="H17">
        <v>4</v>
      </c>
      <c r="I17" t="s">
        <v>1307</v>
      </c>
      <c r="J17" t="s">
        <v>1406</v>
      </c>
      <c r="K17" t="s">
        <v>1309</v>
      </c>
      <c r="L17" t="s">
        <v>1310</v>
      </c>
      <c r="M17" t="s">
        <v>1309</v>
      </c>
      <c r="N17" t="s">
        <v>1309</v>
      </c>
      <c r="O17" t="s">
        <v>1309</v>
      </c>
      <c r="P17" t="s">
        <v>1309</v>
      </c>
      <c r="Q17" t="s">
        <v>1309</v>
      </c>
      <c r="R17" t="s">
        <v>1309</v>
      </c>
      <c r="S17">
        <v>1</v>
      </c>
      <c r="U17" t="s">
        <v>1312</v>
      </c>
      <c r="V17" t="s">
        <v>1312</v>
      </c>
      <c r="W17" t="s">
        <v>1312</v>
      </c>
      <c r="X17" t="s">
        <v>1312</v>
      </c>
      <c r="Y17" t="s">
        <v>1312</v>
      </c>
      <c r="Z17" t="s">
        <v>1312</v>
      </c>
      <c r="AC17">
        <v>2</v>
      </c>
      <c r="AD17">
        <v>15000</v>
      </c>
      <c r="AE17">
        <v>9000</v>
      </c>
      <c r="AF17" t="s">
        <v>1351</v>
      </c>
      <c r="AH17" t="s">
        <v>1319</v>
      </c>
      <c r="AI17" t="s">
        <v>4879</v>
      </c>
      <c r="AK17" t="s">
        <v>1307</v>
      </c>
      <c r="CG17" t="s">
        <v>2853</v>
      </c>
      <c r="CH17" t="s">
        <v>1309</v>
      </c>
      <c r="CI17" t="s">
        <v>1309</v>
      </c>
      <c r="CJ17" t="s">
        <v>1309</v>
      </c>
      <c r="CK17" t="s">
        <v>1310</v>
      </c>
      <c r="CL17" t="s">
        <v>1309</v>
      </c>
      <c r="CM17" t="s">
        <v>1309</v>
      </c>
      <c r="CN17" t="s">
        <v>1309</v>
      </c>
      <c r="CO17" t="s">
        <v>1309</v>
      </c>
      <c r="CP17" t="s">
        <v>1309</v>
      </c>
      <c r="CQ17" t="s">
        <v>1309</v>
      </c>
      <c r="CR17" t="s">
        <v>1309</v>
      </c>
      <c r="CS17" t="s">
        <v>1309</v>
      </c>
      <c r="CT17" t="s">
        <v>1309</v>
      </c>
      <c r="CU17" t="s">
        <v>1309</v>
      </c>
      <c r="CV17" t="s">
        <v>1309</v>
      </c>
      <c r="CX17" t="s">
        <v>1384</v>
      </c>
      <c r="CY17" t="s">
        <v>1310</v>
      </c>
      <c r="CZ17" t="s">
        <v>1309</v>
      </c>
      <c r="DA17" t="s">
        <v>1309</v>
      </c>
      <c r="DB17" t="s">
        <v>1309</v>
      </c>
      <c r="DC17" t="s">
        <v>1309</v>
      </c>
      <c r="DD17" t="s">
        <v>1309</v>
      </c>
      <c r="DE17" t="s">
        <v>1309</v>
      </c>
      <c r="DF17" t="s">
        <v>1309</v>
      </c>
      <c r="DG17" t="s">
        <v>1309</v>
      </c>
      <c r="DH17" t="s">
        <v>1309</v>
      </c>
      <c r="DI17" t="s">
        <v>1309</v>
      </c>
      <c r="DJ17" t="s">
        <v>1309</v>
      </c>
      <c r="DK17" t="s">
        <v>1309</v>
      </c>
      <c r="DM17" t="s">
        <v>4436</v>
      </c>
      <c r="DO17" t="s">
        <v>1308</v>
      </c>
      <c r="DP17" t="s">
        <v>1310</v>
      </c>
      <c r="DQ17" t="s">
        <v>1309</v>
      </c>
      <c r="DR17" t="s">
        <v>1309</v>
      </c>
      <c r="DS17" t="s">
        <v>1309</v>
      </c>
      <c r="DT17" t="s">
        <v>1309</v>
      </c>
      <c r="DU17" t="s">
        <v>1309</v>
      </c>
      <c r="DV17" t="s">
        <v>1309</v>
      </c>
      <c r="DX17" t="s">
        <v>1358</v>
      </c>
      <c r="DY17" t="s">
        <v>1319</v>
      </c>
      <c r="DZ17">
        <v>300</v>
      </c>
      <c r="EC17" t="s">
        <v>1358</v>
      </c>
      <c r="EF17">
        <v>700</v>
      </c>
      <c r="EG17" t="s">
        <v>1703</v>
      </c>
      <c r="EH17" t="s">
        <v>1310</v>
      </c>
      <c r="EI17" t="s">
        <v>1309</v>
      </c>
      <c r="EJ17" t="s">
        <v>1309</v>
      </c>
      <c r="EK17" t="s">
        <v>1309</v>
      </c>
      <c r="EL17" t="s">
        <v>1309</v>
      </c>
      <c r="EM17" t="s">
        <v>1309</v>
      </c>
      <c r="EN17" t="s">
        <v>1309</v>
      </c>
      <c r="EO17" t="s">
        <v>1309</v>
      </c>
      <c r="EQ17" t="s">
        <v>1307</v>
      </c>
      <c r="ER17" t="s">
        <v>1307</v>
      </c>
      <c r="ES17" t="s">
        <v>1307</v>
      </c>
      <c r="ET17" t="s">
        <v>1307</v>
      </c>
      <c r="FN17" t="s">
        <v>1319</v>
      </c>
      <c r="FO17" t="s">
        <v>2486</v>
      </c>
      <c r="FP17" t="s">
        <v>1310</v>
      </c>
      <c r="FQ17" t="s">
        <v>1309</v>
      </c>
      <c r="FR17" t="s">
        <v>1309</v>
      </c>
      <c r="FS17" t="s">
        <v>1310</v>
      </c>
      <c r="FT17" t="s">
        <v>1309</v>
      </c>
      <c r="FU17" t="s">
        <v>1310</v>
      </c>
      <c r="FV17" t="s">
        <v>1309</v>
      </c>
      <c r="FW17" t="s">
        <v>1309</v>
      </c>
      <c r="FX17" t="s">
        <v>1309</v>
      </c>
      <c r="FY17" t="s">
        <v>1309</v>
      </c>
      <c r="FZ17" t="s">
        <v>1309</v>
      </c>
      <c r="GA17" t="s">
        <v>1309</v>
      </c>
      <c r="GC17" t="s">
        <v>1324</v>
      </c>
      <c r="GD17" t="s">
        <v>1324</v>
      </c>
      <c r="GN17" t="s">
        <v>1328</v>
      </c>
      <c r="GO17" t="s">
        <v>2215</v>
      </c>
      <c r="GP17" t="s">
        <v>1309</v>
      </c>
      <c r="GQ17" t="s">
        <v>1310</v>
      </c>
      <c r="GR17" t="s">
        <v>1310</v>
      </c>
      <c r="GS17" t="s">
        <v>1309</v>
      </c>
      <c r="GT17" t="s">
        <v>1309</v>
      </c>
      <c r="GU17" t="s">
        <v>1309</v>
      </c>
      <c r="GV17" t="s">
        <v>1309</v>
      </c>
      <c r="GW17" t="s">
        <v>1309</v>
      </c>
      <c r="GX17" t="s">
        <v>1309</v>
      </c>
      <c r="GY17" t="s">
        <v>1309</v>
      </c>
      <c r="GZ17" t="s">
        <v>1309</v>
      </c>
      <c r="HB17" t="s">
        <v>1319</v>
      </c>
      <c r="HC17" t="s">
        <v>1601</v>
      </c>
      <c r="HD17" t="s">
        <v>1310</v>
      </c>
      <c r="HE17" t="s">
        <v>1309</v>
      </c>
      <c r="HF17" t="s">
        <v>1309</v>
      </c>
      <c r="HG17" t="s">
        <v>1309</v>
      </c>
      <c r="HH17" t="s">
        <v>1309</v>
      </c>
      <c r="HI17" t="s">
        <v>1309</v>
      </c>
      <c r="HJ17" t="s">
        <v>1309</v>
      </c>
      <c r="HK17" t="s">
        <v>1309</v>
      </c>
      <c r="HL17" t="s">
        <v>1309</v>
      </c>
      <c r="HM17" t="s">
        <v>1309</v>
      </c>
      <c r="HN17" t="s">
        <v>1309</v>
      </c>
      <c r="HO17" t="s">
        <v>1309</v>
      </c>
      <c r="HP17" t="s">
        <v>1309</v>
      </c>
      <c r="HR17" t="s">
        <v>1393</v>
      </c>
      <c r="HS17" t="s">
        <v>1310</v>
      </c>
      <c r="HT17" t="s">
        <v>1309</v>
      </c>
      <c r="HU17" t="s">
        <v>1309</v>
      </c>
      <c r="HV17" t="s">
        <v>1309</v>
      </c>
      <c r="HW17" t="s">
        <v>1309</v>
      </c>
      <c r="HX17" t="s">
        <v>1309</v>
      </c>
      <c r="HY17" t="s">
        <v>1309</v>
      </c>
      <c r="HZ17" t="s">
        <v>1309</v>
      </c>
      <c r="IB17" s="92" t="s">
        <v>1593</v>
      </c>
      <c r="IC17" s="92" t="s">
        <v>1651</v>
      </c>
      <c r="ID17" s="92">
        <v>49</v>
      </c>
      <c r="IE17" s="92" t="s">
        <v>1307</v>
      </c>
      <c r="IF17" s="92" t="s">
        <v>4396</v>
      </c>
      <c r="IG17" s="92" t="s">
        <v>1526</v>
      </c>
      <c r="IH17" s="92" t="s">
        <v>1296</v>
      </c>
      <c r="II17" s="92" t="s">
        <v>70</v>
      </c>
      <c r="IJ17" s="92" t="s">
        <v>5549</v>
      </c>
      <c r="IK17" s="92" t="s">
        <v>1337</v>
      </c>
      <c r="IL17" s="92" t="s">
        <v>4845</v>
      </c>
      <c r="IM17" s="92" t="s">
        <v>1415</v>
      </c>
      <c r="IN17" s="92" t="s">
        <v>109</v>
      </c>
      <c r="IO17" s="92" t="s">
        <v>4847</v>
      </c>
      <c r="IP17" s="92" t="s">
        <v>1371</v>
      </c>
      <c r="IQ17" s="92">
        <v>300</v>
      </c>
      <c r="IR17" s="92" t="s">
        <v>1372</v>
      </c>
      <c r="IS17" s="92" t="s">
        <v>192</v>
      </c>
      <c r="IT17" s="92" t="s">
        <v>109</v>
      </c>
      <c r="IU17" s="92" t="s">
        <v>109</v>
      </c>
      <c r="IV17" s="92" t="s">
        <v>109</v>
      </c>
      <c r="IW17" s="92" t="s">
        <v>1373</v>
      </c>
      <c r="IX17" s="92">
        <v>700</v>
      </c>
      <c r="IY17" s="92" t="s">
        <v>1372</v>
      </c>
      <c r="IZ17" s="92" t="s">
        <v>1374</v>
      </c>
      <c r="JA17" s="92" t="s">
        <v>1401</v>
      </c>
      <c r="JB17" s="92" t="s">
        <v>192</v>
      </c>
      <c r="JC17" s="92" t="s">
        <v>5795</v>
      </c>
      <c r="JD17" s="92" t="s">
        <v>109</v>
      </c>
      <c r="JE17" s="92" t="s">
        <v>109</v>
      </c>
      <c r="JF17" s="92" t="s">
        <v>1372</v>
      </c>
      <c r="JG17" s="92" t="s">
        <v>1372</v>
      </c>
      <c r="JH17" s="92" t="s">
        <v>109</v>
      </c>
      <c r="JI17" s="92" t="s">
        <v>109</v>
      </c>
    </row>
    <row r="18" spans="1:269" x14ac:dyDescent="0.25">
      <c r="A18" t="s">
        <v>2919</v>
      </c>
      <c r="B18" t="s">
        <v>2920</v>
      </c>
      <c r="C18" t="s">
        <v>1429</v>
      </c>
      <c r="D18" t="s">
        <v>1306</v>
      </c>
      <c r="F18" t="s">
        <v>1307</v>
      </c>
      <c r="G18" t="s">
        <v>1319</v>
      </c>
      <c r="H18">
        <v>3</v>
      </c>
      <c r="I18" t="s">
        <v>1307</v>
      </c>
      <c r="J18" t="s">
        <v>1406</v>
      </c>
      <c r="K18" t="s">
        <v>1309</v>
      </c>
      <c r="L18" t="s">
        <v>1310</v>
      </c>
      <c r="M18" t="s">
        <v>1309</v>
      </c>
      <c r="N18" t="s">
        <v>1309</v>
      </c>
      <c r="O18" t="s">
        <v>1309</v>
      </c>
      <c r="P18" t="s">
        <v>1309</v>
      </c>
      <c r="Q18" t="s">
        <v>1309</v>
      </c>
      <c r="R18" t="s">
        <v>1309</v>
      </c>
      <c r="S18">
        <v>1</v>
      </c>
      <c r="U18" t="s">
        <v>1312</v>
      </c>
      <c r="V18" t="s">
        <v>1312</v>
      </c>
      <c r="W18" t="s">
        <v>1312</v>
      </c>
      <c r="X18" t="s">
        <v>1312</v>
      </c>
      <c r="Y18" t="s">
        <v>1312</v>
      </c>
      <c r="Z18" t="s">
        <v>1312</v>
      </c>
      <c r="AC18">
        <v>2</v>
      </c>
      <c r="AD18">
        <v>12000</v>
      </c>
      <c r="AE18">
        <v>9000</v>
      </c>
      <c r="AF18" t="s">
        <v>1351</v>
      </c>
      <c r="AH18" t="s">
        <v>1319</v>
      </c>
      <c r="AI18" t="s">
        <v>4879</v>
      </c>
      <c r="AK18" t="s">
        <v>1319</v>
      </c>
      <c r="AL18" t="s">
        <v>1315</v>
      </c>
      <c r="AN18" t="s">
        <v>1316</v>
      </c>
      <c r="BU18" t="s">
        <v>2853</v>
      </c>
      <c r="BV18" t="s">
        <v>1310</v>
      </c>
      <c r="BW18" t="s">
        <v>1309</v>
      </c>
      <c r="BX18" t="s">
        <v>1309</v>
      </c>
      <c r="BY18" t="s">
        <v>1309</v>
      </c>
      <c r="BZ18" t="s">
        <v>1309</v>
      </c>
      <c r="CA18" t="s">
        <v>1309</v>
      </c>
      <c r="CB18" t="s">
        <v>1309</v>
      </c>
      <c r="CC18" t="s">
        <v>1309</v>
      </c>
      <c r="CD18" t="s">
        <v>1309</v>
      </c>
      <c r="CE18" t="s">
        <v>1309</v>
      </c>
      <c r="CX18" t="s">
        <v>1611</v>
      </c>
      <c r="CY18" t="s">
        <v>1310</v>
      </c>
      <c r="CZ18" t="s">
        <v>1309</v>
      </c>
      <c r="DA18" t="s">
        <v>1309</v>
      </c>
      <c r="DB18" t="s">
        <v>1309</v>
      </c>
      <c r="DC18" t="s">
        <v>1309</v>
      </c>
      <c r="DD18" t="s">
        <v>1309</v>
      </c>
      <c r="DE18" t="s">
        <v>1309</v>
      </c>
      <c r="DF18" t="s">
        <v>1309</v>
      </c>
      <c r="DG18" t="s">
        <v>1310</v>
      </c>
      <c r="DH18" t="s">
        <v>1310</v>
      </c>
      <c r="DI18" t="s">
        <v>1309</v>
      </c>
      <c r="DJ18" t="s">
        <v>1309</v>
      </c>
      <c r="DK18" t="s">
        <v>1309</v>
      </c>
      <c r="DM18" t="s">
        <v>4436</v>
      </c>
      <c r="DO18" t="s">
        <v>1308</v>
      </c>
      <c r="DP18" t="s">
        <v>1310</v>
      </c>
      <c r="DQ18" t="s">
        <v>1309</v>
      </c>
      <c r="DR18" t="s">
        <v>1309</v>
      </c>
      <c r="DS18" t="s">
        <v>1309</v>
      </c>
      <c r="DT18" t="s">
        <v>1309</v>
      </c>
      <c r="DU18" t="s">
        <v>1309</v>
      </c>
      <c r="DV18" t="s">
        <v>1309</v>
      </c>
      <c r="DX18" t="s">
        <v>1358</v>
      </c>
      <c r="DY18" t="s">
        <v>1319</v>
      </c>
      <c r="DZ18">
        <v>400</v>
      </c>
      <c r="EB18">
        <v>800</v>
      </c>
      <c r="EC18" t="s">
        <v>1358</v>
      </c>
      <c r="ED18">
        <v>400</v>
      </c>
      <c r="EF18">
        <v>700</v>
      </c>
      <c r="EG18" t="s">
        <v>1703</v>
      </c>
      <c r="EH18" t="s">
        <v>1310</v>
      </c>
      <c r="EI18" t="s">
        <v>1309</v>
      </c>
      <c r="EJ18" t="s">
        <v>1309</v>
      </c>
      <c r="EK18" t="s">
        <v>1309</v>
      </c>
      <c r="EL18" t="s">
        <v>1309</v>
      </c>
      <c r="EM18" t="s">
        <v>1309</v>
      </c>
      <c r="EN18" t="s">
        <v>1309</v>
      </c>
      <c r="EO18" t="s">
        <v>1309</v>
      </c>
      <c r="EQ18" t="s">
        <v>1307</v>
      </c>
      <c r="ER18" t="s">
        <v>1319</v>
      </c>
      <c r="ES18" t="s">
        <v>1319</v>
      </c>
      <c r="ET18" t="s">
        <v>1319</v>
      </c>
      <c r="EU18" t="s">
        <v>2430</v>
      </c>
      <c r="EV18" t="s">
        <v>1309</v>
      </c>
      <c r="EW18" t="s">
        <v>1309</v>
      </c>
      <c r="EX18" t="s">
        <v>1309</v>
      </c>
      <c r="EY18" t="s">
        <v>1309</v>
      </c>
      <c r="EZ18" t="s">
        <v>1309</v>
      </c>
      <c r="FA18" t="s">
        <v>1309</v>
      </c>
      <c r="FB18" t="s">
        <v>1310</v>
      </c>
      <c r="FC18" t="s">
        <v>1310</v>
      </c>
      <c r="FD18" t="s">
        <v>1309</v>
      </c>
      <c r="FE18" t="s">
        <v>1310</v>
      </c>
      <c r="FF18" t="s">
        <v>1309</v>
      </c>
      <c r="FG18" t="s">
        <v>1309</v>
      </c>
      <c r="FH18" t="s">
        <v>1310</v>
      </c>
      <c r="FI18" t="s">
        <v>1309</v>
      </c>
      <c r="FJ18" t="s">
        <v>1309</v>
      </c>
      <c r="FK18" t="s">
        <v>1309</v>
      </c>
      <c r="FL18" t="s">
        <v>1309</v>
      </c>
      <c r="FN18" t="s">
        <v>1307</v>
      </c>
      <c r="GC18" t="s">
        <v>1324</v>
      </c>
      <c r="GD18" t="s">
        <v>1324</v>
      </c>
      <c r="GN18" t="s">
        <v>1328</v>
      </c>
      <c r="GO18" t="s">
        <v>2368</v>
      </c>
      <c r="GP18" t="s">
        <v>1309</v>
      </c>
      <c r="GQ18" t="s">
        <v>1309</v>
      </c>
      <c r="GR18" t="s">
        <v>1310</v>
      </c>
      <c r="GS18" t="s">
        <v>1309</v>
      </c>
      <c r="GT18" t="s">
        <v>1310</v>
      </c>
      <c r="GU18" t="s">
        <v>1309</v>
      </c>
      <c r="GV18" t="s">
        <v>1309</v>
      </c>
      <c r="GW18" t="s">
        <v>1309</v>
      </c>
      <c r="GX18" t="s">
        <v>1309</v>
      </c>
      <c r="GY18" t="s">
        <v>1309</v>
      </c>
      <c r="GZ18" t="s">
        <v>1309</v>
      </c>
      <c r="HB18" t="s">
        <v>1319</v>
      </c>
      <c r="HC18" t="s">
        <v>2261</v>
      </c>
      <c r="HD18" t="s">
        <v>1310</v>
      </c>
      <c r="HE18" t="s">
        <v>1309</v>
      </c>
      <c r="HF18" t="s">
        <v>1309</v>
      </c>
      <c r="HG18" t="s">
        <v>1310</v>
      </c>
      <c r="HH18" t="s">
        <v>1310</v>
      </c>
      <c r="HI18" t="s">
        <v>1309</v>
      </c>
      <c r="HJ18" t="s">
        <v>1309</v>
      </c>
      <c r="HK18" t="s">
        <v>1309</v>
      </c>
      <c r="HL18" t="s">
        <v>1309</v>
      </c>
      <c r="HM18" t="s">
        <v>1309</v>
      </c>
      <c r="HN18" t="s">
        <v>1309</v>
      </c>
      <c r="HO18" t="s">
        <v>1309</v>
      </c>
      <c r="HP18" t="s">
        <v>1309</v>
      </c>
      <c r="HR18" t="s">
        <v>1523</v>
      </c>
      <c r="HS18" t="s">
        <v>1309</v>
      </c>
      <c r="HT18" t="s">
        <v>1309</v>
      </c>
      <c r="HU18" t="s">
        <v>1309</v>
      </c>
      <c r="HV18" t="s">
        <v>1310</v>
      </c>
      <c r="HW18" t="s">
        <v>1309</v>
      </c>
      <c r="HX18" t="s">
        <v>1309</v>
      </c>
      <c r="HY18" t="s">
        <v>1309</v>
      </c>
      <c r="HZ18" t="s">
        <v>1309</v>
      </c>
      <c r="IB18" s="92" t="s">
        <v>1593</v>
      </c>
      <c r="IC18" s="92" t="s">
        <v>1651</v>
      </c>
      <c r="ID18" s="92">
        <v>39</v>
      </c>
      <c r="IE18" s="92" t="s">
        <v>1307</v>
      </c>
      <c r="IF18" s="92" t="s">
        <v>4396</v>
      </c>
      <c r="IG18" s="92" t="s">
        <v>1526</v>
      </c>
      <c r="IH18" s="92" t="s">
        <v>1296</v>
      </c>
      <c r="II18" s="92" t="s">
        <v>70</v>
      </c>
      <c r="IJ18" s="92" t="s">
        <v>5549</v>
      </c>
      <c r="IK18" s="92" t="s">
        <v>1337</v>
      </c>
      <c r="IL18" s="92" t="s">
        <v>4845</v>
      </c>
      <c r="IM18" s="92" t="s">
        <v>1415</v>
      </c>
      <c r="IN18" s="92" t="s">
        <v>109</v>
      </c>
      <c r="IO18" s="92" t="s">
        <v>4847</v>
      </c>
      <c r="IP18" s="92" t="s">
        <v>1371</v>
      </c>
      <c r="IQ18" s="92">
        <v>1200</v>
      </c>
      <c r="IR18" s="92" t="s">
        <v>1372</v>
      </c>
      <c r="IS18" s="92" t="s">
        <v>192</v>
      </c>
      <c r="IT18" s="92" t="s">
        <v>109</v>
      </c>
      <c r="IU18" s="92" t="s">
        <v>192</v>
      </c>
      <c r="IV18" s="92" t="s">
        <v>109</v>
      </c>
      <c r="IW18" s="92" t="s">
        <v>1440</v>
      </c>
      <c r="IX18" s="92">
        <v>1100</v>
      </c>
      <c r="IY18" s="92" t="s">
        <v>1372</v>
      </c>
      <c r="IZ18" s="92" t="s">
        <v>1440</v>
      </c>
      <c r="JA18" s="92" t="s">
        <v>1401</v>
      </c>
      <c r="JB18" s="92" t="s">
        <v>192</v>
      </c>
      <c r="JC18" s="92" t="s">
        <v>5795</v>
      </c>
      <c r="JD18" s="92" t="s">
        <v>109</v>
      </c>
      <c r="JE18" s="92" t="s">
        <v>109</v>
      </c>
      <c r="JF18" s="92" t="s">
        <v>4438</v>
      </c>
      <c r="JG18" s="92" t="s">
        <v>4438</v>
      </c>
      <c r="JH18" s="92" t="s">
        <v>109</v>
      </c>
      <c r="JI18" s="92" t="s">
        <v>109</v>
      </c>
    </row>
    <row r="19" spans="1:269" x14ac:dyDescent="0.25">
      <c r="A19" t="s">
        <v>2921</v>
      </c>
      <c r="B19" t="s">
        <v>2922</v>
      </c>
      <c r="C19" t="s">
        <v>1305</v>
      </c>
      <c r="D19" t="s">
        <v>1306</v>
      </c>
      <c r="F19" t="s">
        <v>1307</v>
      </c>
      <c r="G19" t="s">
        <v>1319</v>
      </c>
      <c r="H19">
        <v>4</v>
      </c>
      <c r="I19" t="s">
        <v>1307</v>
      </c>
      <c r="J19" t="s">
        <v>1406</v>
      </c>
      <c r="K19" t="s">
        <v>1309</v>
      </c>
      <c r="L19" t="s">
        <v>1310</v>
      </c>
      <c r="M19" t="s">
        <v>1309</v>
      </c>
      <c r="N19" t="s">
        <v>1309</v>
      </c>
      <c r="O19" t="s">
        <v>1309</v>
      </c>
      <c r="P19" t="s">
        <v>1309</v>
      </c>
      <c r="Q19" t="s">
        <v>1309</v>
      </c>
      <c r="R19" t="s">
        <v>1309</v>
      </c>
      <c r="S19">
        <v>1</v>
      </c>
      <c r="U19" t="s">
        <v>1312</v>
      </c>
      <c r="V19" t="s">
        <v>1312</v>
      </c>
      <c r="W19" t="s">
        <v>1312</v>
      </c>
      <c r="X19" t="s">
        <v>1312</v>
      </c>
      <c r="Y19" t="s">
        <v>1312</v>
      </c>
      <c r="Z19" t="s">
        <v>1312</v>
      </c>
      <c r="AC19">
        <v>3</v>
      </c>
      <c r="AD19">
        <v>22000</v>
      </c>
      <c r="AE19">
        <v>5000</v>
      </c>
      <c r="AF19" t="s">
        <v>1351</v>
      </c>
      <c r="AH19" t="s">
        <v>1319</v>
      </c>
      <c r="AI19" t="s">
        <v>4878</v>
      </c>
      <c r="AK19" t="s">
        <v>1319</v>
      </c>
      <c r="AL19" t="s">
        <v>1315</v>
      </c>
      <c r="AN19" t="s">
        <v>1331</v>
      </c>
      <c r="BU19" t="s">
        <v>2853</v>
      </c>
      <c r="BV19" t="s">
        <v>1310</v>
      </c>
      <c r="BW19" t="s">
        <v>1309</v>
      </c>
      <c r="BX19" t="s">
        <v>1309</v>
      </c>
      <c r="BY19" t="s">
        <v>1309</v>
      </c>
      <c r="BZ19" t="s">
        <v>1309</v>
      </c>
      <c r="CA19" t="s">
        <v>1309</v>
      </c>
      <c r="CB19" t="s">
        <v>1309</v>
      </c>
      <c r="CC19" t="s">
        <v>1309</v>
      </c>
      <c r="CD19" t="s">
        <v>1309</v>
      </c>
      <c r="CE19" t="s">
        <v>1309</v>
      </c>
      <c r="CX19" t="s">
        <v>1702</v>
      </c>
      <c r="CY19" t="s">
        <v>1310</v>
      </c>
      <c r="CZ19" t="s">
        <v>1309</v>
      </c>
      <c r="DA19" t="s">
        <v>1309</v>
      </c>
      <c r="DB19" t="s">
        <v>1309</v>
      </c>
      <c r="DC19" t="s">
        <v>1309</v>
      </c>
      <c r="DD19" t="s">
        <v>1309</v>
      </c>
      <c r="DE19" t="s">
        <v>1309</v>
      </c>
      <c r="DF19" t="s">
        <v>1309</v>
      </c>
      <c r="DG19" t="s">
        <v>1309</v>
      </c>
      <c r="DH19" t="s">
        <v>1310</v>
      </c>
      <c r="DI19" t="s">
        <v>1309</v>
      </c>
      <c r="DJ19" t="s">
        <v>1309</v>
      </c>
      <c r="DK19" t="s">
        <v>1309</v>
      </c>
      <c r="DM19" t="s">
        <v>4434</v>
      </c>
      <c r="DO19" t="s">
        <v>1308</v>
      </c>
      <c r="DP19" t="s">
        <v>1310</v>
      </c>
      <c r="DQ19" t="s">
        <v>1310</v>
      </c>
      <c r="DR19" t="s">
        <v>1309</v>
      </c>
      <c r="DS19" t="s">
        <v>1309</v>
      </c>
      <c r="DT19" t="s">
        <v>1309</v>
      </c>
      <c r="DU19" t="s">
        <v>1309</v>
      </c>
      <c r="DV19" t="s">
        <v>1309</v>
      </c>
      <c r="DX19" t="s">
        <v>1358</v>
      </c>
      <c r="DZ19">
        <v>2800</v>
      </c>
      <c r="EB19">
        <v>500</v>
      </c>
      <c r="EC19" t="s">
        <v>1358</v>
      </c>
      <c r="ED19">
        <v>3500</v>
      </c>
      <c r="EF19">
        <v>950</v>
      </c>
      <c r="EG19" t="s">
        <v>1703</v>
      </c>
      <c r="EH19" t="s">
        <v>1310</v>
      </c>
      <c r="EI19" t="s">
        <v>1309</v>
      </c>
      <c r="EJ19" t="s">
        <v>1309</v>
      </c>
      <c r="EK19" t="s">
        <v>1309</v>
      </c>
      <c r="EL19" t="s">
        <v>1309</v>
      </c>
      <c r="EM19" t="s">
        <v>1309</v>
      </c>
      <c r="EN19" t="s">
        <v>1309</v>
      </c>
      <c r="EO19" t="s">
        <v>1309</v>
      </c>
      <c r="EQ19" t="s">
        <v>1307</v>
      </c>
      <c r="ER19" t="s">
        <v>1319</v>
      </c>
      <c r="ES19" t="s">
        <v>1319</v>
      </c>
      <c r="EU19" t="s">
        <v>1323</v>
      </c>
      <c r="EV19" t="s">
        <v>1310</v>
      </c>
      <c r="EW19" t="s">
        <v>1309</v>
      </c>
      <c r="EX19" t="s">
        <v>1309</v>
      </c>
      <c r="EY19" t="s">
        <v>1309</v>
      </c>
      <c r="EZ19" t="s">
        <v>1309</v>
      </c>
      <c r="FA19" t="s">
        <v>1309</v>
      </c>
      <c r="FB19" t="s">
        <v>1309</v>
      </c>
      <c r="FC19" t="s">
        <v>1309</v>
      </c>
      <c r="FD19" t="s">
        <v>1309</v>
      </c>
      <c r="FE19" t="s">
        <v>1309</v>
      </c>
      <c r="FF19" t="s">
        <v>1309</v>
      </c>
      <c r="FG19" t="s">
        <v>1309</v>
      </c>
      <c r="FH19" t="s">
        <v>1309</v>
      </c>
      <c r="FI19" t="s">
        <v>1309</v>
      </c>
      <c r="FJ19" t="s">
        <v>1309</v>
      </c>
      <c r="FK19" t="s">
        <v>1309</v>
      </c>
      <c r="FL19" t="s">
        <v>1309</v>
      </c>
      <c r="FN19" t="s">
        <v>1307</v>
      </c>
      <c r="GC19" t="s">
        <v>1324</v>
      </c>
      <c r="GD19" t="s">
        <v>1448</v>
      </c>
      <c r="GN19" t="s">
        <v>1364</v>
      </c>
      <c r="HB19" t="s">
        <v>1307</v>
      </c>
      <c r="HR19" t="s">
        <v>1414</v>
      </c>
      <c r="HS19" t="s">
        <v>1309</v>
      </c>
      <c r="HT19" t="s">
        <v>1309</v>
      </c>
      <c r="HU19" t="s">
        <v>1309</v>
      </c>
      <c r="HV19" t="s">
        <v>1309</v>
      </c>
      <c r="HW19" t="s">
        <v>1309</v>
      </c>
      <c r="HX19" t="s">
        <v>1309</v>
      </c>
      <c r="HY19" t="s">
        <v>1310</v>
      </c>
      <c r="HZ19" t="s">
        <v>1309</v>
      </c>
      <c r="IB19" s="92" t="s">
        <v>2923</v>
      </c>
      <c r="IC19" s="92" t="s">
        <v>2924</v>
      </c>
      <c r="ID19" s="92">
        <v>41</v>
      </c>
      <c r="IE19" s="92" t="s">
        <v>1307</v>
      </c>
      <c r="IF19" s="92" t="s">
        <v>4396</v>
      </c>
      <c r="IG19" s="92" t="s">
        <v>1336</v>
      </c>
      <c r="IH19" s="92" t="s">
        <v>1296</v>
      </c>
      <c r="II19" s="92" t="s">
        <v>71</v>
      </c>
      <c r="IJ19" s="92" t="s">
        <v>5549</v>
      </c>
      <c r="IK19" s="92" t="s">
        <v>1337</v>
      </c>
      <c r="IL19" s="92" t="s">
        <v>4845</v>
      </c>
      <c r="IM19" s="92" t="s">
        <v>1415</v>
      </c>
      <c r="IN19" s="92" t="s">
        <v>109</v>
      </c>
      <c r="IO19" s="92" t="s">
        <v>4848</v>
      </c>
      <c r="IP19" s="92" t="s">
        <v>1416</v>
      </c>
      <c r="IQ19" s="92">
        <v>3300</v>
      </c>
      <c r="IR19" s="92" t="s">
        <v>4438</v>
      </c>
      <c r="IS19" s="92" t="s">
        <v>192</v>
      </c>
      <c r="IT19" s="92" t="s">
        <v>109</v>
      </c>
      <c r="IU19" s="92" t="s">
        <v>192</v>
      </c>
      <c r="IV19" s="92" t="s">
        <v>109</v>
      </c>
      <c r="IW19" s="92" t="s">
        <v>1341</v>
      </c>
      <c r="IX19" s="92">
        <v>4450</v>
      </c>
      <c r="IY19" s="92" t="s">
        <v>4438</v>
      </c>
      <c r="IZ19" s="92" t="s">
        <v>1341</v>
      </c>
      <c r="JA19" s="92" t="s">
        <v>1460</v>
      </c>
      <c r="JB19" s="92" t="s">
        <v>192</v>
      </c>
      <c r="JC19" s="92" t="s">
        <v>5795</v>
      </c>
      <c r="JD19" s="92" t="s">
        <v>109</v>
      </c>
      <c r="JE19" s="92" t="s">
        <v>109</v>
      </c>
      <c r="JF19" s="92" t="s">
        <v>4439</v>
      </c>
      <c r="JG19" s="92" t="s">
        <v>4439</v>
      </c>
      <c r="JH19" s="92" t="s">
        <v>109</v>
      </c>
      <c r="JI19" s="92" t="s">
        <v>109</v>
      </c>
    </row>
    <row r="20" spans="1:269" x14ac:dyDescent="0.25">
      <c r="A20" t="s">
        <v>2925</v>
      </c>
      <c r="B20" t="s">
        <v>2926</v>
      </c>
      <c r="C20" t="s">
        <v>1305</v>
      </c>
      <c r="D20" t="s">
        <v>1306</v>
      </c>
      <c r="F20" t="s">
        <v>1307</v>
      </c>
      <c r="G20" t="s">
        <v>1307</v>
      </c>
      <c r="H20">
        <v>3</v>
      </c>
      <c r="I20" t="s">
        <v>1307</v>
      </c>
      <c r="J20" t="s">
        <v>2303</v>
      </c>
      <c r="K20" t="s">
        <v>1309</v>
      </c>
      <c r="L20" t="s">
        <v>1309</v>
      </c>
      <c r="M20" t="s">
        <v>1309</v>
      </c>
      <c r="N20" t="s">
        <v>1310</v>
      </c>
      <c r="O20" t="s">
        <v>1309</v>
      </c>
      <c r="P20" t="s">
        <v>1309</v>
      </c>
      <c r="Q20" t="s">
        <v>1309</v>
      </c>
      <c r="R20" t="s">
        <v>1309</v>
      </c>
      <c r="U20" t="s">
        <v>1486</v>
      </c>
      <c r="V20" t="s">
        <v>1312</v>
      </c>
      <c r="W20" t="s">
        <v>1486</v>
      </c>
      <c r="X20" t="s">
        <v>1312</v>
      </c>
      <c r="Y20" t="s">
        <v>1312</v>
      </c>
      <c r="Z20" t="s">
        <v>1312</v>
      </c>
      <c r="AA20">
        <v>2</v>
      </c>
      <c r="AB20">
        <v>2</v>
      </c>
      <c r="AC20">
        <v>3</v>
      </c>
      <c r="AD20">
        <v>40000</v>
      </c>
      <c r="AE20">
        <v>30000</v>
      </c>
      <c r="AF20" t="s">
        <v>1351</v>
      </c>
      <c r="AH20" t="s">
        <v>1319</v>
      </c>
      <c r="AI20" t="s">
        <v>4879</v>
      </c>
      <c r="AK20" t="s">
        <v>1307</v>
      </c>
      <c r="CG20" t="s">
        <v>2853</v>
      </c>
      <c r="CH20" t="s">
        <v>1309</v>
      </c>
      <c r="CI20" t="s">
        <v>1309</v>
      </c>
      <c r="CJ20" t="s">
        <v>1309</v>
      </c>
      <c r="CK20" t="s">
        <v>1310</v>
      </c>
      <c r="CL20" t="s">
        <v>1309</v>
      </c>
      <c r="CM20" t="s">
        <v>1309</v>
      </c>
      <c r="CN20" t="s">
        <v>1309</v>
      </c>
      <c r="CO20" t="s">
        <v>1309</v>
      </c>
      <c r="CP20" t="s">
        <v>1309</v>
      </c>
      <c r="CQ20" t="s">
        <v>1309</v>
      </c>
      <c r="CR20" t="s">
        <v>1309</v>
      </c>
      <c r="CS20" t="s">
        <v>1309</v>
      </c>
      <c r="CT20" t="s">
        <v>1309</v>
      </c>
      <c r="CU20" t="s">
        <v>1309</v>
      </c>
      <c r="CV20" t="s">
        <v>1309</v>
      </c>
      <c r="CX20" t="s">
        <v>1885</v>
      </c>
      <c r="CY20" t="s">
        <v>1309</v>
      </c>
      <c r="CZ20" t="s">
        <v>1309</v>
      </c>
      <c r="DA20" t="s">
        <v>1309</v>
      </c>
      <c r="DB20" t="s">
        <v>1309</v>
      </c>
      <c r="DC20" t="s">
        <v>1309</v>
      </c>
      <c r="DD20" t="s">
        <v>1310</v>
      </c>
      <c r="DE20" t="s">
        <v>1309</v>
      </c>
      <c r="DF20" t="s">
        <v>1309</v>
      </c>
      <c r="DG20" t="s">
        <v>1310</v>
      </c>
      <c r="DH20" t="s">
        <v>1310</v>
      </c>
      <c r="DI20" t="s">
        <v>1309</v>
      </c>
      <c r="DJ20" t="s">
        <v>1309</v>
      </c>
      <c r="DK20" t="s">
        <v>1309</v>
      </c>
      <c r="DM20" t="s">
        <v>4434</v>
      </c>
      <c r="DO20" t="s">
        <v>1308</v>
      </c>
      <c r="DP20" t="s">
        <v>1310</v>
      </c>
      <c r="DQ20" t="s">
        <v>1309</v>
      </c>
      <c r="DR20" t="s">
        <v>1309</v>
      </c>
      <c r="DS20" t="s">
        <v>1309</v>
      </c>
      <c r="DT20" t="s">
        <v>1309</v>
      </c>
      <c r="DU20" t="s">
        <v>1309</v>
      </c>
      <c r="DV20" t="s">
        <v>1309</v>
      </c>
      <c r="DX20" t="s">
        <v>1358</v>
      </c>
      <c r="DZ20">
        <v>2500</v>
      </c>
      <c r="EB20">
        <v>600</v>
      </c>
      <c r="EC20" t="s">
        <v>1358</v>
      </c>
      <c r="ED20">
        <v>4800</v>
      </c>
      <c r="EF20">
        <v>800</v>
      </c>
      <c r="EG20" t="s">
        <v>1703</v>
      </c>
      <c r="EH20" t="s">
        <v>1310</v>
      </c>
      <c r="EI20" t="s">
        <v>1309</v>
      </c>
      <c r="EJ20" t="s">
        <v>1309</v>
      </c>
      <c r="EK20" t="s">
        <v>1309</v>
      </c>
      <c r="EL20" t="s">
        <v>1309</v>
      </c>
      <c r="EM20" t="s">
        <v>1309</v>
      </c>
      <c r="EN20" t="s">
        <v>1309</v>
      </c>
      <c r="EO20" t="s">
        <v>1309</v>
      </c>
      <c r="EQ20" t="s">
        <v>1319</v>
      </c>
      <c r="ER20" t="s">
        <v>1319</v>
      </c>
      <c r="ES20" t="s">
        <v>1319</v>
      </c>
      <c r="EU20" t="s">
        <v>2927</v>
      </c>
      <c r="EV20" t="s">
        <v>1309</v>
      </c>
      <c r="EW20" t="s">
        <v>1310</v>
      </c>
      <c r="EX20" t="s">
        <v>1310</v>
      </c>
      <c r="EY20" t="s">
        <v>1309</v>
      </c>
      <c r="EZ20" t="s">
        <v>1309</v>
      </c>
      <c r="FA20" t="s">
        <v>1309</v>
      </c>
      <c r="FB20" t="s">
        <v>1310</v>
      </c>
      <c r="FC20" t="s">
        <v>1310</v>
      </c>
      <c r="FD20" t="s">
        <v>1309</v>
      </c>
      <c r="FE20" t="s">
        <v>1309</v>
      </c>
      <c r="FF20" t="s">
        <v>1309</v>
      </c>
      <c r="FG20" t="s">
        <v>1310</v>
      </c>
      <c r="FH20" t="s">
        <v>1309</v>
      </c>
      <c r="FI20" t="s">
        <v>1310</v>
      </c>
      <c r="FJ20" t="s">
        <v>1309</v>
      </c>
      <c r="FK20" t="s">
        <v>1309</v>
      </c>
      <c r="FL20" t="s">
        <v>1309</v>
      </c>
      <c r="FN20" t="s">
        <v>1319</v>
      </c>
      <c r="FO20" t="s">
        <v>1599</v>
      </c>
      <c r="FP20" t="s">
        <v>1309</v>
      </c>
      <c r="FQ20" t="s">
        <v>1309</v>
      </c>
      <c r="FR20" t="s">
        <v>1309</v>
      </c>
      <c r="FS20" t="s">
        <v>1309</v>
      </c>
      <c r="FT20" t="s">
        <v>1309</v>
      </c>
      <c r="FU20" t="s">
        <v>1310</v>
      </c>
      <c r="FV20" t="s">
        <v>1309</v>
      </c>
      <c r="FW20" t="s">
        <v>1309</v>
      </c>
      <c r="FX20" t="s">
        <v>1309</v>
      </c>
      <c r="FY20" t="s">
        <v>1309</v>
      </c>
      <c r="FZ20" t="s">
        <v>1309</v>
      </c>
      <c r="GA20" t="s">
        <v>1309</v>
      </c>
      <c r="GC20" t="s">
        <v>1324</v>
      </c>
      <c r="GD20" t="s">
        <v>1324</v>
      </c>
      <c r="GN20" t="s">
        <v>1328</v>
      </c>
      <c r="GO20" t="s">
        <v>1882</v>
      </c>
      <c r="GP20" t="s">
        <v>1309</v>
      </c>
      <c r="GQ20" t="s">
        <v>1309</v>
      </c>
      <c r="GR20" t="s">
        <v>1309</v>
      </c>
      <c r="GS20" t="s">
        <v>1309</v>
      </c>
      <c r="GT20" t="s">
        <v>1310</v>
      </c>
      <c r="GU20" t="s">
        <v>1309</v>
      </c>
      <c r="GV20" t="s">
        <v>1309</v>
      </c>
      <c r="GW20" t="s">
        <v>1309</v>
      </c>
      <c r="GX20" t="s">
        <v>1309</v>
      </c>
      <c r="GY20" t="s">
        <v>1309</v>
      </c>
      <c r="GZ20" t="s">
        <v>1309</v>
      </c>
      <c r="HB20" t="s">
        <v>1307</v>
      </c>
      <c r="HR20" t="s">
        <v>1764</v>
      </c>
      <c r="HS20" t="s">
        <v>1309</v>
      </c>
      <c r="HT20" t="s">
        <v>1310</v>
      </c>
      <c r="HU20" t="s">
        <v>1309</v>
      </c>
      <c r="HV20" t="s">
        <v>1310</v>
      </c>
      <c r="HW20" t="s">
        <v>1309</v>
      </c>
      <c r="HX20" t="s">
        <v>1309</v>
      </c>
      <c r="HY20" t="s">
        <v>1309</v>
      </c>
      <c r="HZ20" t="s">
        <v>1309</v>
      </c>
      <c r="IB20" s="92" t="s">
        <v>1516</v>
      </c>
      <c r="IC20" s="92" t="s">
        <v>1845</v>
      </c>
      <c r="ID20" s="92">
        <v>55</v>
      </c>
      <c r="IE20" s="92" t="s">
        <v>1307</v>
      </c>
      <c r="IF20" s="92" t="s">
        <v>4396</v>
      </c>
      <c r="IG20" s="92" t="s">
        <v>1336</v>
      </c>
      <c r="IH20" s="92" t="s">
        <v>1296</v>
      </c>
      <c r="II20" s="92" t="s">
        <v>70</v>
      </c>
      <c r="IJ20" s="92" t="s">
        <v>5549</v>
      </c>
      <c r="IK20" s="92" t="s">
        <v>1337</v>
      </c>
      <c r="IL20" s="92" t="s">
        <v>4845</v>
      </c>
      <c r="IM20" s="92" t="s">
        <v>1338</v>
      </c>
      <c r="IN20" s="92" t="s">
        <v>192</v>
      </c>
      <c r="IO20" s="92" t="s">
        <v>4848</v>
      </c>
      <c r="IP20" s="92" t="s">
        <v>1416</v>
      </c>
      <c r="IQ20" s="92">
        <v>3100</v>
      </c>
      <c r="IR20" s="92" t="s">
        <v>1372</v>
      </c>
      <c r="IS20" s="92" t="s">
        <v>192</v>
      </c>
      <c r="IT20" s="92" t="s">
        <v>109</v>
      </c>
      <c r="IU20" s="92" t="s">
        <v>192</v>
      </c>
      <c r="IV20" s="92" t="s">
        <v>109</v>
      </c>
      <c r="IW20" s="92" t="s">
        <v>1341</v>
      </c>
      <c r="IX20" s="92">
        <v>5600</v>
      </c>
      <c r="IY20" s="92" t="s">
        <v>4438</v>
      </c>
      <c r="IZ20" s="92" t="s">
        <v>1341</v>
      </c>
      <c r="JA20" s="92" t="s">
        <v>1460</v>
      </c>
      <c r="JB20" s="92" t="s">
        <v>192</v>
      </c>
      <c r="JC20" s="92" t="s">
        <v>5795</v>
      </c>
      <c r="JD20" s="92" t="s">
        <v>192</v>
      </c>
      <c r="JE20" s="92" t="s">
        <v>192</v>
      </c>
      <c r="JF20" s="92" t="s">
        <v>1372</v>
      </c>
      <c r="JG20" s="92" t="s">
        <v>4438</v>
      </c>
      <c r="JH20" s="92" t="s">
        <v>109</v>
      </c>
      <c r="JI20" s="92" t="s">
        <v>109</v>
      </c>
    </row>
    <row r="21" spans="1:269" x14ac:dyDescent="0.25">
      <c r="A21" t="s">
        <v>2932</v>
      </c>
      <c r="B21" t="s">
        <v>2933</v>
      </c>
      <c r="C21" t="s">
        <v>1305</v>
      </c>
      <c r="D21" t="s">
        <v>1381</v>
      </c>
      <c r="F21" t="s">
        <v>1319</v>
      </c>
      <c r="G21" t="s">
        <v>1319</v>
      </c>
      <c r="H21">
        <v>2</v>
      </c>
      <c r="I21" t="s">
        <v>1358</v>
      </c>
      <c r="J21" t="s">
        <v>1891</v>
      </c>
      <c r="K21" t="s">
        <v>1309</v>
      </c>
      <c r="L21" t="s">
        <v>1309</v>
      </c>
      <c r="M21" t="s">
        <v>1310</v>
      </c>
      <c r="N21" t="s">
        <v>1309</v>
      </c>
      <c r="O21" t="s">
        <v>1310</v>
      </c>
      <c r="P21" t="s">
        <v>1309</v>
      </c>
      <c r="Q21" t="s">
        <v>1309</v>
      </c>
      <c r="R21" t="s">
        <v>1309</v>
      </c>
      <c r="T21">
        <v>2</v>
      </c>
      <c r="U21" t="s">
        <v>1311</v>
      </c>
      <c r="V21" t="s">
        <v>1312</v>
      </c>
      <c r="W21" t="s">
        <v>1311</v>
      </c>
      <c r="X21" t="s">
        <v>1312</v>
      </c>
      <c r="Y21" t="s">
        <v>1312</v>
      </c>
      <c r="Z21" t="s">
        <v>1312</v>
      </c>
      <c r="AC21">
        <v>2</v>
      </c>
      <c r="AD21">
        <v>3000</v>
      </c>
      <c r="AE21">
        <v>2000</v>
      </c>
      <c r="AF21" t="s">
        <v>1351</v>
      </c>
      <c r="AH21" t="s">
        <v>1319</v>
      </c>
      <c r="AI21" t="s">
        <v>4876</v>
      </c>
      <c r="AK21" t="s">
        <v>1319</v>
      </c>
      <c r="AL21" t="s">
        <v>1315</v>
      </c>
      <c r="AN21" t="s">
        <v>1316</v>
      </c>
      <c r="BU21" t="s">
        <v>1414</v>
      </c>
      <c r="BV21" t="s">
        <v>1309</v>
      </c>
      <c r="BW21" t="s">
        <v>1309</v>
      </c>
      <c r="BX21" t="s">
        <v>1309</v>
      </c>
      <c r="BY21" t="s">
        <v>1309</v>
      </c>
      <c r="BZ21" t="s">
        <v>1309</v>
      </c>
      <c r="CA21" t="s">
        <v>1309</v>
      </c>
      <c r="CB21" t="s">
        <v>1309</v>
      </c>
      <c r="CC21" t="s">
        <v>1309</v>
      </c>
      <c r="CD21" t="s">
        <v>1310</v>
      </c>
      <c r="CE21" t="s">
        <v>1309</v>
      </c>
      <c r="CX21" t="s">
        <v>1414</v>
      </c>
      <c r="CY21" t="s">
        <v>1309</v>
      </c>
      <c r="CZ21" t="s">
        <v>1309</v>
      </c>
      <c r="DA21" t="s">
        <v>1309</v>
      </c>
      <c r="DB21" t="s">
        <v>1309</v>
      </c>
      <c r="DC21" t="s">
        <v>1309</v>
      </c>
      <c r="DD21" t="s">
        <v>1309</v>
      </c>
      <c r="DE21" t="s">
        <v>1309</v>
      </c>
      <c r="DF21" t="s">
        <v>1309</v>
      </c>
      <c r="DG21" t="s">
        <v>1309</v>
      </c>
      <c r="DH21" t="s">
        <v>1309</v>
      </c>
      <c r="DI21" t="s">
        <v>1309</v>
      </c>
      <c r="DJ21" t="s">
        <v>1310</v>
      </c>
      <c r="DK21" t="s">
        <v>1309</v>
      </c>
      <c r="DM21" t="s">
        <v>4433</v>
      </c>
      <c r="DO21" t="s">
        <v>1357</v>
      </c>
      <c r="DP21" t="s">
        <v>1309</v>
      </c>
      <c r="DQ21" t="s">
        <v>1309</v>
      </c>
      <c r="DR21" t="s">
        <v>1309</v>
      </c>
      <c r="DS21" t="s">
        <v>1309</v>
      </c>
      <c r="DT21" t="s">
        <v>1310</v>
      </c>
      <c r="DU21" t="s">
        <v>1309</v>
      </c>
      <c r="DV21" t="s">
        <v>1309</v>
      </c>
      <c r="DX21" t="s">
        <v>1358</v>
      </c>
      <c r="DY21" t="s">
        <v>1307</v>
      </c>
      <c r="EB21">
        <v>1500</v>
      </c>
      <c r="EC21" t="s">
        <v>1307</v>
      </c>
      <c r="EG21" t="s">
        <v>2934</v>
      </c>
      <c r="EH21" t="s">
        <v>1309</v>
      </c>
      <c r="EI21" t="s">
        <v>1309</v>
      </c>
      <c r="EJ21" t="s">
        <v>1309</v>
      </c>
      <c r="EK21" t="s">
        <v>1310</v>
      </c>
      <c r="EL21" t="s">
        <v>1309</v>
      </c>
      <c r="EM21" t="s">
        <v>1309</v>
      </c>
      <c r="EN21" t="s">
        <v>1309</v>
      </c>
      <c r="EO21" t="s">
        <v>1309</v>
      </c>
      <c r="EQ21" t="s">
        <v>1307</v>
      </c>
      <c r="ER21" t="s">
        <v>1319</v>
      </c>
      <c r="EU21" t="s">
        <v>2935</v>
      </c>
      <c r="EV21" t="s">
        <v>1309</v>
      </c>
      <c r="EW21" t="s">
        <v>1310</v>
      </c>
      <c r="EX21" t="s">
        <v>1309</v>
      </c>
      <c r="EY21" t="s">
        <v>1309</v>
      </c>
      <c r="EZ21" t="s">
        <v>1309</v>
      </c>
      <c r="FA21" t="s">
        <v>1310</v>
      </c>
      <c r="FB21" t="s">
        <v>1310</v>
      </c>
      <c r="FC21" t="s">
        <v>1310</v>
      </c>
      <c r="FD21" t="s">
        <v>1309</v>
      </c>
      <c r="FE21" t="s">
        <v>1309</v>
      </c>
      <c r="FF21" t="s">
        <v>1309</v>
      </c>
      <c r="FG21" t="s">
        <v>1309</v>
      </c>
      <c r="FH21" t="s">
        <v>1309</v>
      </c>
      <c r="FI21" t="s">
        <v>1309</v>
      </c>
      <c r="FJ21" t="s">
        <v>1309</v>
      </c>
      <c r="FK21" t="s">
        <v>1309</v>
      </c>
      <c r="FL21" t="s">
        <v>1309</v>
      </c>
      <c r="FN21" t="s">
        <v>1319</v>
      </c>
      <c r="FO21" t="s">
        <v>1435</v>
      </c>
      <c r="FP21" t="s">
        <v>1310</v>
      </c>
      <c r="FQ21" t="s">
        <v>1309</v>
      </c>
      <c r="FR21" t="s">
        <v>1309</v>
      </c>
      <c r="FS21" t="s">
        <v>1309</v>
      </c>
      <c r="FT21" t="s">
        <v>1309</v>
      </c>
      <c r="FU21" t="s">
        <v>1309</v>
      </c>
      <c r="FV21" t="s">
        <v>1309</v>
      </c>
      <c r="FW21" t="s">
        <v>1309</v>
      </c>
      <c r="FX21" t="s">
        <v>1309</v>
      </c>
      <c r="FY21" t="s">
        <v>1309</v>
      </c>
      <c r="FZ21" t="s">
        <v>1309</v>
      </c>
      <c r="GA21" t="s">
        <v>1309</v>
      </c>
      <c r="GC21" t="s">
        <v>1324</v>
      </c>
      <c r="GD21" t="s">
        <v>1324</v>
      </c>
      <c r="GN21" t="s">
        <v>1364</v>
      </c>
      <c r="HB21" t="s">
        <v>1307</v>
      </c>
      <c r="HR21" t="s">
        <v>1414</v>
      </c>
      <c r="HS21" t="s">
        <v>1309</v>
      </c>
      <c r="HT21" t="s">
        <v>1309</v>
      </c>
      <c r="HU21" t="s">
        <v>1309</v>
      </c>
      <c r="HV21" t="s">
        <v>1309</v>
      </c>
      <c r="HW21" t="s">
        <v>1309</v>
      </c>
      <c r="HX21" t="s">
        <v>1309</v>
      </c>
      <c r="HY21" t="s">
        <v>1310</v>
      </c>
      <c r="HZ21" t="s">
        <v>1309</v>
      </c>
      <c r="IB21" s="92" t="s">
        <v>1516</v>
      </c>
      <c r="IC21" s="92" t="s">
        <v>2916</v>
      </c>
      <c r="ID21" s="92">
        <v>66</v>
      </c>
      <c r="IE21" s="92" t="s">
        <v>1307</v>
      </c>
      <c r="IF21" s="92" t="s">
        <v>4398</v>
      </c>
      <c r="IG21" s="92" t="s">
        <v>1336</v>
      </c>
      <c r="IH21" s="92" t="s">
        <v>1296</v>
      </c>
      <c r="II21" s="92" t="s">
        <v>70</v>
      </c>
      <c r="IJ21" s="92" t="s">
        <v>1397</v>
      </c>
      <c r="IK21" s="92" t="s">
        <v>1369</v>
      </c>
      <c r="IL21" s="92" t="s">
        <v>4845</v>
      </c>
      <c r="IM21" s="92" t="s">
        <v>1476</v>
      </c>
      <c r="IN21" s="92" t="s">
        <v>109</v>
      </c>
      <c r="IO21" s="92" t="s">
        <v>4847</v>
      </c>
      <c r="IP21" s="92" t="s">
        <v>5560</v>
      </c>
      <c r="IQ21" s="92">
        <v>1500</v>
      </c>
      <c r="IR21" s="92" t="s">
        <v>4439</v>
      </c>
      <c r="IS21" s="92" t="s">
        <v>109</v>
      </c>
      <c r="IT21" s="92" t="s">
        <v>109</v>
      </c>
      <c r="IU21" s="92" t="s">
        <v>109</v>
      </c>
      <c r="IV21" s="92" t="s">
        <v>109</v>
      </c>
      <c r="IW21" s="92" t="s">
        <v>1440</v>
      </c>
      <c r="IX21" s="92">
        <v>0</v>
      </c>
      <c r="IY21" s="92" t="s">
        <v>1372</v>
      </c>
      <c r="IZ21" s="92" t="s">
        <v>1373</v>
      </c>
      <c r="JA21" s="92" t="s">
        <v>1375</v>
      </c>
      <c r="JB21" s="92" t="s">
        <v>109</v>
      </c>
      <c r="JC21" s="92" t="s">
        <v>1403</v>
      </c>
      <c r="JD21" s="92" t="s">
        <v>109</v>
      </c>
      <c r="JE21" s="92" t="s">
        <v>109</v>
      </c>
      <c r="JF21" s="92" t="s">
        <v>4439</v>
      </c>
      <c r="JG21" s="92" t="s">
        <v>1372</v>
      </c>
      <c r="JH21" s="92" t="s">
        <v>192</v>
      </c>
      <c r="JI21" s="92" t="s">
        <v>109</v>
      </c>
    </row>
    <row r="22" spans="1:269" x14ac:dyDescent="0.25">
      <c r="A22" t="s">
        <v>2936</v>
      </c>
      <c r="B22" t="s">
        <v>2937</v>
      </c>
      <c r="C22" t="s">
        <v>1305</v>
      </c>
      <c r="D22" t="s">
        <v>1381</v>
      </c>
      <c r="F22" t="s">
        <v>1319</v>
      </c>
      <c r="G22" t="s">
        <v>1319</v>
      </c>
      <c r="H22">
        <v>3</v>
      </c>
      <c r="I22" t="s">
        <v>1358</v>
      </c>
      <c r="J22" t="s">
        <v>1663</v>
      </c>
      <c r="K22" t="s">
        <v>1309</v>
      </c>
      <c r="L22" t="s">
        <v>1310</v>
      </c>
      <c r="M22" t="s">
        <v>1310</v>
      </c>
      <c r="N22" t="s">
        <v>1309</v>
      </c>
      <c r="O22" t="s">
        <v>1309</v>
      </c>
      <c r="P22" t="s">
        <v>1309</v>
      </c>
      <c r="Q22" t="s">
        <v>1309</v>
      </c>
      <c r="R22" t="s">
        <v>1309</v>
      </c>
      <c r="S22">
        <v>1</v>
      </c>
      <c r="T22">
        <v>1</v>
      </c>
      <c r="U22" t="s">
        <v>1311</v>
      </c>
      <c r="V22" t="s">
        <v>1312</v>
      </c>
      <c r="W22" t="s">
        <v>1312</v>
      </c>
      <c r="X22" t="s">
        <v>1312</v>
      </c>
      <c r="Y22" t="s">
        <v>1312</v>
      </c>
      <c r="Z22" t="s">
        <v>1312</v>
      </c>
      <c r="AC22">
        <v>2</v>
      </c>
      <c r="AD22">
        <v>9000</v>
      </c>
      <c r="AE22">
        <v>6000</v>
      </c>
      <c r="AF22" t="s">
        <v>1313</v>
      </c>
      <c r="AH22" t="s">
        <v>1307</v>
      </c>
      <c r="AI22" t="s">
        <v>4876</v>
      </c>
      <c r="AK22" t="s">
        <v>1307</v>
      </c>
      <c r="CG22" t="s">
        <v>1544</v>
      </c>
      <c r="CH22" t="s">
        <v>1309</v>
      </c>
      <c r="CI22" t="s">
        <v>1310</v>
      </c>
      <c r="CJ22" t="s">
        <v>1309</v>
      </c>
      <c r="CK22" t="s">
        <v>1309</v>
      </c>
      <c r="CL22" t="s">
        <v>1309</v>
      </c>
      <c r="CM22" t="s">
        <v>1309</v>
      </c>
      <c r="CN22" t="s">
        <v>1309</v>
      </c>
      <c r="CO22" t="s">
        <v>1309</v>
      </c>
      <c r="CP22" t="s">
        <v>1309</v>
      </c>
      <c r="CQ22" t="s">
        <v>1309</v>
      </c>
      <c r="CR22" t="s">
        <v>1309</v>
      </c>
      <c r="CS22" t="s">
        <v>1309</v>
      </c>
      <c r="CT22" t="s">
        <v>1309</v>
      </c>
      <c r="CU22" t="s">
        <v>1309</v>
      </c>
      <c r="CV22" t="s">
        <v>1309</v>
      </c>
      <c r="CX22" t="s">
        <v>1767</v>
      </c>
      <c r="CY22" t="s">
        <v>1309</v>
      </c>
      <c r="CZ22" t="s">
        <v>1309</v>
      </c>
      <c r="DA22" t="s">
        <v>1309</v>
      </c>
      <c r="DB22" t="s">
        <v>1309</v>
      </c>
      <c r="DC22" t="s">
        <v>1310</v>
      </c>
      <c r="DD22" t="s">
        <v>1309</v>
      </c>
      <c r="DE22" t="s">
        <v>1309</v>
      </c>
      <c r="DF22" t="s">
        <v>1309</v>
      </c>
      <c r="DG22" t="s">
        <v>1309</v>
      </c>
      <c r="DH22" t="s">
        <v>1309</v>
      </c>
      <c r="DI22" t="s">
        <v>1309</v>
      </c>
      <c r="DJ22" t="s">
        <v>1309</v>
      </c>
      <c r="DK22" t="s">
        <v>1309</v>
      </c>
      <c r="DM22" t="s">
        <v>4434</v>
      </c>
      <c r="DO22" t="s">
        <v>1308</v>
      </c>
      <c r="DP22" t="s">
        <v>1310</v>
      </c>
      <c r="DQ22" t="s">
        <v>1309</v>
      </c>
      <c r="DR22" t="s">
        <v>1309</v>
      </c>
      <c r="DS22" t="s">
        <v>1309</v>
      </c>
      <c r="DT22" t="s">
        <v>1309</v>
      </c>
      <c r="DU22" t="s">
        <v>1309</v>
      </c>
      <c r="DV22" t="s">
        <v>1309</v>
      </c>
      <c r="DX22" t="s">
        <v>1318</v>
      </c>
      <c r="DZ22">
        <v>1100</v>
      </c>
      <c r="EB22">
        <v>600</v>
      </c>
      <c r="EC22" t="s">
        <v>1358</v>
      </c>
      <c r="ED22">
        <v>1300</v>
      </c>
      <c r="EF22">
        <v>800</v>
      </c>
      <c r="EG22" t="s">
        <v>2911</v>
      </c>
      <c r="EH22" t="s">
        <v>1310</v>
      </c>
      <c r="EI22" t="s">
        <v>1309</v>
      </c>
      <c r="EJ22" t="s">
        <v>1309</v>
      </c>
      <c r="EK22" t="s">
        <v>1310</v>
      </c>
      <c r="EL22" t="s">
        <v>1309</v>
      </c>
      <c r="EM22" t="s">
        <v>1309</v>
      </c>
      <c r="EN22" t="s">
        <v>1309</v>
      </c>
      <c r="EO22" t="s">
        <v>1309</v>
      </c>
      <c r="EQ22" t="s">
        <v>1307</v>
      </c>
      <c r="ER22" t="s">
        <v>1319</v>
      </c>
      <c r="ES22" t="s">
        <v>1307</v>
      </c>
      <c r="EU22" t="s">
        <v>1731</v>
      </c>
      <c r="EV22" t="s">
        <v>1310</v>
      </c>
      <c r="EW22" t="s">
        <v>1310</v>
      </c>
      <c r="EX22" t="s">
        <v>1309</v>
      </c>
      <c r="EY22" t="s">
        <v>1309</v>
      </c>
      <c r="EZ22" t="s">
        <v>1309</v>
      </c>
      <c r="FA22" t="s">
        <v>1309</v>
      </c>
      <c r="FB22" t="s">
        <v>1309</v>
      </c>
      <c r="FC22" t="s">
        <v>1309</v>
      </c>
      <c r="FD22" t="s">
        <v>1309</v>
      </c>
      <c r="FE22" t="s">
        <v>1309</v>
      </c>
      <c r="FF22" t="s">
        <v>1309</v>
      </c>
      <c r="FG22" t="s">
        <v>1309</v>
      </c>
      <c r="FH22" t="s">
        <v>1309</v>
      </c>
      <c r="FI22" t="s">
        <v>1309</v>
      </c>
      <c r="FJ22" t="s">
        <v>1309</v>
      </c>
      <c r="FK22" t="s">
        <v>1309</v>
      </c>
      <c r="FL22" t="s">
        <v>1309</v>
      </c>
      <c r="FN22" t="s">
        <v>1307</v>
      </c>
      <c r="GC22" t="s">
        <v>1324</v>
      </c>
      <c r="GD22" t="s">
        <v>1324</v>
      </c>
      <c r="GN22" t="s">
        <v>1328</v>
      </c>
      <c r="GO22" t="s">
        <v>1592</v>
      </c>
      <c r="GP22" t="s">
        <v>1309</v>
      </c>
      <c r="GQ22" t="s">
        <v>1309</v>
      </c>
      <c r="GR22" t="s">
        <v>1310</v>
      </c>
      <c r="GS22" t="s">
        <v>1309</v>
      </c>
      <c r="GT22" t="s">
        <v>1309</v>
      </c>
      <c r="GU22" t="s">
        <v>1309</v>
      </c>
      <c r="GV22" t="s">
        <v>1309</v>
      </c>
      <c r="GW22" t="s">
        <v>1309</v>
      </c>
      <c r="GX22" t="s">
        <v>1309</v>
      </c>
      <c r="GY22" t="s">
        <v>1309</v>
      </c>
      <c r="GZ22" t="s">
        <v>1309</v>
      </c>
      <c r="HB22" t="s">
        <v>1307</v>
      </c>
      <c r="HR22" t="s">
        <v>1414</v>
      </c>
      <c r="HS22" t="s">
        <v>1309</v>
      </c>
      <c r="HT22" t="s">
        <v>1309</v>
      </c>
      <c r="HU22" t="s">
        <v>1309</v>
      </c>
      <c r="HV22" t="s">
        <v>1309</v>
      </c>
      <c r="HW22" t="s">
        <v>1309</v>
      </c>
      <c r="HX22" t="s">
        <v>1309</v>
      </c>
      <c r="HY22" t="s">
        <v>1310</v>
      </c>
      <c r="HZ22" t="s">
        <v>1309</v>
      </c>
      <c r="IB22" s="92" t="s">
        <v>1333</v>
      </c>
      <c r="IC22" s="92" t="s">
        <v>1334</v>
      </c>
      <c r="ID22" s="92">
        <v>37</v>
      </c>
      <c r="IE22" s="92" t="s">
        <v>1307</v>
      </c>
      <c r="IF22" s="92" t="s">
        <v>4398</v>
      </c>
      <c r="IG22" s="92" t="s">
        <v>1336</v>
      </c>
      <c r="IH22" s="92" t="s">
        <v>1296</v>
      </c>
      <c r="II22" s="92" t="s">
        <v>71</v>
      </c>
      <c r="IJ22" s="92" t="s">
        <v>1397</v>
      </c>
      <c r="IK22" s="92" t="s">
        <v>1337</v>
      </c>
      <c r="IL22" s="92" t="s">
        <v>4845</v>
      </c>
      <c r="IM22" s="92" t="s">
        <v>1370</v>
      </c>
      <c r="IN22" s="92" t="s">
        <v>109</v>
      </c>
      <c r="IO22" s="92" t="s">
        <v>4847</v>
      </c>
      <c r="IP22" s="92" t="s">
        <v>1424</v>
      </c>
      <c r="IQ22" s="92">
        <v>1700</v>
      </c>
      <c r="IR22" s="92" t="s">
        <v>4438</v>
      </c>
      <c r="IS22" s="92" t="s">
        <v>192</v>
      </c>
      <c r="IT22" s="92" t="s">
        <v>109</v>
      </c>
      <c r="IU22" s="92" t="s">
        <v>192</v>
      </c>
      <c r="IV22" s="92" t="s">
        <v>109</v>
      </c>
      <c r="IW22" s="92" t="s">
        <v>1440</v>
      </c>
      <c r="IX22" s="92">
        <v>2100</v>
      </c>
      <c r="IY22" s="92" t="s">
        <v>4438</v>
      </c>
      <c r="IZ22" s="92" t="s">
        <v>1425</v>
      </c>
      <c r="JA22" s="92" t="s">
        <v>1460</v>
      </c>
      <c r="JB22" s="92" t="s">
        <v>192</v>
      </c>
      <c r="JC22" s="92" t="s">
        <v>1403</v>
      </c>
      <c r="JD22" s="92" t="s">
        <v>109</v>
      </c>
      <c r="JE22" s="92" t="s">
        <v>109</v>
      </c>
      <c r="JF22" s="92" t="s">
        <v>4438</v>
      </c>
      <c r="JG22" s="92" t="s">
        <v>4439</v>
      </c>
      <c r="JH22" s="92" t="s">
        <v>109</v>
      </c>
      <c r="JI22" s="92" t="s">
        <v>109</v>
      </c>
    </row>
    <row r="23" spans="1:269" x14ac:dyDescent="0.25">
      <c r="A23" t="s">
        <v>2938</v>
      </c>
      <c r="B23" t="s">
        <v>2939</v>
      </c>
      <c r="C23" t="s">
        <v>1305</v>
      </c>
      <c r="D23" t="s">
        <v>1306</v>
      </c>
      <c r="F23" t="s">
        <v>1307</v>
      </c>
      <c r="G23" t="s">
        <v>1319</v>
      </c>
      <c r="H23">
        <v>4</v>
      </c>
      <c r="I23" t="s">
        <v>1307</v>
      </c>
      <c r="J23" t="s">
        <v>1406</v>
      </c>
      <c r="K23" t="s">
        <v>1309</v>
      </c>
      <c r="L23" t="s">
        <v>1310</v>
      </c>
      <c r="M23" t="s">
        <v>1309</v>
      </c>
      <c r="N23" t="s">
        <v>1309</v>
      </c>
      <c r="O23" t="s">
        <v>1309</v>
      </c>
      <c r="P23" t="s">
        <v>1309</v>
      </c>
      <c r="Q23" t="s">
        <v>1309</v>
      </c>
      <c r="R23" t="s">
        <v>1309</v>
      </c>
      <c r="S23">
        <v>2</v>
      </c>
      <c r="U23" t="s">
        <v>1312</v>
      </c>
      <c r="V23" t="s">
        <v>1312</v>
      </c>
      <c r="W23" t="s">
        <v>1312</v>
      </c>
      <c r="X23" t="s">
        <v>1312</v>
      </c>
      <c r="Y23" t="s">
        <v>1312</v>
      </c>
      <c r="Z23" t="s">
        <v>1312</v>
      </c>
      <c r="AC23">
        <v>2</v>
      </c>
      <c r="AD23">
        <v>15000</v>
      </c>
      <c r="AE23">
        <v>17000</v>
      </c>
      <c r="AF23" t="s">
        <v>1351</v>
      </c>
      <c r="AH23" t="s">
        <v>1319</v>
      </c>
      <c r="AI23" t="s">
        <v>4876</v>
      </c>
      <c r="AK23" t="s">
        <v>1319</v>
      </c>
      <c r="AL23" t="s">
        <v>1315</v>
      </c>
      <c r="AN23" t="s">
        <v>1316</v>
      </c>
      <c r="BU23" t="s">
        <v>2940</v>
      </c>
      <c r="BV23" t="s">
        <v>1309</v>
      </c>
      <c r="BW23" t="s">
        <v>1309</v>
      </c>
      <c r="BX23" t="s">
        <v>1309</v>
      </c>
      <c r="BY23" t="s">
        <v>1309</v>
      </c>
      <c r="BZ23" t="s">
        <v>1309</v>
      </c>
      <c r="CA23" t="s">
        <v>1310</v>
      </c>
      <c r="CB23" t="s">
        <v>1309</v>
      </c>
      <c r="CC23" t="s">
        <v>1309</v>
      </c>
      <c r="CD23" t="s">
        <v>1309</v>
      </c>
      <c r="CE23" t="s">
        <v>1309</v>
      </c>
      <c r="CX23" t="s">
        <v>2941</v>
      </c>
      <c r="CY23" t="s">
        <v>1310</v>
      </c>
      <c r="CZ23" t="s">
        <v>1309</v>
      </c>
      <c r="DA23" t="s">
        <v>1309</v>
      </c>
      <c r="DB23" t="s">
        <v>1309</v>
      </c>
      <c r="DC23" t="s">
        <v>1309</v>
      </c>
      <c r="DD23" t="s">
        <v>1310</v>
      </c>
      <c r="DE23" t="s">
        <v>1309</v>
      </c>
      <c r="DF23" t="s">
        <v>1309</v>
      </c>
      <c r="DG23" t="s">
        <v>1309</v>
      </c>
      <c r="DH23" t="s">
        <v>1310</v>
      </c>
      <c r="DI23" t="s">
        <v>1309</v>
      </c>
      <c r="DJ23" t="s">
        <v>1309</v>
      </c>
      <c r="DK23" t="s">
        <v>1309</v>
      </c>
      <c r="DM23" t="s">
        <v>4436</v>
      </c>
      <c r="DO23" t="s">
        <v>1308</v>
      </c>
      <c r="DP23" t="s">
        <v>1310</v>
      </c>
      <c r="DQ23" t="s">
        <v>1309</v>
      </c>
      <c r="DR23" t="s">
        <v>1309</v>
      </c>
      <c r="DS23" t="s">
        <v>1309</v>
      </c>
      <c r="DT23" t="s">
        <v>1309</v>
      </c>
      <c r="DU23" t="s">
        <v>1309</v>
      </c>
      <c r="DV23" t="s">
        <v>1309</v>
      </c>
      <c r="DX23" t="s">
        <v>1358</v>
      </c>
      <c r="DY23" t="s">
        <v>1319</v>
      </c>
      <c r="EB23">
        <v>700</v>
      </c>
      <c r="EC23" t="s">
        <v>1358</v>
      </c>
      <c r="ED23">
        <v>600</v>
      </c>
      <c r="EF23">
        <v>800</v>
      </c>
      <c r="EG23" t="s">
        <v>1703</v>
      </c>
      <c r="EH23" t="s">
        <v>1310</v>
      </c>
      <c r="EI23" t="s">
        <v>1309</v>
      </c>
      <c r="EJ23" t="s">
        <v>1309</v>
      </c>
      <c r="EK23" t="s">
        <v>1309</v>
      </c>
      <c r="EL23" t="s">
        <v>1309</v>
      </c>
      <c r="EM23" t="s">
        <v>1309</v>
      </c>
      <c r="EN23" t="s">
        <v>1309</v>
      </c>
      <c r="EO23" t="s">
        <v>1309</v>
      </c>
      <c r="EQ23" t="s">
        <v>1307</v>
      </c>
      <c r="ER23" t="s">
        <v>1319</v>
      </c>
      <c r="ES23" t="s">
        <v>1319</v>
      </c>
      <c r="EU23" t="s">
        <v>2942</v>
      </c>
      <c r="EV23" t="s">
        <v>1309</v>
      </c>
      <c r="EW23" t="s">
        <v>1309</v>
      </c>
      <c r="EX23" t="s">
        <v>1309</v>
      </c>
      <c r="EY23" t="s">
        <v>1309</v>
      </c>
      <c r="EZ23" t="s">
        <v>1309</v>
      </c>
      <c r="FA23" t="s">
        <v>1309</v>
      </c>
      <c r="FB23" t="s">
        <v>1310</v>
      </c>
      <c r="FC23" t="s">
        <v>1310</v>
      </c>
      <c r="FD23" t="s">
        <v>1309</v>
      </c>
      <c r="FE23" t="s">
        <v>1309</v>
      </c>
      <c r="FF23" t="s">
        <v>1309</v>
      </c>
      <c r="FG23" t="s">
        <v>1310</v>
      </c>
      <c r="FH23" t="s">
        <v>1310</v>
      </c>
      <c r="FI23" t="s">
        <v>1309</v>
      </c>
      <c r="FJ23" t="s">
        <v>1309</v>
      </c>
      <c r="FK23" t="s">
        <v>1309</v>
      </c>
      <c r="FL23" t="s">
        <v>1309</v>
      </c>
      <c r="FN23" t="s">
        <v>1319</v>
      </c>
      <c r="FO23" t="s">
        <v>2943</v>
      </c>
      <c r="FP23" t="s">
        <v>1309</v>
      </c>
      <c r="FQ23" t="s">
        <v>1309</v>
      </c>
      <c r="FR23" t="s">
        <v>1310</v>
      </c>
      <c r="FS23" t="s">
        <v>1309</v>
      </c>
      <c r="FT23" t="s">
        <v>1309</v>
      </c>
      <c r="FU23" t="s">
        <v>1310</v>
      </c>
      <c r="FV23" t="s">
        <v>1309</v>
      </c>
      <c r="FW23" t="s">
        <v>1310</v>
      </c>
      <c r="FX23" t="s">
        <v>1309</v>
      </c>
      <c r="FY23" t="s">
        <v>1309</v>
      </c>
      <c r="FZ23" t="s">
        <v>1309</v>
      </c>
      <c r="GA23" t="s">
        <v>1309</v>
      </c>
      <c r="GC23" t="s">
        <v>1324</v>
      </c>
      <c r="GD23" t="s">
        <v>1324</v>
      </c>
      <c r="GN23" t="s">
        <v>1328</v>
      </c>
      <c r="GO23" t="s">
        <v>1592</v>
      </c>
      <c r="GP23" t="s">
        <v>1309</v>
      </c>
      <c r="GQ23" t="s">
        <v>1309</v>
      </c>
      <c r="GR23" t="s">
        <v>1310</v>
      </c>
      <c r="GS23" t="s">
        <v>1309</v>
      </c>
      <c r="GT23" t="s">
        <v>1309</v>
      </c>
      <c r="GU23" t="s">
        <v>1309</v>
      </c>
      <c r="GV23" t="s">
        <v>1309</v>
      </c>
      <c r="GW23" t="s">
        <v>1309</v>
      </c>
      <c r="GX23" t="s">
        <v>1309</v>
      </c>
      <c r="GY23" t="s">
        <v>1309</v>
      </c>
      <c r="GZ23" t="s">
        <v>1309</v>
      </c>
      <c r="HB23" t="s">
        <v>1319</v>
      </c>
      <c r="HC23" t="s">
        <v>2944</v>
      </c>
      <c r="HD23" t="s">
        <v>1310</v>
      </c>
      <c r="HE23" t="s">
        <v>1309</v>
      </c>
      <c r="HF23" t="s">
        <v>1309</v>
      </c>
      <c r="HG23" t="s">
        <v>1310</v>
      </c>
      <c r="HH23" t="s">
        <v>1309</v>
      </c>
      <c r="HI23" t="s">
        <v>1309</v>
      </c>
      <c r="HJ23" t="s">
        <v>1309</v>
      </c>
      <c r="HK23" t="s">
        <v>1310</v>
      </c>
      <c r="HL23" t="s">
        <v>1309</v>
      </c>
      <c r="HM23" t="s">
        <v>1309</v>
      </c>
      <c r="HN23" t="s">
        <v>1309</v>
      </c>
      <c r="HO23" t="s">
        <v>1309</v>
      </c>
      <c r="HP23" t="s">
        <v>1309</v>
      </c>
      <c r="HR23" t="s">
        <v>1710</v>
      </c>
      <c r="HS23" t="s">
        <v>1310</v>
      </c>
      <c r="HT23" t="s">
        <v>1309</v>
      </c>
      <c r="HU23" t="s">
        <v>1309</v>
      </c>
      <c r="HV23" t="s">
        <v>1310</v>
      </c>
      <c r="HW23" t="s">
        <v>1310</v>
      </c>
      <c r="HX23" t="s">
        <v>1309</v>
      </c>
      <c r="HY23" t="s">
        <v>1309</v>
      </c>
      <c r="HZ23" t="s">
        <v>1309</v>
      </c>
      <c r="IB23" s="92" t="s">
        <v>1711</v>
      </c>
      <c r="IC23" s="92" t="s">
        <v>2945</v>
      </c>
      <c r="ID23" s="92">
        <v>44</v>
      </c>
      <c r="IE23" s="92" t="s">
        <v>1307</v>
      </c>
      <c r="IF23" s="92" t="s">
        <v>4396</v>
      </c>
      <c r="IG23" s="92" t="s">
        <v>1368</v>
      </c>
      <c r="IH23" s="92" t="s">
        <v>1296</v>
      </c>
      <c r="II23" s="92" t="s">
        <v>70</v>
      </c>
      <c r="IJ23" s="92" t="s">
        <v>5549</v>
      </c>
      <c r="IK23" s="92" t="s">
        <v>1337</v>
      </c>
      <c r="IL23" s="92" t="s">
        <v>4845</v>
      </c>
      <c r="IM23" s="92" t="s">
        <v>1415</v>
      </c>
      <c r="IN23" s="92" t="s">
        <v>109</v>
      </c>
      <c r="IO23" s="92" t="s">
        <v>4847</v>
      </c>
      <c r="IP23" s="92" t="s">
        <v>1371</v>
      </c>
      <c r="IQ23" s="92">
        <v>700</v>
      </c>
      <c r="IR23" s="92" t="s">
        <v>1372</v>
      </c>
      <c r="IS23" s="92" t="s">
        <v>109</v>
      </c>
      <c r="IT23" s="92" t="s">
        <v>109</v>
      </c>
      <c r="IU23" s="92" t="s">
        <v>192</v>
      </c>
      <c r="IV23" s="92" t="s">
        <v>109</v>
      </c>
      <c r="IW23" s="92" t="s">
        <v>1374</v>
      </c>
      <c r="IX23" s="92">
        <v>1400</v>
      </c>
      <c r="IY23" s="92" t="s">
        <v>1372</v>
      </c>
      <c r="IZ23" s="92" t="s">
        <v>1440</v>
      </c>
      <c r="JA23" s="92" t="s">
        <v>1401</v>
      </c>
      <c r="JB23" s="92" t="s">
        <v>192</v>
      </c>
      <c r="JC23" s="92" t="s">
        <v>5795</v>
      </c>
      <c r="JD23" s="92" t="s">
        <v>109</v>
      </c>
      <c r="JE23" s="92" t="s">
        <v>109</v>
      </c>
      <c r="JF23" s="92" t="s">
        <v>1372</v>
      </c>
      <c r="JG23" s="92" t="s">
        <v>1372</v>
      </c>
      <c r="JH23" s="92" t="s">
        <v>192</v>
      </c>
      <c r="JI23" s="92" t="s">
        <v>192</v>
      </c>
    </row>
    <row r="24" spans="1:269" x14ac:dyDescent="0.25">
      <c r="A24" t="s">
        <v>2946</v>
      </c>
      <c r="B24" t="s">
        <v>2947</v>
      </c>
      <c r="C24" t="s">
        <v>1429</v>
      </c>
      <c r="D24" t="s">
        <v>1306</v>
      </c>
      <c r="F24" t="s">
        <v>1307</v>
      </c>
      <c r="G24" t="s">
        <v>1319</v>
      </c>
      <c r="H24">
        <v>4</v>
      </c>
      <c r="I24" t="s">
        <v>1307</v>
      </c>
      <c r="J24" t="s">
        <v>1406</v>
      </c>
      <c r="K24" t="s">
        <v>1309</v>
      </c>
      <c r="L24" t="s">
        <v>1310</v>
      </c>
      <c r="M24" t="s">
        <v>1309</v>
      </c>
      <c r="N24" t="s">
        <v>1309</v>
      </c>
      <c r="O24" t="s">
        <v>1309</v>
      </c>
      <c r="P24" t="s">
        <v>1309</v>
      </c>
      <c r="Q24" t="s">
        <v>1309</v>
      </c>
      <c r="R24" t="s">
        <v>1309</v>
      </c>
      <c r="S24">
        <v>1</v>
      </c>
      <c r="U24" t="s">
        <v>1312</v>
      </c>
      <c r="V24" t="s">
        <v>1312</v>
      </c>
      <c r="W24" t="s">
        <v>1312</v>
      </c>
      <c r="X24" t="s">
        <v>1312</v>
      </c>
      <c r="Y24" t="s">
        <v>1312</v>
      </c>
      <c r="Z24" t="s">
        <v>1312</v>
      </c>
      <c r="AC24">
        <v>2</v>
      </c>
      <c r="AD24">
        <v>15000</v>
      </c>
      <c r="AE24">
        <v>15000</v>
      </c>
      <c r="AF24" t="s">
        <v>1351</v>
      </c>
      <c r="AH24" t="s">
        <v>1319</v>
      </c>
      <c r="AI24" t="s">
        <v>4880</v>
      </c>
      <c r="AK24" t="s">
        <v>1319</v>
      </c>
      <c r="AL24" t="s">
        <v>1315</v>
      </c>
      <c r="AN24" t="s">
        <v>1331</v>
      </c>
      <c r="BU24" t="s">
        <v>2853</v>
      </c>
      <c r="BV24" t="s">
        <v>1310</v>
      </c>
      <c r="BW24" t="s">
        <v>1309</v>
      </c>
      <c r="BX24" t="s">
        <v>1309</v>
      </c>
      <c r="BY24" t="s">
        <v>1309</v>
      </c>
      <c r="BZ24" t="s">
        <v>1309</v>
      </c>
      <c r="CA24" t="s">
        <v>1309</v>
      </c>
      <c r="CB24" t="s">
        <v>1309</v>
      </c>
      <c r="CC24" t="s">
        <v>1309</v>
      </c>
      <c r="CD24" t="s">
        <v>1309</v>
      </c>
      <c r="CE24" t="s">
        <v>1309</v>
      </c>
      <c r="CX24" t="s">
        <v>2948</v>
      </c>
      <c r="CY24" t="s">
        <v>1310</v>
      </c>
      <c r="CZ24" t="s">
        <v>1309</v>
      </c>
      <c r="DA24" t="s">
        <v>1309</v>
      </c>
      <c r="DB24" t="s">
        <v>1309</v>
      </c>
      <c r="DC24" t="s">
        <v>1309</v>
      </c>
      <c r="DD24" t="s">
        <v>1310</v>
      </c>
      <c r="DE24" t="s">
        <v>1309</v>
      </c>
      <c r="DF24" t="s">
        <v>1309</v>
      </c>
      <c r="DG24" t="s">
        <v>1309</v>
      </c>
      <c r="DH24" t="s">
        <v>1309</v>
      </c>
      <c r="DI24" t="s">
        <v>1309</v>
      </c>
      <c r="DJ24" t="s">
        <v>1309</v>
      </c>
      <c r="DK24" t="s">
        <v>1309</v>
      </c>
      <c r="DM24" t="s">
        <v>4436</v>
      </c>
      <c r="DO24" t="s">
        <v>1357</v>
      </c>
      <c r="DP24" t="s">
        <v>1309</v>
      </c>
      <c r="DQ24" t="s">
        <v>1309</v>
      </c>
      <c r="DR24" t="s">
        <v>1309</v>
      </c>
      <c r="DS24" t="s">
        <v>1309</v>
      </c>
      <c r="DT24" t="s">
        <v>1310</v>
      </c>
      <c r="DU24" t="s">
        <v>1309</v>
      </c>
      <c r="DV24" t="s">
        <v>1309</v>
      </c>
      <c r="DX24" t="s">
        <v>1358</v>
      </c>
      <c r="DY24" t="s">
        <v>1319</v>
      </c>
      <c r="EA24">
        <v>11500</v>
      </c>
      <c r="EB24">
        <v>700</v>
      </c>
      <c r="EC24" t="s">
        <v>1358</v>
      </c>
      <c r="ED24">
        <v>400</v>
      </c>
      <c r="EF24">
        <v>800</v>
      </c>
      <c r="EG24" t="s">
        <v>2949</v>
      </c>
      <c r="EH24" t="s">
        <v>1310</v>
      </c>
      <c r="EI24" t="s">
        <v>1310</v>
      </c>
      <c r="EJ24" t="s">
        <v>1309</v>
      </c>
      <c r="EK24" t="s">
        <v>1309</v>
      </c>
      <c r="EL24" t="s">
        <v>1309</v>
      </c>
      <c r="EM24" t="s">
        <v>1309</v>
      </c>
      <c r="EN24" t="s">
        <v>1309</v>
      </c>
      <c r="EO24" t="s">
        <v>1309</v>
      </c>
      <c r="EQ24" t="s">
        <v>1307</v>
      </c>
      <c r="ER24" t="s">
        <v>1319</v>
      </c>
      <c r="ES24" t="s">
        <v>1319</v>
      </c>
      <c r="EU24" t="s">
        <v>2950</v>
      </c>
      <c r="EV24" t="s">
        <v>1309</v>
      </c>
      <c r="EW24" t="s">
        <v>1309</v>
      </c>
      <c r="EX24" t="s">
        <v>1309</v>
      </c>
      <c r="EY24" t="s">
        <v>1310</v>
      </c>
      <c r="EZ24" t="s">
        <v>1310</v>
      </c>
      <c r="FA24" t="s">
        <v>1309</v>
      </c>
      <c r="FB24" t="s">
        <v>1309</v>
      </c>
      <c r="FC24" t="s">
        <v>1310</v>
      </c>
      <c r="FD24" t="s">
        <v>1309</v>
      </c>
      <c r="FE24" t="s">
        <v>1309</v>
      </c>
      <c r="FF24" t="s">
        <v>1309</v>
      </c>
      <c r="FG24" t="s">
        <v>1310</v>
      </c>
      <c r="FH24" t="s">
        <v>1310</v>
      </c>
      <c r="FI24" t="s">
        <v>1309</v>
      </c>
      <c r="FJ24" t="s">
        <v>1309</v>
      </c>
      <c r="FK24" t="s">
        <v>1309</v>
      </c>
      <c r="FL24" t="s">
        <v>1309</v>
      </c>
      <c r="FN24" t="s">
        <v>1307</v>
      </c>
      <c r="GC24" t="s">
        <v>1324</v>
      </c>
      <c r="GD24" t="s">
        <v>1324</v>
      </c>
      <c r="GN24" t="s">
        <v>1328</v>
      </c>
      <c r="GO24" t="s">
        <v>1592</v>
      </c>
      <c r="GP24" t="s">
        <v>1309</v>
      </c>
      <c r="GQ24" t="s">
        <v>1309</v>
      </c>
      <c r="GR24" t="s">
        <v>1310</v>
      </c>
      <c r="GS24" t="s">
        <v>1309</v>
      </c>
      <c r="GT24" t="s">
        <v>1309</v>
      </c>
      <c r="GU24" t="s">
        <v>1309</v>
      </c>
      <c r="GV24" t="s">
        <v>1309</v>
      </c>
      <c r="GW24" t="s">
        <v>1309</v>
      </c>
      <c r="GX24" t="s">
        <v>1309</v>
      </c>
      <c r="GY24" t="s">
        <v>1309</v>
      </c>
      <c r="GZ24" t="s">
        <v>1309</v>
      </c>
      <c r="HB24" t="s">
        <v>1319</v>
      </c>
      <c r="HC24" t="s">
        <v>2951</v>
      </c>
      <c r="HD24" t="s">
        <v>1309</v>
      </c>
      <c r="HE24" t="s">
        <v>1309</v>
      </c>
      <c r="HF24" t="s">
        <v>1309</v>
      </c>
      <c r="HG24" t="s">
        <v>1309</v>
      </c>
      <c r="HH24" t="s">
        <v>1309</v>
      </c>
      <c r="HI24" t="s">
        <v>1309</v>
      </c>
      <c r="HJ24" t="s">
        <v>1310</v>
      </c>
      <c r="HK24" t="s">
        <v>1310</v>
      </c>
      <c r="HL24" t="s">
        <v>1309</v>
      </c>
      <c r="HM24" t="s">
        <v>1309</v>
      </c>
      <c r="HN24" t="s">
        <v>1309</v>
      </c>
      <c r="HO24" t="s">
        <v>1309</v>
      </c>
      <c r="HP24" t="s">
        <v>1309</v>
      </c>
      <c r="HR24" t="s">
        <v>2952</v>
      </c>
      <c r="HS24" t="s">
        <v>1310</v>
      </c>
      <c r="HT24" t="s">
        <v>1310</v>
      </c>
      <c r="HU24" t="s">
        <v>1309</v>
      </c>
      <c r="HV24" t="s">
        <v>1310</v>
      </c>
      <c r="HW24" t="s">
        <v>1310</v>
      </c>
      <c r="HX24" t="s">
        <v>1309</v>
      </c>
      <c r="HY24" t="s">
        <v>1309</v>
      </c>
      <c r="HZ24" t="s">
        <v>1309</v>
      </c>
      <c r="IB24" s="92" t="s">
        <v>1711</v>
      </c>
      <c r="IC24" s="92" t="s">
        <v>2953</v>
      </c>
      <c r="ID24" s="92">
        <v>49</v>
      </c>
      <c r="IE24" s="92" t="s">
        <v>1307</v>
      </c>
      <c r="IF24" s="92" t="s">
        <v>4396</v>
      </c>
      <c r="IG24" s="92" t="s">
        <v>1368</v>
      </c>
      <c r="IH24" s="92" t="s">
        <v>1296</v>
      </c>
      <c r="II24" s="92" t="s">
        <v>70</v>
      </c>
      <c r="IJ24" s="92" t="s">
        <v>5549</v>
      </c>
      <c r="IK24" s="92" t="s">
        <v>1337</v>
      </c>
      <c r="IL24" s="92" t="s">
        <v>4845</v>
      </c>
      <c r="IM24" s="92" t="s">
        <v>1415</v>
      </c>
      <c r="IN24" s="92" t="s">
        <v>109</v>
      </c>
      <c r="IO24" s="92" t="s">
        <v>4847</v>
      </c>
      <c r="IP24" s="92" t="s">
        <v>1371</v>
      </c>
      <c r="IQ24" s="92">
        <v>12200</v>
      </c>
      <c r="IR24" s="92" t="s">
        <v>1426</v>
      </c>
      <c r="IS24" s="92" t="s">
        <v>109</v>
      </c>
      <c r="IT24" s="92" t="s">
        <v>192</v>
      </c>
      <c r="IU24" s="92" t="s">
        <v>192</v>
      </c>
      <c r="IV24" s="92" t="s">
        <v>109</v>
      </c>
      <c r="IW24" s="92" t="s">
        <v>1341</v>
      </c>
      <c r="IX24" s="92">
        <v>1200</v>
      </c>
      <c r="IY24" s="92" t="s">
        <v>1372</v>
      </c>
      <c r="IZ24" s="92" t="s">
        <v>1440</v>
      </c>
      <c r="JA24" s="92" t="s">
        <v>1375</v>
      </c>
      <c r="JB24" s="92" t="s">
        <v>192</v>
      </c>
      <c r="JC24" s="92" t="s">
        <v>5795</v>
      </c>
      <c r="JD24" s="92" t="s">
        <v>109</v>
      </c>
      <c r="JE24" s="92" t="s">
        <v>109</v>
      </c>
      <c r="JF24" s="92" t="s">
        <v>4439</v>
      </c>
      <c r="JG24" s="92" t="s">
        <v>1372</v>
      </c>
      <c r="JH24" s="92" t="s">
        <v>192</v>
      </c>
      <c r="JI24" s="92" t="s">
        <v>192</v>
      </c>
    </row>
    <row r="25" spans="1:269" x14ac:dyDescent="0.25">
      <c r="A25" t="s">
        <v>2954</v>
      </c>
      <c r="B25" t="s">
        <v>2955</v>
      </c>
      <c r="C25" t="s">
        <v>1305</v>
      </c>
      <c r="D25" t="s">
        <v>1381</v>
      </c>
      <c r="F25" t="s">
        <v>1319</v>
      </c>
      <c r="G25" t="s">
        <v>1319</v>
      </c>
      <c r="H25">
        <v>2</v>
      </c>
      <c r="I25" t="s">
        <v>1318</v>
      </c>
      <c r="J25" t="s">
        <v>1430</v>
      </c>
      <c r="K25" t="s">
        <v>1309</v>
      </c>
      <c r="L25" t="s">
        <v>1309</v>
      </c>
      <c r="M25" t="s">
        <v>1310</v>
      </c>
      <c r="N25" t="s">
        <v>1309</v>
      </c>
      <c r="O25" t="s">
        <v>1309</v>
      </c>
      <c r="P25" t="s">
        <v>1309</v>
      </c>
      <c r="Q25" t="s">
        <v>1309</v>
      </c>
      <c r="R25" t="s">
        <v>1309</v>
      </c>
      <c r="T25">
        <v>1</v>
      </c>
      <c r="U25" t="s">
        <v>1312</v>
      </c>
      <c r="V25" t="s">
        <v>1312</v>
      </c>
      <c r="W25" t="s">
        <v>1312</v>
      </c>
      <c r="X25" t="s">
        <v>1312</v>
      </c>
      <c r="Y25" t="s">
        <v>1312</v>
      </c>
      <c r="Z25" t="s">
        <v>1312</v>
      </c>
      <c r="AC25">
        <v>2</v>
      </c>
      <c r="AD25">
        <v>7500</v>
      </c>
      <c r="AE25">
        <v>5500</v>
      </c>
      <c r="AF25" t="s">
        <v>1351</v>
      </c>
      <c r="AH25" t="s">
        <v>1319</v>
      </c>
      <c r="AI25" t="s">
        <v>4879</v>
      </c>
      <c r="AK25" t="s">
        <v>1319</v>
      </c>
      <c r="AL25" t="s">
        <v>1353</v>
      </c>
      <c r="AN25" t="s">
        <v>1354</v>
      </c>
      <c r="BC25" t="s">
        <v>1354</v>
      </c>
      <c r="BU25" t="s">
        <v>1414</v>
      </c>
      <c r="BV25" t="s">
        <v>1309</v>
      </c>
      <c r="BW25" t="s">
        <v>1309</v>
      </c>
      <c r="BX25" t="s">
        <v>1309</v>
      </c>
      <c r="BY25" t="s">
        <v>1309</v>
      </c>
      <c r="BZ25" t="s">
        <v>1309</v>
      </c>
      <c r="CA25" t="s">
        <v>1309</v>
      </c>
      <c r="CB25" t="s">
        <v>1309</v>
      </c>
      <c r="CC25" t="s">
        <v>1309</v>
      </c>
      <c r="CD25" t="s">
        <v>1310</v>
      </c>
      <c r="CE25" t="s">
        <v>1309</v>
      </c>
      <c r="CX25" t="s">
        <v>1414</v>
      </c>
      <c r="CY25" t="s">
        <v>1309</v>
      </c>
      <c r="CZ25" t="s">
        <v>1309</v>
      </c>
      <c r="DA25" t="s">
        <v>1309</v>
      </c>
      <c r="DB25" t="s">
        <v>1309</v>
      </c>
      <c r="DC25" t="s">
        <v>1309</v>
      </c>
      <c r="DD25" t="s">
        <v>1309</v>
      </c>
      <c r="DE25" t="s">
        <v>1309</v>
      </c>
      <c r="DF25" t="s">
        <v>1309</v>
      </c>
      <c r="DG25" t="s">
        <v>1309</v>
      </c>
      <c r="DH25" t="s">
        <v>1309</v>
      </c>
      <c r="DI25" t="s">
        <v>1309</v>
      </c>
      <c r="DJ25" t="s">
        <v>1310</v>
      </c>
      <c r="DK25" t="s">
        <v>1309</v>
      </c>
      <c r="DM25" t="s">
        <v>4436</v>
      </c>
      <c r="DO25" t="s">
        <v>1357</v>
      </c>
      <c r="DP25" t="s">
        <v>1309</v>
      </c>
      <c r="DQ25" t="s">
        <v>1309</v>
      </c>
      <c r="DR25" t="s">
        <v>1309</v>
      </c>
      <c r="DS25" t="s">
        <v>1309</v>
      </c>
      <c r="DT25" t="s">
        <v>1310</v>
      </c>
      <c r="DU25" t="s">
        <v>1309</v>
      </c>
      <c r="DV25" t="s">
        <v>1309</v>
      </c>
      <c r="DX25" t="s">
        <v>1358</v>
      </c>
      <c r="DY25" t="s">
        <v>1307</v>
      </c>
      <c r="EB25">
        <v>700</v>
      </c>
      <c r="EC25" t="s">
        <v>1358</v>
      </c>
      <c r="EF25">
        <v>650</v>
      </c>
      <c r="EG25" t="s">
        <v>2857</v>
      </c>
      <c r="EH25" t="s">
        <v>1310</v>
      </c>
      <c r="EI25" t="s">
        <v>1309</v>
      </c>
      <c r="EJ25" t="s">
        <v>1309</v>
      </c>
      <c r="EK25" t="s">
        <v>1309</v>
      </c>
      <c r="EL25" t="s">
        <v>1310</v>
      </c>
      <c r="EM25" t="s">
        <v>1309</v>
      </c>
      <c r="EN25" t="s">
        <v>1309</v>
      </c>
      <c r="EO25" t="s">
        <v>1309</v>
      </c>
      <c r="EQ25" t="s">
        <v>1319</v>
      </c>
      <c r="ER25" t="s">
        <v>1319</v>
      </c>
      <c r="EU25" t="s">
        <v>2956</v>
      </c>
      <c r="EV25" t="s">
        <v>1309</v>
      </c>
      <c r="EW25" t="s">
        <v>1309</v>
      </c>
      <c r="EX25" t="s">
        <v>1309</v>
      </c>
      <c r="EY25" t="s">
        <v>1310</v>
      </c>
      <c r="EZ25" t="s">
        <v>1309</v>
      </c>
      <c r="FA25" t="s">
        <v>1310</v>
      </c>
      <c r="FB25" t="s">
        <v>1309</v>
      </c>
      <c r="FC25" t="s">
        <v>1310</v>
      </c>
      <c r="FD25" t="s">
        <v>1309</v>
      </c>
      <c r="FE25" t="s">
        <v>1309</v>
      </c>
      <c r="FF25" t="s">
        <v>1309</v>
      </c>
      <c r="FG25" t="s">
        <v>1309</v>
      </c>
      <c r="FH25" t="s">
        <v>1310</v>
      </c>
      <c r="FI25" t="s">
        <v>1309</v>
      </c>
      <c r="FJ25" t="s">
        <v>1309</v>
      </c>
      <c r="FK25" t="s">
        <v>1309</v>
      </c>
      <c r="FL25" t="s">
        <v>1309</v>
      </c>
      <c r="FN25" t="s">
        <v>1319</v>
      </c>
      <c r="FO25" t="s">
        <v>1649</v>
      </c>
      <c r="FP25" t="s">
        <v>1310</v>
      </c>
      <c r="FQ25" t="s">
        <v>1310</v>
      </c>
      <c r="FR25" t="s">
        <v>1309</v>
      </c>
      <c r="FS25" t="s">
        <v>1309</v>
      </c>
      <c r="FT25" t="s">
        <v>1309</v>
      </c>
      <c r="FU25" t="s">
        <v>1309</v>
      </c>
      <c r="FV25" t="s">
        <v>1309</v>
      </c>
      <c r="FW25" t="s">
        <v>1309</v>
      </c>
      <c r="FX25" t="s">
        <v>1309</v>
      </c>
      <c r="FY25" t="s">
        <v>1309</v>
      </c>
      <c r="FZ25" t="s">
        <v>1309</v>
      </c>
      <c r="GA25" t="s">
        <v>1309</v>
      </c>
      <c r="GC25" t="s">
        <v>1436</v>
      </c>
      <c r="GD25" t="s">
        <v>1324</v>
      </c>
      <c r="GE25" t="s">
        <v>1319</v>
      </c>
      <c r="GF25" t="s">
        <v>1619</v>
      </c>
      <c r="GG25" t="s">
        <v>1310</v>
      </c>
      <c r="GH25" t="s">
        <v>1309</v>
      </c>
      <c r="GI25" t="s">
        <v>1309</v>
      </c>
      <c r="GJ25" t="s">
        <v>1309</v>
      </c>
      <c r="GK25" t="s">
        <v>1309</v>
      </c>
      <c r="GL25" t="s">
        <v>1309</v>
      </c>
      <c r="GN25" t="s">
        <v>1364</v>
      </c>
      <c r="HB25" t="s">
        <v>1307</v>
      </c>
      <c r="HR25" t="s">
        <v>1332</v>
      </c>
      <c r="HS25" t="s">
        <v>1309</v>
      </c>
      <c r="HT25" t="s">
        <v>1309</v>
      </c>
      <c r="HU25" t="s">
        <v>1309</v>
      </c>
      <c r="HV25" t="s">
        <v>1309</v>
      </c>
      <c r="HW25" t="s">
        <v>1310</v>
      </c>
      <c r="HX25" t="s">
        <v>1309</v>
      </c>
      <c r="HY25" t="s">
        <v>1309</v>
      </c>
      <c r="HZ25" t="s">
        <v>1309</v>
      </c>
      <c r="IB25" s="92" t="s">
        <v>1516</v>
      </c>
      <c r="IC25" s="92" t="s">
        <v>2957</v>
      </c>
      <c r="ID25" s="92">
        <v>60</v>
      </c>
      <c r="IE25" s="92" t="s">
        <v>1307</v>
      </c>
      <c r="IF25" s="92" t="s">
        <v>4395</v>
      </c>
      <c r="IG25" s="92" t="s">
        <v>1336</v>
      </c>
      <c r="IH25" s="92" t="s">
        <v>1296</v>
      </c>
      <c r="II25" s="92" t="s">
        <v>70</v>
      </c>
      <c r="IJ25" s="92" t="s">
        <v>5549</v>
      </c>
      <c r="IK25" s="92" t="s">
        <v>1369</v>
      </c>
      <c r="IL25" s="92" t="s">
        <v>4845</v>
      </c>
      <c r="IM25" s="92" t="s">
        <v>1439</v>
      </c>
      <c r="IN25" s="92" t="s">
        <v>109</v>
      </c>
      <c r="IO25" s="92" t="s">
        <v>4847</v>
      </c>
      <c r="IP25" s="92" t="s">
        <v>1424</v>
      </c>
      <c r="IQ25" s="92">
        <v>700</v>
      </c>
      <c r="IR25" s="92" t="s">
        <v>1372</v>
      </c>
      <c r="IS25" s="92" t="s">
        <v>109</v>
      </c>
      <c r="IT25" s="92" t="s">
        <v>109</v>
      </c>
      <c r="IU25" s="92" t="s">
        <v>109</v>
      </c>
      <c r="IV25" s="92" t="s">
        <v>109</v>
      </c>
      <c r="IW25" s="92" t="s">
        <v>1374</v>
      </c>
      <c r="IX25" s="92">
        <v>650</v>
      </c>
      <c r="IY25" s="92" t="s">
        <v>1372</v>
      </c>
      <c r="IZ25" s="92" t="s">
        <v>1374</v>
      </c>
      <c r="JA25" s="92" t="s">
        <v>1375</v>
      </c>
      <c r="JB25" s="92" t="s">
        <v>109</v>
      </c>
      <c r="JC25" s="92" t="s">
        <v>1378</v>
      </c>
      <c r="JD25" s="92" t="s">
        <v>109</v>
      </c>
      <c r="JE25" s="92" t="s">
        <v>109</v>
      </c>
      <c r="JF25" s="92" t="s">
        <v>4438</v>
      </c>
      <c r="JG25" s="92" t="s">
        <v>4438</v>
      </c>
      <c r="JH25" s="92" t="s">
        <v>109</v>
      </c>
      <c r="JI25" s="92" t="s">
        <v>109</v>
      </c>
    </row>
    <row r="26" spans="1:269" x14ac:dyDescent="0.25">
      <c r="A26" t="s">
        <v>2958</v>
      </c>
      <c r="B26" t="s">
        <v>2959</v>
      </c>
      <c r="C26" t="s">
        <v>1305</v>
      </c>
      <c r="D26" t="s">
        <v>1381</v>
      </c>
      <c r="F26" t="s">
        <v>1319</v>
      </c>
      <c r="G26" t="s">
        <v>1319</v>
      </c>
      <c r="H26">
        <v>2</v>
      </c>
      <c r="I26" t="s">
        <v>1358</v>
      </c>
      <c r="J26" t="s">
        <v>1382</v>
      </c>
      <c r="K26" t="s">
        <v>1309</v>
      </c>
      <c r="L26" t="s">
        <v>1310</v>
      </c>
      <c r="M26" t="s">
        <v>1309</v>
      </c>
      <c r="N26" t="s">
        <v>1309</v>
      </c>
      <c r="O26" t="s">
        <v>1309</v>
      </c>
      <c r="P26" t="s">
        <v>1310</v>
      </c>
      <c r="Q26" t="s">
        <v>1309</v>
      </c>
      <c r="R26" t="s">
        <v>1309</v>
      </c>
      <c r="S26">
        <v>1</v>
      </c>
      <c r="U26" t="s">
        <v>1312</v>
      </c>
      <c r="V26" t="s">
        <v>1312</v>
      </c>
      <c r="W26" t="s">
        <v>1312</v>
      </c>
      <c r="X26" t="s">
        <v>1312</v>
      </c>
      <c r="Y26" t="s">
        <v>1312</v>
      </c>
      <c r="Z26" t="s">
        <v>1312</v>
      </c>
      <c r="AC26">
        <v>1</v>
      </c>
      <c r="AD26">
        <v>4500</v>
      </c>
      <c r="AE26">
        <v>3000</v>
      </c>
      <c r="AF26" t="s">
        <v>1313</v>
      </c>
      <c r="AH26" t="s">
        <v>1319</v>
      </c>
      <c r="AI26" t="s">
        <v>4879</v>
      </c>
      <c r="AK26" t="s">
        <v>1307</v>
      </c>
      <c r="CG26" t="s">
        <v>1698</v>
      </c>
      <c r="CH26" t="s">
        <v>1309</v>
      </c>
      <c r="CI26" t="s">
        <v>1309</v>
      </c>
      <c r="CJ26" t="s">
        <v>1309</v>
      </c>
      <c r="CK26" t="s">
        <v>1309</v>
      </c>
      <c r="CL26" t="s">
        <v>1309</v>
      </c>
      <c r="CM26" t="s">
        <v>1309</v>
      </c>
      <c r="CN26" t="s">
        <v>1309</v>
      </c>
      <c r="CO26" t="s">
        <v>1309</v>
      </c>
      <c r="CP26" t="s">
        <v>1309</v>
      </c>
      <c r="CQ26" t="s">
        <v>1309</v>
      </c>
      <c r="CR26" t="s">
        <v>1309</v>
      </c>
      <c r="CS26" t="s">
        <v>1309</v>
      </c>
      <c r="CT26" t="s">
        <v>1310</v>
      </c>
      <c r="CU26" t="s">
        <v>1309</v>
      </c>
      <c r="CV26" t="s">
        <v>1309</v>
      </c>
      <c r="CW26" t="s">
        <v>2928</v>
      </c>
      <c r="CX26" t="s">
        <v>2929</v>
      </c>
      <c r="CY26" t="s">
        <v>1310</v>
      </c>
      <c r="CZ26" t="s">
        <v>1309</v>
      </c>
      <c r="DA26" t="s">
        <v>1309</v>
      </c>
      <c r="DB26" t="s">
        <v>1310</v>
      </c>
      <c r="DC26" t="s">
        <v>1309</v>
      </c>
      <c r="DD26" t="s">
        <v>1309</v>
      </c>
      <c r="DE26" t="s">
        <v>1309</v>
      </c>
      <c r="DF26" t="s">
        <v>1309</v>
      </c>
      <c r="DG26" t="s">
        <v>1309</v>
      </c>
      <c r="DH26" t="s">
        <v>1309</v>
      </c>
      <c r="DI26" t="s">
        <v>1309</v>
      </c>
      <c r="DJ26" t="s">
        <v>1309</v>
      </c>
      <c r="DK26" t="s">
        <v>1309</v>
      </c>
      <c r="DM26" t="s">
        <v>4433</v>
      </c>
      <c r="DO26" t="s">
        <v>1357</v>
      </c>
      <c r="DP26" t="s">
        <v>1309</v>
      </c>
      <c r="DQ26" t="s">
        <v>1309</v>
      </c>
      <c r="DR26" t="s">
        <v>1309</v>
      </c>
      <c r="DS26" t="s">
        <v>1309</v>
      </c>
      <c r="DT26" t="s">
        <v>1310</v>
      </c>
      <c r="DU26" t="s">
        <v>1309</v>
      </c>
      <c r="DV26" t="s">
        <v>1309</v>
      </c>
      <c r="DX26" t="s">
        <v>1358</v>
      </c>
      <c r="DY26" t="s">
        <v>1319</v>
      </c>
      <c r="DZ26">
        <v>800</v>
      </c>
      <c r="EB26">
        <v>500</v>
      </c>
      <c r="EC26" t="s">
        <v>1318</v>
      </c>
      <c r="ED26">
        <v>800</v>
      </c>
      <c r="EF26">
        <v>500</v>
      </c>
      <c r="EG26" t="s">
        <v>2930</v>
      </c>
      <c r="EH26" t="s">
        <v>1309</v>
      </c>
      <c r="EI26" t="s">
        <v>1309</v>
      </c>
      <c r="EJ26" t="s">
        <v>1309</v>
      </c>
      <c r="EK26" t="s">
        <v>1309</v>
      </c>
      <c r="EL26" t="s">
        <v>1310</v>
      </c>
      <c r="EM26" t="s">
        <v>1309</v>
      </c>
      <c r="EN26" t="s">
        <v>1309</v>
      </c>
      <c r="EO26" t="s">
        <v>1309</v>
      </c>
      <c r="EQ26" t="s">
        <v>1307</v>
      </c>
      <c r="ER26" t="s">
        <v>1319</v>
      </c>
      <c r="ES26" t="s">
        <v>1319</v>
      </c>
      <c r="ET26" t="s">
        <v>1319</v>
      </c>
      <c r="EU26" t="s">
        <v>2931</v>
      </c>
      <c r="EV26" t="s">
        <v>1309</v>
      </c>
      <c r="EW26" t="s">
        <v>1309</v>
      </c>
      <c r="EX26" t="s">
        <v>1310</v>
      </c>
      <c r="EY26" t="s">
        <v>1310</v>
      </c>
      <c r="EZ26" t="s">
        <v>1309</v>
      </c>
      <c r="FA26" t="s">
        <v>1310</v>
      </c>
      <c r="FB26" t="s">
        <v>1310</v>
      </c>
      <c r="FC26" t="s">
        <v>1310</v>
      </c>
      <c r="FD26" t="s">
        <v>1310</v>
      </c>
      <c r="FE26" t="s">
        <v>1310</v>
      </c>
      <c r="FF26" t="s">
        <v>1309</v>
      </c>
      <c r="FG26" t="s">
        <v>1309</v>
      </c>
      <c r="FH26" t="s">
        <v>1310</v>
      </c>
      <c r="FI26" t="s">
        <v>1309</v>
      </c>
      <c r="FJ26" t="s">
        <v>1309</v>
      </c>
      <c r="FK26" t="s">
        <v>1309</v>
      </c>
      <c r="FL26" t="s">
        <v>1309</v>
      </c>
      <c r="FN26" t="s">
        <v>1319</v>
      </c>
      <c r="FO26" t="s">
        <v>1435</v>
      </c>
      <c r="FP26" t="s">
        <v>1310</v>
      </c>
      <c r="FQ26" t="s">
        <v>1309</v>
      </c>
      <c r="FR26" t="s">
        <v>1309</v>
      </c>
      <c r="FS26" t="s">
        <v>1309</v>
      </c>
      <c r="FT26" t="s">
        <v>1309</v>
      </c>
      <c r="FU26" t="s">
        <v>1309</v>
      </c>
      <c r="FV26" t="s">
        <v>1309</v>
      </c>
      <c r="FW26" t="s">
        <v>1309</v>
      </c>
      <c r="FX26" t="s">
        <v>1309</v>
      </c>
      <c r="FY26" t="s">
        <v>1309</v>
      </c>
      <c r="FZ26" t="s">
        <v>1309</v>
      </c>
      <c r="GA26" t="s">
        <v>1309</v>
      </c>
      <c r="GC26" t="s">
        <v>1324</v>
      </c>
      <c r="GD26" t="s">
        <v>1324</v>
      </c>
      <c r="GN26" t="s">
        <v>1364</v>
      </c>
      <c r="HB26" t="s">
        <v>1307</v>
      </c>
      <c r="HR26" t="s">
        <v>1414</v>
      </c>
      <c r="HS26" t="s">
        <v>1309</v>
      </c>
      <c r="HT26" t="s">
        <v>1309</v>
      </c>
      <c r="HU26" t="s">
        <v>1309</v>
      </c>
      <c r="HV26" t="s">
        <v>1309</v>
      </c>
      <c r="HW26" t="s">
        <v>1309</v>
      </c>
      <c r="HX26" t="s">
        <v>1309</v>
      </c>
      <c r="HY26" t="s">
        <v>1310</v>
      </c>
      <c r="HZ26" t="s">
        <v>1309</v>
      </c>
      <c r="IB26" s="92" t="s">
        <v>1567</v>
      </c>
      <c r="IC26" s="92" t="s">
        <v>1568</v>
      </c>
      <c r="ID26" s="92">
        <v>33</v>
      </c>
      <c r="IE26" s="92" t="s">
        <v>1307</v>
      </c>
      <c r="IF26" s="92" t="s">
        <v>4398</v>
      </c>
      <c r="IG26" s="92" t="s">
        <v>1336</v>
      </c>
      <c r="IH26" s="92" t="s">
        <v>1296</v>
      </c>
      <c r="II26" s="92" t="s">
        <v>71</v>
      </c>
      <c r="IJ26" s="92" t="s">
        <v>1397</v>
      </c>
      <c r="IK26" s="92" t="s">
        <v>1398</v>
      </c>
      <c r="IL26" s="92" t="s">
        <v>4845</v>
      </c>
      <c r="IM26" s="92" t="s">
        <v>1399</v>
      </c>
      <c r="IN26" s="92" t="s">
        <v>109</v>
      </c>
      <c r="IO26" s="92" t="s">
        <v>4844</v>
      </c>
      <c r="IP26" s="92" t="s">
        <v>5560</v>
      </c>
      <c r="IQ26" s="92">
        <v>1300</v>
      </c>
      <c r="IR26" s="92" t="s">
        <v>4439</v>
      </c>
      <c r="IS26" s="92" t="s">
        <v>192</v>
      </c>
      <c r="IT26" s="92" t="s">
        <v>109</v>
      </c>
      <c r="IU26" s="92" t="s">
        <v>192</v>
      </c>
      <c r="IV26" s="92" t="s">
        <v>109</v>
      </c>
      <c r="IW26" s="92" t="s">
        <v>1440</v>
      </c>
      <c r="IX26" s="92">
        <v>1300</v>
      </c>
      <c r="IY26" s="92" t="s">
        <v>4439</v>
      </c>
      <c r="IZ26" s="92" t="s">
        <v>1440</v>
      </c>
      <c r="JA26" s="92" t="s">
        <v>1375</v>
      </c>
      <c r="JB26" s="92" t="s">
        <v>192</v>
      </c>
      <c r="JC26" s="92" t="s">
        <v>1403</v>
      </c>
      <c r="JD26" s="92" t="s">
        <v>109</v>
      </c>
      <c r="JE26" s="92" t="s">
        <v>109</v>
      </c>
      <c r="JF26" s="92" t="s">
        <v>4439</v>
      </c>
      <c r="JG26" s="92" t="s">
        <v>4439</v>
      </c>
      <c r="JH26" s="92" t="s">
        <v>109</v>
      </c>
      <c r="JI26" s="92" t="s">
        <v>109</v>
      </c>
    </row>
    <row r="27" spans="1:269" x14ac:dyDescent="0.25">
      <c r="A27" t="s">
        <v>2960</v>
      </c>
      <c r="B27" t="s">
        <v>2961</v>
      </c>
      <c r="C27" t="s">
        <v>1305</v>
      </c>
      <c r="D27" t="s">
        <v>1381</v>
      </c>
      <c r="F27" t="s">
        <v>1319</v>
      </c>
      <c r="G27" t="s">
        <v>1319</v>
      </c>
      <c r="H27">
        <v>3</v>
      </c>
      <c r="I27" t="s">
        <v>1358</v>
      </c>
      <c r="J27" t="s">
        <v>1406</v>
      </c>
      <c r="K27" t="s">
        <v>1309</v>
      </c>
      <c r="L27" t="s">
        <v>1310</v>
      </c>
      <c r="M27" t="s">
        <v>1309</v>
      </c>
      <c r="N27" t="s">
        <v>1309</v>
      </c>
      <c r="O27" t="s">
        <v>1309</v>
      </c>
      <c r="P27" t="s">
        <v>1309</v>
      </c>
      <c r="Q27" t="s">
        <v>1309</v>
      </c>
      <c r="R27" t="s">
        <v>1309</v>
      </c>
      <c r="S27">
        <v>1</v>
      </c>
      <c r="U27" t="s">
        <v>1312</v>
      </c>
      <c r="V27" t="s">
        <v>1312</v>
      </c>
      <c r="W27" t="s">
        <v>1312</v>
      </c>
      <c r="X27" t="s">
        <v>1312</v>
      </c>
      <c r="Y27" t="s">
        <v>1312</v>
      </c>
      <c r="Z27" t="s">
        <v>1311</v>
      </c>
      <c r="AC27">
        <v>1</v>
      </c>
      <c r="AD27">
        <v>13000</v>
      </c>
      <c r="AE27">
        <v>10000</v>
      </c>
      <c r="AF27" t="s">
        <v>1313</v>
      </c>
      <c r="AH27" t="s">
        <v>1307</v>
      </c>
      <c r="AI27" t="s">
        <v>4879</v>
      </c>
      <c r="AK27" t="s">
        <v>1307</v>
      </c>
      <c r="CG27" t="s">
        <v>1544</v>
      </c>
      <c r="CH27" t="s">
        <v>1309</v>
      </c>
      <c r="CI27" t="s">
        <v>1310</v>
      </c>
      <c r="CJ27" t="s">
        <v>1309</v>
      </c>
      <c r="CK27" t="s">
        <v>1309</v>
      </c>
      <c r="CL27" t="s">
        <v>1309</v>
      </c>
      <c r="CM27" t="s">
        <v>1309</v>
      </c>
      <c r="CN27" t="s">
        <v>1309</v>
      </c>
      <c r="CO27" t="s">
        <v>1309</v>
      </c>
      <c r="CP27" t="s">
        <v>1309</v>
      </c>
      <c r="CQ27" t="s">
        <v>1309</v>
      </c>
      <c r="CR27" t="s">
        <v>1309</v>
      </c>
      <c r="CS27" t="s">
        <v>1309</v>
      </c>
      <c r="CT27" t="s">
        <v>1309</v>
      </c>
      <c r="CU27" t="s">
        <v>1309</v>
      </c>
      <c r="CV27" t="s">
        <v>1309</v>
      </c>
      <c r="CX27" t="s">
        <v>1355</v>
      </c>
      <c r="CY27" t="s">
        <v>1309</v>
      </c>
      <c r="CZ27" t="s">
        <v>1309</v>
      </c>
      <c r="DA27" t="s">
        <v>1309</v>
      </c>
      <c r="DB27" t="s">
        <v>1309</v>
      </c>
      <c r="DC27" t="s">
        <v>1309</v>
      </c>
      <c r="DD27" t="s">
        <v>1309</v>
      </c>
      <c r="DE27" t="s">
        <v>1309</v>
      </c>
      <c r="DF27" t="s">
        <v>1309</v>
      </c>
      <c r="DG27" t="s">
        <v>1310</v>
      </c>
      <c r="DH27" t="s">
        <v>1309</v>
      </c>
      <c r="DI27" t="s">
        <v>1309</v>
      </c>
      <c r="DJ27" t="s">
        <v>1309</v>
      </c>
      <c r="DK27" t="s">
        <v>1309</v>
      </c>
      <c r="DM27" t="s">
        <v>4434</v>
      </c>
      <c r="DO27" t="s">
        <v>1308</v>
      </c>
      <c r="DP27" t="s">
        <v>1310</v>
      </c>
      <c r="DQ27" t="s">
        <v>1309</v>
      </c>
      <c r="DR27" t="s">
        <v>1309</v>
      </c>
      <c r="DS27" t="s">
        <v>1309</v>
      </c>
      <c r="DT27" t="s">
        <v>1309</v>
      </c>
      <c r="DU27" t="s">
        <v>1309</v>
      </c>
      <c r="DV27" t="s">
        <v>1309</v>
      </c>
      <c r="DX27" t="s">
        <v>1358</v>
      </c>
      <c r="DZ27">
        <v>3000</v>
      </c>
      <c r="EB27">
        <v>650</v>
      </c>
      <c r="EC27" t="s">
        <v>1358</v>
      </c>
      <c r="ED27">
        <v>4600</v>
      </c>
      <c r="EF27">
        <v>550</v>
      </c>
      <c r="EG27" t="s">
        <v>2962</v>
      </c>
      <c r="EH27" t="s">
        <v>1309</v>
      </c>
      <c r="EI27" t="s">
        <v>1309</v>
      </c>
      <c r="EJ27" t="s">
        <v>1310</v>
      </c>
      <c r="EK27" t="s">
        <v>1310</v>
      </c>
      <c r="EL27" t="s">
        <v>1309</v>
      </c>
      <c r="EM27" t="s">
        <v>1309</v>
      </c>
      <c r="EN27" t="s">
        <v>1309</v>
      </c>
      <c r="EO27" t="s">
        <v>1309</v>
      </c>
      <c r="EQ27" t="s">
        <v>1307</v>
      </c>
      <c r="ER27" t="s">
        <v>1319</v>
      </c>
      <c r="ES27" t="s">
        <v>1319</v>
      </c>
      <c r="EU27" t="s">
        <v>2963</v>
      </c>
      <c r="EV27" t="s">
        <v>1310</v>
      </c>
      <c r="EW27" t="s">
        <v>1310</v>
      </c>
      <c r="EX27" t="s">
        <v>1309</v>
      </c>
      <c r="EY27" t="s">
        <v>1309</v>
      </c>
      <c r="EZ27" t="s">
        <v>1309</v>
      </c>
      <c r="FA27" t="s">
        <v>1309</v>
      </c>
      <c r="FB27" t="s">
        <v>1309</v>
      </c>
      <c r="FC27" t="s">
        <v>1310</v>
      </c>
      <c r="FD27" t="s">
        <v>1309</v>
      </c>
      <c r="FE27" t="s">
        <v>1310</v>
      </c>
      <c r="FF27" t="s">
        <v>1309</v>
      </c>
      <c r="FG27" t="s">
        <v>1310</v>
      </c>
      <c r="FH27" t="s">
        <v>1309</v>
      </c>
      <c r="FI27" t="s">
        <v>1309</v>
      </c>
      <c r="FJ27" t="s">
        <v>1309</v>
      </c>
      <c r="FK27" t="s">
        <v>1309</v>
      </c>
      <c r="FL27" t="s">
        <v>1309</v>
      </c>
      <c r="FN27" t="s">
        <v>1319</v>
      </c>
      <c r="FO27" t="s">
        <v>1435</v>
      </c>
      <c r="FP27" t="s">
        <v>1310</v>
      </c>
      <c r="FQ27" t="s">
        <v>1309</v>
      </c>
      <c r="FR27" t="s">
        <v>1309</v>
      </c>
      <c r="FS27" t="s">
        <v>1309</v>
      </c>
      <c r="FT27" t="s">
        <v>1309</v>
      </c>
      <c r="FU27" t="s">
        <v>1309</v>
      </c>
      <c r="FV27" t="s">
        <v>1309</v>
      </c>
      <c r="FW27" t="s">
        <v>1309</v>
      </c>
      <c r="FX27" t="s">
        <v>1309</v>
      </c>
      <c r="FY27" t="s">
        <v>1309</v>
      </c>
      <c r="FZ27" t="s">
        <v>1309</v>
      </c>
      <c r="GA27" t="s">
        <v>1309</v>
      </c>
      <c r="GC27" t="s">
        <v>1324</v>
      </c>
      <c r="GD27" t="s">
        <v>1324</v>
      </c>
      <c r="GN27" t="s">
        <v>1364</v>
      </c>
      <c r="HB27" t="s">
        <v>1319</v>
      </c>
      <c r="HC27" t="s">
        <v>1423</v>
      </c>
      <c r="HD27" t="s">
        <v>1309</v>
      </c>
      <c r="HE27" t="s">
        <v>1309</v>
      </c>
      <c r="HF27" t="s">
        <v>1309</v>
      </c>
      <c r="HG27" t="s">
        <v>1309</v>
      </c>
      <c r="HH27" t="s">
        <v>1310</v>
      </c>
      <c r="HI27" t="s">
        <v>1309</v>
      </c>
      <c r="HJ27" t="s">
        <v>1309</v>
      </c>
      <c r="HK27" t="s">
        <v>1309</v>
      </c>
      <c r="HL27" t="s">
        <v>1309</v>
      </c>
      <c r="HM27" t="s">
        <v>1309</v>
      </c>
      <c r="HN27" t="s">
        <v>1309</v>
      </c>
      <c r="HO27" t="s">
        <v>1309</v>
      </c>
      <c r="HP27" t="s">
        <v>1309</v>
      </c>
      <c r="HR27" t="s">
        <v>1523</v>
      </c>
      <c r="HS27" t="s">
        <v>1309</v>
      </c>
      <c r="HT27" t="s">
        <v>1309</v>
      </c>
      <c r="HU27" t="s">
        <v>1309</v>
      </c>
      <c r="HV27" t="s">
        <v>1310</v>
      </c>
      <c r="HW27" t="s">
        <v>1309</v>
      </c>
      <c r="HX27" t="s">
        <v>1309</v>
      </c>
      <c r="HY27" t="s">
        <v>1309</v>
      </c>
      <c r="HZ27" t="s">
        <v>1309</v>
      </c>
      <c r="IB27" s="92" t="s">
        <v>1711</v>
      </c>
      <c r="IC27" s="92" t="s">
        <v>1712</v>
      </c>
      <c r="ID27" s="92">
        <v>32</v>
      </c>
      <c r="IE27" s="92" t="s">
        <v>1307</v>
      </c>
      <c r="IF27" s="92" t="s">
        <v>4398</v>
      </c>
      <c r="IG27" s="92" t="s">
        <v>1368</v>
      </c>
      <c r="IH27" s="92" t="s">
        <v>1296</v>
      </c>
      <c r="II27" s="92" t="s">
        <v>71</v>
      </c>
      <c r="IJ27" s="92" t="s">
        <v>1397</v>
      </c>
      <c r="IK27" s="92" t="s">
        <v>1398</v>
      </c>
      <c r="IL27" s="92" t="s">
        <v>4845</v>
      </c>
      <c r="IM27" s="92" t="s">
        <v>1415</v>
      </c>
      <c r="IN27" s="92" t="s">
        <v>109</v>
      </c>
      <c r="IO27" s="92" t="s">
        <v>4844</v>
      </c>
      <c r="IP27" s="92" t="s">
        <v>1371</v>
      </c>
      <c r="IQ27" s="92">
        <v>3650</v>
      </c>
      <c r="IR27" s="92" t="s">
        <v>4439</v>
      </c>
      <c r="IS27" s="92" t="s">
        <v>192</v>
      </c>
      <c r="IT27" s="92" t="s">
        <v>109</v>
      </c>
      <c r="IU27" s="92" t="s">
        <v>192</v>
      </c>
      <c r="IV27" s="92" t="s">
        <v>109</v>
      </c>
      <c r="IW27" s="92" t="s">
        <v>1341</v>
      </c>
      <c r="IX27" s="92">
        <v>5150</v>
      </c>
      <c r="IY27" s="92" t="s">
        <v>4439</v>
      </c>
      <c r="IZ27" s="92" t="s">
        <v>1341</v>
      </c>
      <c r="JA27" s="92" t="s">
        <v>1460</v>
      </c>
      <c r="JB27" s="92" t="s">
        <v>192</v>
      </c>
      <c r="JC27" s="92" t="s">
        <v>1403</v>
      </c>
      <c r="JD27" s="92" t="s">
        <v>109</v>
      </c>
      <c r="JE27" s="92" t="s">
        <v>109</v>
      </c>
      <c r="JF27" s="92" t="s">
        <v>4439</v>
      </c>
      <c r="JG27" s="92" t="s">
        <v>4439</v>
      </c>
      <c r="JH27" s="92" t="s">
        <v>192</v>
      </c>
      <c r="JI27" s="92" t="s">
        <v>192</v>
      </c>
    </row>
    <row r="28" spans="1:269" x14ac:dyDescent="0.25">
      <c r="A28" t="s">
        <v>2964</v>
      </c>
      <c r="B28" t="s">
        <v>2965</v>
      </c>
      <c r="C28" t="s">
        <v>1305</v>
      </c>
      <c r="D28" t="s">
        <v>1381</v>
      </c>
      <c r="F28" t="s">
        <v>1319</v>
      </c>
      <c r="G28" t="s">
        <v>1319</v>
      </c>
      <c r="H28">
        <v>2</v>
      </c>
      <c r="I28" t="s">
        <v>1358</v>
      </c>
      <c r="J28" t="s">
        <v>1382</v>
      </c>
      <c r="K28" t="s">
        <v>1309</v>
      </c>
      <c r="L28" t="s">
        <v>1310</v>
      </c>
      <c r="M28" t="s">
        <v>1309</v>
      </c>
      <c r="N28" t="s">
        <v>1309</v>
      </c>
      <c r="O28" t="s">
        <v>1309</v>
      </c>
      <c r="P28" t="s">
        <v>1310</v>
      </c>
      <c r="Q28" t="s">
        <v>1309</v>
      </c>
      <c r="R28" t="s">
        <v>1309</v>
      </c>
      <c r="S28">
        <v>1</v>
      </c>
      <c r="U28" t="s">
        <v>1311</v>
      </c>
      <c r="V28" t="s">
        <v>1312</v>
      </c>
      <c r="W28" t="s">
        <v>1312</v>
      </c>
      <c r="X28" t="s">
        <v>1312</v>
      </c>
      <c r="Y28" t="s">
        <v>1312</v>
      </c>
      <c r="Z28" t="s">
        <v>1311</v>
      </c>
      <c r="AC28">
        <v>1</v>
      </c>
      <c r="AE28">
        <v>10000</v>
      </c>
      <c r="AF28" t="s">
        <v>1313</v>
      </c>
      <c r="AH28" t="s">
        <v>1307</v>
      </c>
      <c r="AI28" t="s">
        <v>4879</v>
      </c>
      <c r="AK28" t="s">
        <v>1307</v>
      </c>
      <c r="CG28" t="s">
        <v>1544</v>
      </c>
      <c r="CH28" t="s">
        <v>1309</v>
      </c>
      <c r="CI28" t="s">
        <v>1310</v>
      </c>
      <c r="CJ28" t="s">
        <v>1309</v>
      </c>
      <c r="CK28" t="s">
        <v>1309</v>
      </c>
      <c r="CL28" t="s">
        <v>1309</v>
      </c>
      <c r="CM28" t="s">
        <v>1309</v>
      </c>
      <c r="CN28" t="s">
        <v>1309</v>
      </c>
      <c r="CO28" t="s">
        <v>1309</v>
      </c>
      <c r="CP28" t="s">
        <v>1309</v>
      </c>
      <c r="CQ28" t="s">
        <v>1309</v>
      </c>
      <c r="CR28" t="s">
        <v>1309</v>
      </c>
      <c r="CS28" t="s">
        <v>1309</v>
      </c>
      <c r="CT28" t="s">
        <v>1309</v>
      </c>
      <c r="CU28" t="s">
        <v>1309</v>
      </c>
      <c r="CV28" t="s">
        <v>1309</v>
      </c>
      <c r="CX28" t="s">
        <v>1702</v>
      </c>
      <c r="CY28" t="s">
        <v>1310</v>
      </c>
      <c r="CZ28" t="s">
        <v>1309</v>
      </c>
      <c r="DA28" t="s">
        <v>1309</v>
      </c>
      <c r="DB28" t="s">
        <v>1309</v>
      </c>
      <c r="DC28" t="s">
        <v>1309</v>
      </c>
      <c r="DD28" t="s">
        <v>1309</v>
      </c>
      <c r="DE28" t="s">
        <v>1309</v>
      </c>
      <c r="DF28" t="s">
        <v>1309</v>
      </c>
      <c r="DG28" t="s">
        <v>1309</v>
      </c>
      <c r="DH28" t="s">
        <v>1310</v>
      </c>
      <c r="DI28" t="s">
        <v>1309</v>
      </c>
      <c r="DJ28" t="s">
        <v>1309</v>
      </c>
      <c r="DK28" t="s">
        <v>1309</v>
      </c>
      <c r="DM28" t="s">
        <v>4435</v>
      </c>
      <c r="DO28" t="s">
        <v>1308</v>
      </c>
      <c r="DP28" t="s">
        <v>1310</v>
      </c>
      <c r="DQ28" t="s">
        <v>1309</v>
      </c>
      <c r="DR28" t="s">
        <v>1309</v>
      </c>
      <c r="DS28" t="s">
        <v>1309</v>
      </c>
      <c r="DT28" t="s">
        <v>1309</v>
      </c>
      <c r="DU28" t="s">
        <v>1309</v>
      </c>
      <c r="DV28" t="s">
        <v>1309</v>
      </c>
      <c r="DX28" t="s">
        <v>1358</v>
      </c>
      <c r="DY28" t="s">
        <v>1319</v>
      </c>
      <c r="DZ28">
        <v>200</v>
      </c>
      <c r="EA28">
        <v>2000</v>
      </c>
      <c r="EB28">
        <v>200</v>
      </c>
      <c r="EC28" t="s">
        <v>1358</v>
      </c>
      <c r="ED28">
        <v>200</v>
      </c>
      <c r="EE28">
        <v>2500</v>
      </c>
      <c r="EF28">
        <v>200</v>
      </c>
      <c r="EG28" t="s">
        <v>2966</v>
      </c>
      <c r="EH28" t="s">
        <v>1309</v>
      </c>
      <c r="EI28" t="s">
        <v>1310</v>
      </c>
      <c r="EJ28" t="s">
        <v>1309</v>
      </c>
      <c r="EK28" t="s">
        <v>1310</v>
      </c>
      <c r="EL28" t="s">
        <v>1309</v>
      </c>
      <c r="EM28" t="s">
        <v>1309</v>
      </c>
      <c r="EN28" t="s">
        <v>1309</v>
      </c>
      <c r="EO28" t="s">
        <v>1309</v>
      </c>
      <c r="EQ28" t="s">
        <v>1307</v>
      </c>
      <c r="ER28" t="s">
        <v>1319</v>
      </c>
      <c r="ES28" t="s">
        <v>1319</v>
      </c>
      <c r="EU28" t="s">
        <v>1654</v>
      </c>
      <c r="EV28" t="s">
        <v>1309</v>
      </c>
      <c r="EW28" t="s">
        <v>1309</v>
      </c>
      <c r="EX28" t="s">
        <v>1309</v>
      </c>
      <c r="EY28" t="s">
        <v>1309</v>
      </c>
      <c r="EZ28" t="s">
        <v>1309</v>
      </c>
      <c r="FA28" t="s">
        <v>1309</v>
      </c>
      <c r="FB28" t="s">
        <v>1309</v>
      </c>
      <c r="FC28" t="s">
        <v>1310</v>
      </c>
      <c r="FD28" t="s">
        <v>1309</v>
      </c>
      <c r="FE28" t="s">
        <v>1310</v>
      </c>
      <c r="FF28" t="s">
        <v>1309</v>
      </c>
      <c r="FG28" t="s">
        <v>1309</v>
      </c>
      <c r="FH28" t="s">
        <v>1310</v>
      </c>
      <c r="FI28" t="s">
        <v>1309</v>
      </c>
      <c r="FJ28" t="s">
        <v>1309</v>
      </c>
      <c r="FK28" t="s">
        <v>1309</v>
      </c>
      <c r="FL28" t="s">
        <v>1309</v>
      </c>
      <c r="FN28" t="s">
        <v>1319</v>
      </c>
      <c r="FO28" t="s">
        <v>1435</v>
      </c>
      <c r="FP28" t="s">
        <v>1310</v>
      </c>
      <c r="FQ28" t="s">
        <v>1309</v>
      </c>
      <c r="FR28" t="s">
        <v>1309</v>
      </c>
      <c r="FS28" t="s">
        <v>1309</v>
      </c>
      <c r="FT28" t="s">
        <v>1309</v>
      </c>
      <c r="FU28" t="s">
        <v>1309</v>
      </c>
      <c r="FV28" t="s">
        <v>1309</v>
      </c>
      <c r="FW28" t="s">
        <v>1309</v>
      </c>
      <c r="FX28" t="s">
        <v>1309</v>
      </c>
      <c r="FY28" t="s">
        <v>1309</v>
      </c>
      <c r="FZ28" t="s">
        <v>1309</v>
      </c>
      <c r="GA28" t="s">
        <v>1309</v>
      </c>
      <c r="GC28" t="s">
        <v>1324</v>
      </c>
      <c r="GD28" t="s">
        <v>1324</v>
      </c>
      <c r="GN28" t="s">
        <v>1364</v>
      </c>
      <c r="HB28" t="s">
        <v>1319</v>
      </c>
      <c r="HC28" t="s">
        <v>1423</v>
      </c>
      <c r="HD28" t="s">
        <v>1309</v>
      </c>
      <c r="HE28" t="s">
        <v>1309</v>
      </c>
      <c r="HF28" t="s">
        <v>1309</v>
      </c>
      <c r="HG28" t="s">
        <v>1309</v>
      </c>
      <c r="HH28" t="s">
        <v>1310</v>
      </c>
      <c r="HI28" t="s">
        <v>1309</v>
      </c>
      <c r="HJ28" t="s">
        <v>1309</v>
      </c>
      <c r="HK28" t="s">
        <v>1309</v>
      </c>
      <c r="HL28" t="s">
        <v>1309</v>
      </c>
      <c r="HM28" t="s">
        <v>1309</v>
      </c>
      <c r="HN28" t="s">
        <v>1309</v>
      </c>
      <c r="HO28" t="s">
        <v>1309</v>
      </c>
      <c r="HP28" t="s">
        <v>1309</v>
      </c>
      <c r="HR28" t="s">
        <v>1523</v>
      </c>
      <c r="HS28" t="s">
        <v>1309</v>
      </c>
      <c r="HT28" t="s">
        <v>1309</v>
      </c>
      <c r="HU28" t="s">
        <v>1309</v>
      </c>
      <c r="HV28" t="s">
        <v>1310</v>
      </c>
      <c r="HW28" t="s">
        <v>1309</v>
      </c>
      <c r="HX28" t="s">
        <v>1309</v>
      </c>
      <c r="HY28" t="s">
        <v>1309</v>
      </c>
      <c r="HZ28" t="s">
        <v>1309</v>
      </c>
      <c r="IB28" s="92" t="s">
        <v>1333</v>
      </c>
      <c r="IC28" s="92" t="s">
        <v>1334</v>
      </c>
      <c r="ID28" s="92">
        <v>36</v>
      </c>
      <c r="IE28" s="92" t="s">
        <v>1307</v>
      </c>
      <c r="IF28" s="92" t="s">
        <v>4398</v>
      </c>
      <c r="IG28" s="92" t="s">
        <v>1336</v>
      </c>
      <c r="IH28" s="92" t="s">
        <v>1296</v>
      </c>
      <c r="II28" s="92" t="s">
        <v>71</v>
      </c>
      <c r="IJ28" s="92" t="s">
        <v>1397</v>
      </c>
      <c r="IK28" s="92" t="s">
        <v>1337</v>
      </c>
      <c r="IL28" s="92" t="s">
        <v>4845</v>
      </c>
      <c r="IM28" s="92" t="s">
        <v>1399</v>
      </c>
      <c r="IN28" s="92" t="s">
        <v>109</v>
      </c>
      <c r="IO28" s="92" t="s">
        <v>4844</v>
      </c>
      <c r="IP28" s="92" t="s">
        <v>1340</v>
      </c>
      <c r="IQ28" s="92">
        <v>2400</v>
      </c>
      <c r="IR28" s="92" t="s">
        <v>1340</v>
      </c>
      <c r="IS28" s="92" t="s">
        <v>192</v>
      </c>
      <c r="IT28" s="92" t="s">
        <v>192</v>
      </c>
      <c r="IU28" s="92" t="s">
        <v>192</v>
      </c>
      <c r="IV28" s="92" t="s">
        <v>192</v>
      </c>
      <c r="IW28" s="92" t="s">
        <v>1425</v>
      </c>
      <c r="IX28" s="92">
        <v>2900</v>
      </c>
      <c r="IY28" s="92" t="s">
        <v>1340</v>
      </c>
      <c r="IZ28" s="92" t="s">
        <v>1425</v>
      </c>
      <c r="JA28" s="92" t="s">
        <v>1342</v>
      </c>
      <c r="JB28" s="92" t="s">
        <v>192</v>
      </c>
      <c r="JC28" s="92" t="s">
        <v>1403</v>
      </c>
      <c r="JD28" s="92" t="s">
        <v>109</v>
      </c>
      <c r="JE28" s="92" t="s">
        <v>109</v>
      </c>
      <c r="JF28" s="92" t="s">
        <v>1340</v>
      </c>
      <c r="JG28" s="92" t="s">
        <v>1340</v>
      </c>
      <c r="JH28" s="92"/>
      <c r="JI28" s="92"/>
    </row>
    <row r="29" spans="1:269" x14ac:dyDescent="0.25">
      <c r="A29" t="s">
        <v>2967</v>
      </c>
      <c r="B29" t="s">
        <v>2968</v>
      </c>
      <c r="C29" t="s">
        <v>1305</v>
      </c>
      <c r="D29" t="s">
        <v>1306</v>
      </c>
      <c r="F29" t="s">
        <v>1307</v>
      </c>
      <c r="G29" t="s">
        <v>1319</v>
      </c>
      <c r="H29">
        <v>3</v>
      </c>
      <c r="I29" t="s">
        <v>1307</v>
      </c>
      <c r="J29" t="s">
        <v>1308</v>
      </c>
      <c r="K29" t="s">
        <v>1309</v>
      </c>
      <c r="L29" t="s">
        <v>1309</v>
      </c>
      <c r="M29" t="s">
        <v>1309</v>
      </c>
      <c r="N29" t="s">
        <v>1309</v>
      </c>
      <c r="O29" t="s">
        <v>1309</v>
      </c>
      <c r="P29" t="s">
        <v>1309</v>
      </c>
      <c r="Q29" t="s">
        <v>1310</v>
      </c>
      <c r="R29" t="s">
        <v>1309</v>
      </c>
      <c r="U29" t="s">
        <v>1312</v>
      </c>
      <c r="V29" t="s">
        <v>1312</v>
      </c>
      <c r="W29" t="s">
        <v>1312</v>
      </c>
      <c r="X29" t="s">
        <v>1312</v>
      </c>
      <c r="Y29" t="s">
        <v>1312</v>
      </c>
      <c r="Z29" t="s">
        <v>1312</v>
      </c>
      <c r="AC29">
        <v>3</v>
      </c>
      <c r="AE29">
        <v>9000</v>
      </c>
      <c r="AF29" t="s">
        <v>1351</v>
      </c>
      <c r="AH29" t="s">
        <v>1307</v>
      </c>
      <c r="AI29" t="s">
        <v>30</v>
      </c>
      <c r="AJ29" t="s">
        <v>2969</v>
      </c>
      <c r="AK29" t="s">
        <v>1307</v>
      </c>
      <c r="CG29" t="s">
        <v>2970</v>
      </c>
      <c r="CH29" t="s">
        <v>1309</v>
      </c>
      <c r="CI29" t="s">
        <v>1309</v>
      </c>
      <c r="CJ29" t="s">
        <v>1310</v>
      </c>
      <c r="CK29" t="s">
        <v>1310</v>
      </c>
      <c r="CL29" t="s">
        <v>1309</v>
      </c>
      <c r="CM29" t="s">
        <v>1309</v>
      </c>
      <c r="CN29" t="s">
        <v>1309</v>
      </c>
      <c r="CO29" t="s">
        <v>1309</v>
      </c>
      <c r="CP29" t="s">
        <v>1309</v>
      </c>
      <c r="CQ29" t="s">
        <v>1309</v>
      </c>
      <c r="CR29" t="s">
        <v>1309</v>
      </c>
      <c r="CS29" t="s">
        <v>1309</v>
      </c>
      <c r="CT29" t="s">
        <v>1309</v>
      </c>
      <c r="CU29" t="s">
        <v>1309</v>
      </c>
      <c r="CV29" t="s">
        <v>1309</v>
      </c>
      <c r="CX29" t="s">
        <v>1384</v>
      </c>
      <c r="CY29" t="s">
        <v>1310</v>
      </c>
      <c r="CZ29" t="s">
        <v>1309</v>
      </c>
      <c r="DA29" t="s">
        <v>1309</v>
      </c>
      <c r="DB29" t="s">
        <v>1309</v>
      </c>
      <c r="DC29" t="s">
        <v>1309</v>
      </c>
      <c r="DD29" t="s">
        <v>1309</v>
      </c>
      <c r="DE29" t="s">
        <v>1309</v>
      </c>
      <c r="DF29" t="s">
        <v>1309</v>
      </c>
      <c r="DG29" t="s">
        <v>1309</v>
      </c>
      <c r="DH29" t="s">
        <v>1309</v>
      </c>
      <c r="DI29" t="s">
        <v>1309</v>
      </c>
      <c r="DJ29" t="s">
        <v>1309</v>
      </c>
      <c r="DK29" t="s">
        <v>1309</v>
      </c>
      <c r="DM29" t="s">
        <v>4436</v>
      </c>
      <c r="DO29" t="s">
        <v>1308</v>
      </c>
      <c r="DP29" t="s">
        <v>1310</v>
      </c>
      <c r="DQ29" t="s">
        <v>1309</v>
      </c>
      <c r="DR29" t="s">
        <v>1309</v>
      </c>
      <c r="DS29" t="s">
        <v>1309</v>
      </c>
      <c r="DT29" t="s">
        <v>1309</v>
      </c>
      <c r="DU29" t="s">
        <v>1309</v>
      </c>
      <c r="DV29" t="s">
        <v>1309</v>
      </c>
      <c r="DX29" t="s">
        <v>1358</v>
      </c>
      <c r="DY29" t="s">
        <v>1319</v>
      </c>
      <c r="DZ29">
        <v>200</v>
      </c>
      <c r="EC29" t="s">
        <v>1358</v>
      </c>
      <c r="ED29">
        <v>200</v>
      </c>
      <c r="EF29">
        <v>800</v>
      </c>
      <c r="EG29" t="s">
        <v>1703</v>
      </c>
      <c r="EH29" t="s">
        <v>1310</v>
      </c>
      <c r="EI29" t="s">
        <v>1309</v>
      </c>
      <c r="EJ29" t="s">
        <v>1309</v>
      </c>
      <c r="EK29" t="s">
        <v>1309</v>
      </c>
      <c r="EL29" t="s">
        <v>1309</v>
      </c>
      <c r="EM29" t="s">
        <v>1309</v>
      </c>
      <c r="EN29" t="s">
        <v>1309</v>
      </c>
      <c r="EO29" t="s">
        <v>1309</v>
      </c>
      <c r="EQ29" t="s">
        <v>1307</v>
      </c>
      <c r="ER29" t="s">
        <v>1319</v>
      </c>
      <c r="ES29" t="s">
        <v>1319</v>
      </c>
      <c r="EU29" t="s">
        <v>2971</v>
      </c>
      <c r="EV29" t="s">
        <v>1309</v>
      </c>
      <c r="EW29" t="s">
        <v>1309</v>
      </c>
      <c r="EX29" t="s">
        <v>1309</v>
      </c>
      <c r="EY29" t="s">
        <v>1309</v>
      </c>
      <c r="EZ29" t="s">
        <v>1309</v>
      </c>
      <c r="FA29" t="s">
        <v>1310</v>
      </c>
      <c r="FB29" t="s">
        <v>1310</v>
      </c>
      <c r="FC29" t="s">
        <v>1310</v>
      </c>
      <c r="FD29" t="s">
        <v>1309</v>
      </c>
      <c r="FE29" t="s">
        <v>1309</v>
      </c>
      <c r="FF29" t="s">
        <v>1309</v>
      </c>
      <c r="FG29" t="s">
        <v>1309</v>
      </c>
      <c r="FH29" t="s">
        <v>1310</v>
      </c>
      <c r="FI29" t="s">
        <v>1309</v>
      </c>
      <c r="FJ29" t="s">
        <v>1309</v>
      </c>
      <c r="FK29" t="s">
        <v>1309</v>
      </c>
      <c r="FL29" t="s">
        <v>1309</v>
      </c>
      <c r="FN29" t="s">
        <v>1319</v>
      </c>
      <c r="FO29" t="s">
        <v>2972</v>
      </c>
      <c r="FP29" t="s">
        <v>1310</v>
      </c>
      <c r="FQ29" t="s">
        <v>1309</v>
      </c>
      <c r="FR29" t="s">
        <v>1309</v>
      </c>
      <c r="FS29" t="s">
        <v>1309</v>
      </c>
      <c r="FT29" t="s">
        <v>1310</v>
      </c>
      <c r="FU29" t="s">
        <v>1309</v>
      </c>
      <c r="FV29" t="s">
        <v>1309</v>
      </c>
      <c r="FW29" t="s">
        <v>1309</v>
      </c>
      <c r="FX29" t="s">
        <v>1309</v>
      </c>
      <c r="FY29" t="s">
        <v>1309</v>
      </c>
      <c r="FZ29" t="s">
        <v>1309</v>
      </c>
      <c r="GA29" t="s">
        <v>1309</v>
      </c>
      <c r="GC29" t="s">
        <v>1324</v>
      </c>
      <c r="GD29" t="s">
        <v>1324</v>
      </c>
      <c r="GN29" t="s">
        <v>1328</v>
      </c>
      <c r="GO29" t="s">
        <v>2368</v>
      </c>
      <c r="GP29" t="s">
        <v>1309</v>
      </c>
      <c r="GQ29" t="s">
        <v>1309</v>
      </c>
      <c r="GR29" t="s">
        <v>1310</v>
      </c>
      <c r="GS29" t="s">
        <v>1309</v>
      </c>
      <c r="GT29" t="s">
        <v>1310</v>
      </c>
      <c r="GU29" t="s">
        <v>1309</v>
      </c>
      <c r="GV29" t="s">
        <v>1309</v>
      </c>
      <c r="GW29" t="s">
        <v>1309</v>
      </c>
      <c r="GX29" t="s">
        <v>1309</v>
      </c>
      <c r="GY29" t="s">
        <v>1309</v>
      </c>
      <c r="GZ29" t="s">
        <v>1309</v>
      </c>
      <c r="HB29" t="s">
        <v>1319</v>
      </c>
      <c r="HC29" t="s">
        <v>2261</v>
      </c>
      <c r="HD29" t="s">
        <v>1310</v>
      </c>
      <c r="HE29" t="s">
        <v>1309</v>
      </c>
      <c r="HF29" t="s">
        <v>1309</v>
      </c>
      <c r="HG29" t="s">
        <v>1310</v>
      </c>
      <c r="HH29" t="s">
        <v>1310</v>
      </c>
      <c r="HI29" t="s">
        <v>1309</v>
      </c>
      <c r="HJ29" t="s">
        <v>1309</v>
      </c>
      <c r="HK29" t="s">
        <v>1309</v>
      </c>
      <c r="HL29" t="s">
        <v>1309</v>
      </c>
      <c r="HM29" t="s">
        <v>1309</v>
      </c>
      <c r="HN29" t="s">
        <v>1309</v>
      </c>
      <c r="HO29" t="s">
        <v>1309</v>
      </c>
      <c r="HP29" t="s">
        <v>1309</v>
      </c>
      <c r="HR29" t="s">
        <v>1620</v>
      </c>
      <c r="HS29" t="s">
        <v>1310</v>
      </c>
      <c r="HT29" t="s">
        <v>1310</v>
      </c>
      <c r="HU29" t="s">
        <v>1309</v>
      </c>
      <c r="HV29" t="s">
        <v>1309</v>
      </c>
      <c r="HW29" t="s">
        <v>1310</v>
      </c>
      <c r="HX29" t="s">
        <v>1309</v>
      </c>
      <c r="HY29" t="s">
        <v>1309</v>
      </c>
      <c r="HZ29" t="s">
        <v>1309</v>
      </c>
      <c r="IB29" s="92" t="s">
        <v>1815</v>
      </c>
      <c r="IC29" s="92" t="s">
        <v>2973</v>
      </c>
      <c r="ID29" s="92">
        <v>24</v>
      </c>
      <c r="IE29" s="92" t="s">
        <v>1307</v>
      </c>
      <c r="IF29" s="92" t="s">
        <v>4396</v>
      </c>
      <c r="IG29" s="92" t="s">
        <v>1336</v>
      </c>
      <c r="IH29" s="92" t="s">
        <v>1296</v>
      </c>
      <c r="II29" s="92" t="s">
        <v>70</v>
      </c>
      <c r="IJ29" s="92" t="s">
        <v>5549</v>
      </c>
      <c r="IK29" s="92" t="s">
        <v>1398</v>
      </c>
      <c r="IL29" s="92" t="s">
        <v>4845</v>
      </c>
      <c r="IM29" s="92" t="s">
        <v>1338</v>
      </c>
      <c r="IN29" s="92" t="s">
        <v>109</v>
      </c>
      <c r="IO29" s="92" t="s">
        <v>4848</v>
      </c>
      <c r="IP29" s="92" t="s">
        <v>1340</v>
      </c>
      <c r="IQ29" s="92">
        <v>200</v>
      </c>
      <c r="IR29" s="92" t="s">
        <v>1340</v>
      </c>
      <c r="IS29" s="92" t="s">
        <v>192</v>
      </c>
      <c r="IT29" s="92" t="s">
        <v>109</v>
      </c>
      <c r="IU29" s="92" t="s">
        <v>192</v>
      </c>
      <c r="IV29" s="92" t="s">
        <v>109</v>
      </c>
      <c r="IW29" s="92" t="s">
        <v>1373</v>
      </c>
      <c r="IX29" s="92">
        <v>1000</v>
      </c>
      <c r="IY29" s="92" t="s">
        <v>1340</v>
      </c>
      <c r="IZ29" s="92" t="s">
        <v>1374</v>
      </c>
      <c r="JA29" s="92" t="s">
        <v>1401</v>
      </c>
      <c r="JB29" s="92" t="s">
        <v>192</v>
      </c>
      <c r="JC29" s="92" t="s">
        <v>5795</v>
      </c>
      <c r="JD29" s="92" t="s">
        <v>109</v>
      </c>
      <c r="JE29" s="92" t="s">
        <v>109</v>
      </c>
      <c r="JF29" s="92" t="s">
        <v>1340</v>
      </c>
      <c r="JG29" s="92" t="s">
        <v>1340</v>
      </c>
      <c r="JH29" s="92"/>
      <c r="JI29" s="92"/>
    </row>
    <row r="30" spans="1:269" x14ac:dyDescent="0.25">
      <c r="A30" t="s">
        <v>2974</v>
      </c>
      <c r="B30" t="s">
        <v>2975</v>
      </c>
      <c r="C30" t="s">
        <v>1305</v>
      </c>
      <c r="D30" t="s">
        <v>1306</v>
      </c>
      <c r="F30" t="s">
        <v>1307</v>
      </c>
      <c r="G30" t="s">
        <v>1319</v>
      </c>
      <c r="H30">
        <v>2</v>
      </c>
      <c r="I30" t="s">
        <v>1307</v>
      </c>
      <c r="J30" t="s">
        <v>2336</v>
      </c>
      <c r="K30" t="s">
        <v>1310</v>
      </c>
      <c r="L30" t="s">
        <v>1310</v>
      </c>
      <c r="M30" t="s">
        <v>1309</v>
      </c>
      <c r="N30" t="s">
        <v>1309</v>
      </c>
      <c r="O30" t="s">
        <v>1309</v>
      </c>
      <c r="P30" t="s">
        <v>1310</v>
      </c>
      <c r="Q30" t="s">
        <v>1309</v>
      </c>
      <c r="R30" t="s">
        <v>1309</v>
      </c>
      <c r="S30">
        <v>1</v>
      </c>
      <c r="U30" t="s">
        <v>1312</v>
      </c>
      <c r="V30" t="s">
        <v>1312</v>
      </c>
      <c r="W30" t="s">
        <v>1312</v>
      </c>
      <c r="X30" t="s">
        <v>1312</v>
      </c>
      <c r="Y30" t="s">
        <v>1312</v>
      </c>
      <c r="Z30" t="s">
        <v>1312</v>
      </c>
      <c r="AC30">
        <v>2</v>
      </c>
      <c r="AD30">
        <v>25000</v>
      </c>
      <c r="AE30">
        <v>15000</v>
      </c>
      <c r="AF30" t="s">
        <v>1351</v>
      </c>
      <c r="AH30" t="s">
        <v>1319</v>
      </c>
      <c r="AI30" t="s">
        <v>4879</v>
      </c>
      <c r="AK30" t="s">
        <v>1307</v>
      </c>
      <c r="CG30" t="s">
        <v>2976</v>
      </c>
      <c r="CH30" t="s">
        <v>1310</v>
      </c>
      <c r="CI30" t="s">
        <v>1309</v>
      </c>
      <c r="CJ30" t="s">
        <v>1309</v>
      </c>
      <c r="CK30" t="s">
        <v>1310</v>
      </c>
      <c r="CL30" t="s">
        <v>1309</v>
      </c>
      <c r="CM30" t="s">
        <v>1309</v>
      </c>
      <c r="CN30" t="s">
        <v>1309</v>
      </c>
      <c r="CO30" t="s">
        <v>1309</v>
      </c>
      <c r="CP30" t="s">
        <v>1309</v>
      </c>
      <c r="CQ30" t="s">
        <v>1309</v>
      </c>
      <c r="CR30" t="s">
        <v>1309</v>
      </c>
      <c r="CS30" t="s">
        <v>1309</v>
      </c>
      <c r="CT30" t="s">
        <v>1309</v>
      </c>
      <c r="CU30" t="s">
        <v>1309</v>
      </c>
      <c r="CV30" t="s">
        <v>1309</v>
      </c>
      <c r="CX30" t="s">
        <v>1384</v>
      </c>
      <c r="CY30" t="s">
        <v>1310</v>
      </c>
      <c r="CZ30" t="s">
        <v>1309</v>
      </c>
      <c r="DA30" t="s">
        <v>1309</v>
      </c>
      <c r="DB30" t="s">
        <v>1309</v>
      </c>
      <c r="DC30" t="s">
        <v>1309</v>
      </c>
      <c r="DD30" t="s">
        <v>1309</v>
      </c>
      <c r="DE30" t="s">
        <v>1309</v>
      </c>
      <c r="DF30" t="s">
        <v>1309</v>
      </c>
      <c r="DG30" t="s">
        <v>1309</v>
      </c>
      <c r="DH30" t="s">
        <v>1309</v>
      </c>
      <c r="DI30" t="s">
        <v>1309</v>
      </c>
      <c r="DJ30" t="s">
        <v>1309</v>
      </c>
      <c r="DK30" t="s">
        <v>1309</v>
      </c>
      <c r="DM30" t="s">
        <v>4436</v>
      </c>
      <c r="DO30" t="s">
        <v>1308</v>
      </c>
      <c r="DP30" t="s">
        <v>1310</v>
      </c>
      <c r="DQ30" t="s">
        <v>1309</v>
      </c>
      <c r="DR30" t="s">
        <v>1309</v>
      </c>
      <c r="DS30" t="s">
        <v>1309</v>
      </c>
      <c r="DT30" t="s">
        <v>1309</v>
      </c>
      <c r="DU30" t="s">
        <v>1309</v>
      </c>
      <c r="DV30" t="s">
        <v>1309</v>
      </c>
      <c r="DX30" t="s">
        <v>1358</v>
      </c>
      <c r="DY30" t="s">
        <v>1319</v>
      </c>
      <c r="DZ30">
        <v>300</v>
      </c>
      <c r="EA30">
        <v>12000</v>
      </c>
      <c r="EB30">
        <v>700</v>
      </c>
      <c r="EC30" t="s">
        <v>1358</v>
      </c>
      <c r="ED30">
        <v>300</v>
      </c>
      <c r="EF30">
        <v>800</v>
      </c>
      <c r="EG30" t="s">
        <v>1703</v>
      </c>
      <c r="EH30" t="s">
        <v>1310</v>
      </c>
      <c r="EI30" t="s">
        <v>1309</v>
      </c>
      <c r="EJ30" t="s">
        <v>1309</v>
      </c>
      <c r="EK30" t="s">
        <v>1309</v>
      </c>
      <c r="EL30" t="s">
        <v>1309</v>
      </c>
      <c r="EM30" t="s">
        <v>1309</v>
      </c>
      <c r="EN30" t="s">
        <v>1309</v>
      </c>
      <c r="EO30" t="s">
        <v>1309</v>
      </c>
      <c r="EQ30" t="s">
        <v>1307</v>
      </c>
      <c r="ER30" t="s">
        <v>1319</v>
      </c>
      <c r="ES30" t="s">
        <v>1319</v>
      </c>
      <c r="EU30" t="s">
        <v>2136</v>
      </c>
      <c r="EV30" t="s">
        <v>1309</v>
      </c>
      <c r="EW30" t="s">
        <v>1309</v>
      </c>
      <c r="EX30" t="s">
        <v>1309</v>
      </c>
      <c r="EY30" t="s">
        <v>1309</v>
      </c>
      <c r="EZ30" t="s">
        <v>1309</v>
      </c>
      <c r="FA30" t="s">
        <v>1309</v>
      </c>
      <c r="FB30" t="s">
        <v>1310</v>
      </c>
      <c r="FC30" t="s">
        <v>1310</v>
      </c>
      <c r="FD30" t="s">
        <v>1309</v>
      </c>
      <c r="FE30" t="s">
        <v>1309</v>
      </c>
      <c r="FF30" t="s">
        <v>1309</v>
      </c>
      <c r="FG30" t="s">
        <v>1309</v>
      </c>
      <c r="FH30" t="s">
        <v>1310</v>
      </c>
      <c r="FI30" t="s">
        <v>1309</v>
      </c>
      <c r="FJ30" t="s">
        <v>1309</v>
      </c>
      <c r="FK30" t="s">
        <v>1309</v>
      </c>
      <c r="FL30" t="s">
        <v>1309</v>
      </c>
      <c r="FN30" t="s">
        <v>1307</v>
      </c>
      <c r="GC30" t="s">
        <v>1324</v>
      </c>
      <c r="GD30" t="s">
        <v>1324</v>
      </c>
      <c r="GN30" t="s">
        <v>1364</v>
      </c>
      <c r="HB30" t="s">
        <v>1319</v>
      </c>
      <c r="HC30" t="s">
        <v>2873</v>
      </c>
      <c r="HD30" t="s">
        <v>1310</v>
      </c>
      <c r="HE30" t="s">
        <v>1309</v>
      </c>
      <c r="HF30" t="s">
        <v>1309</v>
      </c>
      <c r="HG30" t="s">
        <v>1309</v>
      </c>
      <c r="HH30" t="s">
        <v>1309</v>
      </c>
      <c r="HI30" t="s">
        <v>1309</v>
      </c>
      <c r="HJ30" t="s">
        <v>1309</v>
      </c>
      <c r="HK30" t="s">
        <v>1310</v>
      </c>
      <c r="HL30" t="s">
        <v>1309</v>
      </c>
      <c r="HM30" t="s">
        <v>1309</v>
      </c>
      <c r="HN30" t="s">
        <v>1309</v>
      </c>
      <c r="HO30" t="s">
        <v>1309</v>
      </c>
      <c r="HP30" t="s">
        <v>1309</v>
      </c>
      <c r="HR30" t="s">
        <v>1566</v>
      </c>
      <c r="HS30" t="s">
        <v>1310</v>
      </c>
      <c r="HT30" t="s">
        <v>1309</v>
      </c>
      <c r="HU30" t="s">
        <v>1309</v>
      </c>
      <c r="HV30" t="s">
        <v>1309</v>
      </c>
      <c r="HW30" t="s">
        <v>1310</v>
      </c>
      <c r="HX30" t="s">
        <v>1309</v>
      </c>
      <c r="HY30" t="s">
        <v>1309</v>
      </c>
      <c r="HZ30" t="s">
        <v>1309</v>
      </c>
      <c r="IB30" s="92" t="s">
        <v>1516</v>
      </c>
      <c r="IC30" s="92" t="s">
        <v>1849</v>
      </c>
      <c r="ID30" s="92">
        <v>29</v>
      </c>
      <c r="IE30" s="92" t="s">
        <v>1307</v>
      </c>
      <c r="IF30" s="92" t="s">
        <v>4396</v>
      </c>
      <c r="IG30" s="92" t="s">
        <v>1336</v>
      </c>
      <c r="IH30" s="92" t="s">
        <v>1296</v>
      </c>
      <c r="II30" s="92" t="s">
        <v>70</v>
      </c>
      <c r="IJ30" s="92" t="s">
        <v>5549</v>
      </c>
      <c r="IK30" s="92" t="s">
        <v>1398</v>
      </c>
      <c r="IL30" s="92" t="s">
        <v>4845</v>
      </c>
      <c r="IM30" s="92" t="s">
        <v>1399</v>
      </c>
      <c r="IN30" s="92" t="s">
        <v>109</v>
      </c>
      <c r="IO30" s="92" t="s">
        <v>4847</v>
      </c>
      <c r="IP30" s="92" t="s">
        <v>1416</v>
      </c>
      <c r="IQ30" s="92">
        <v>13000</v>
      </c>
      <c r="IR30" s="92" t="s">
        <v>1400</v>
      </c>
      <c r="IS30" s="92" t="s">
        <v>192</v>
      </c>
      <c r="IT30" s="92" t="s">
        <v>192</v>
      </c>
      <c r="IU30" s="92" t="s">
        <v>192</v>
      </c>
      <c r="IV30" s="92" t="s">
        <v>109</v>
      </c>
      <c r="IW30" s="92" t="s">
        <v>1341</v>
      </c>
      <c r="IX30" s="92">
        <v>1100</v>
      </c>
      <c r="IY30" s="92" t="s">
        <v>1372</v>
      </c>
      <c r="IZ30" s="92" t="s">
        <v>1440</v>
      </c>
      <c r="JA30" s="92" t="s">
        <v>1401</v>
      </c>
      <c r="JB30" s="92" t="s">
        <v>192</v>
      </c>
      <c r="JC30" s="92" t="s">
        <v>5795</v>
      </c>
      <c r="JD30" s="92" t="s">
        <v>109</v>
      </c>
      <c r="JE30" s="92" t="s">
        <v>109</v>
      </c>
      <c r="JF30" s="92" t="s">
        <v>4439</v>
      </c>
      <c r="JG30" s="92" t="s">
        <v>1372</v>
      </c>
      <c r="JH30" s="92" t="s">
        <v>192</v>
      </c>
      <c r="JI30" s="92" t="s">
        <v>109</v>
      </c>
    </row>
    <row r="31" spans="1:269" x14ac:dyDescent="0.25">
      <c r="A31" t="s">
        <v>2977</v>
      </c>
      <c r="B31" t="s">
        <v>2978</v>
      </c>
      <c r="C31" t="s">
        <v>1305</v>
      </c>
      <c r="D31" t="s">
        <v>1306</v>
      </c>
      <c r="F31" t="s">
        <v>1307</v>
      </c>
      <c r="G31" t="s">
        <v>1319</v>
      </c>
      <c r="H31">
        <v>4</v>
      </c>
      <c r="I31" t="s">
        <v>1307</v>
      </c>
      <c r="J31" t="s">
        <v>1406</v>
      </c>
      <c r="K31" t="s">
        <v>1309</v>
      </c>
      <c r="L31" t="s">
        <v>1310</v>
      </c>
      <c r="M31" t="s">
        <v>1309</v>
      </c>
      <c r="N31" t="s">
        <v>1309</v>
      </c>
      <c r="O31" t="s">
        <v>1309</v>
      </c>
      <c r="P31" t="s">
        <v>1309</v>
      </c>
      <c r="Q31" t="s">
        <v>1309</v>
      </c>
      <c r="R31" t="s">
        <v>1309</v>
      </c>
      <c r="S31">
        <v>2</v>
      </c>
      <c r="U31" t="s">
        <v>1312</v>
      </c>
      <c r="V31" t="s">
        <v>1312</v>
      </c>
      <c r="W31" t="s">
        <v>1312</v>
      </c>
      <c r="X31" t="s">
        <v>1312</v>
      </c>
      <c r="Y31" t="s">
        <v>1312</v>
      </c>
      <c r="Z31" t="s">
        <v>1312</v>
      </c>
      <c r="AC31">
        <v>2</v>
      </c>
      <c r="AE31">
        <v>20000</v>
      </c>
      <c r="AF31" t="s">
        <v>1313</v>
      </c>
      <c r="AH31" t="s">
        <v>1319</v>
      </c>
      <c r="AI31" t="s">
        <v>4876</v>
      </c>
      <c r="AK31" t="s">
        <v>1319</v>
      </c>
      <c r="AL31" t="s">
        <v>1315</v>
      </c>
      <c r="AN31" t="s">
        <v>1316</v>
      </c>
      <c r="BU31" t="s">
        <v>2853</v>
      </c>
      <c r="BV31" t="s">
        <v>1310</v>
      </c>
      <c r="BW31" t="s">
        <v>1309</v>
      </c>
      <c r="BX31" t="s">
        <v>1309</v>
      </c>
      <c r="BY31" t="s">
        <v>1309</v>
      </c>
      <c r="BZ31" t="s">
        <v>1309</v>
      </c>
      <c r="CA31" t="s">
        <v>1309</v>
      </c>
      <c r="CB31" t="s">
        <v>1309</v>
      </c>
      <c r="CC31" t="s">
        <v>1309</v>
      </c>
      <c r="CD31" t="s">
        <v>1309</v>
      </c>
      <c r="CE31" t="s">
        <v>1309</v>
      </c>
      <c r="CX31" t="s">
        <v>1384</v>
      </c>
      <c r="CY31" t="s">
        <v>1310</v>
      </c>
      <c r="CZ31" t="s">
        <v>1309</v>
      </c>
      <c r="DA31" t="s">
        <v>1309</v>
      </c>
      <c r="DB31" t="s">
        <v>1309</v>
      </c>
      <c r="DC31" t="s">
        <v>1309</v>
      </c>
      <c r="DD31" t="s">
        <v>1309</v>
      </c>
      <c r="DE31" t="s">
        <v>1309</v>
      </c>
      <c r="DF31" t="s">
        <v>1309</v>
      </c>
      <c r="DG31" t="s">
        <v>1309</v>
      </c>
      <c r="DH31" t="s">
        <v>1309</v>
      </c>
      <c r="DI31" t="s">
        <v>1309</v>
      </c>
      <c r="DJ31" t="s">
        <v>1309</v>
      </c>
      <c r="DK31" t="s">
        <v>1309</v>
      </c>
      <c r="DM31" t="s">
        <v>4435</v>
      </c>
      <c r="DO31" t="s">
        <v>1308</v>
      </c>
      <c r="DP31" t="s">
        <v>1310</v>
      </c>
      <c r="DQ31" t="s">
        <v>1309</v>
      </c>
      <c r="DR31" t="s">
        <v>1309</v>
      </c>
      <c r="DS31" t="s">
        <v>1309</v>
      </c>
      <c r="DT31" t="s">
        <v>1309</v>
      </c>
      <c r="DU31" t="s">
        <v>1309</v>
      </c>
      <c r="DV31" t="s">
        <v>1309</v>
      </c>
      <c r="DX31" t="s">
        <v>1358</v>
      </c>
      <c r="DY31" t="s">
        <v>1319</v>
      </c>
      <c r="EA31">
        <v>800</v>
      </c>
      <c r="EC31" t="s">
        <v>1358</v>
      </c>
      <c r="ED31">
        <v>300</v>
      </c>
      <c r="EE31">
        <v>2500</v>
      </c>
      <c r="EF31">
        <v>700</v>
      </c>
      <c r="EG31" t="s">
        <v>1703</v>
      </c>
      <c r="EH31" t="s">
        <v>1310</v>
      </c>
      <c r="EI31" t="s">
        <v>1309</v>
      </c>
      <c r="EJ31" t="s">
        <v>1309</v>
      </c>
      <c r="EK31" t="s">
        <v>1309</v>
      </c>
      <c r="EL31" t="s">
        <v>1309</v>
      </c>
      <c r="EM31" t="s">
        <v>1309</v>
      </c>
      <c r="EN31" t="s">
        <v>1309</v>
      </c>
      <c r="EO31" t="s">
        <v>1309</v>
      </c>
      <c r="EQ31" t="s">
        <v>1307</v>
      </c>
      <c r="ER31" t="s">
        <v>1319</v>
      </c>
      <c r="ES31" t="s">
        <v>1319</v>
      </c>
      <c r="EU31" t="s">
        <v>2979</v>
      </c>
      <c r="EV31" t="s">
        <v>1309</v>
      </c>
      <c r="EW31" t="s">
        <v>1309</v>
      </c>
      <c r="EX31" t="s">
        <v>1309</v>
      </c>
      <c r="EY31" t="s">
        <v>1309</v>
      </c>
      <c r="EZ31" t="s">
        <v>1309</v>
      </c>
      <c r="FA31" t="s">
        <v>1310</v>
      </c>
      <c r="FB31" t="s">
        <v>1310</v>
      </c>
      <c r="FC31" t="s">
        <v>1310</v>
      </c>
      <c r="FD31" t="s">
        <v>1310</v>
      </c>
      <c r="FE31" t="s">
        <v>1309</v>
      </c>
      <c r="FF31" t="s">
        <v>1309</v>
      </c>
      <c r="FG31" t="s">
        <v>1309</v>
      </c>
      <c r="FH31" t="s">
        <v>1310</v>
      </c>
      <c r="FI31" t="s">
        <v>1309</v>
      </c>
      <c r="FJ31" t="s">
        <v>1309</v>
      </c>
      <c r="FK31" t="s">
        <v>1309</v>
      </c>
      <c r="FL31" t="s">
        <v>1309</v>
      </c>
      <c r="FN31" t="s">
        <v>1319</v>
      </c>
      <c r="FO31" t="s">
        <v>2980</v>
      </c>
      <c r="FP31" t="s">
        <v>1310</v>
      </c>
      <c r="FQ31" t="s">
        <v>1309</v>
      </c>
      <c r="FR31" t="s">
        <v>1310</v>
      </c>
      <c r="FS31" t="s">
        <v>1309</v>
      </c>
      <c r="FT31" t="s">
        <v>1310</v>
      </c>
      <c r="FU31" t="s">
        <v>1310</v>
      </c>
      <c r="FV31" t="s">
        <v>1309</v>
      </c>
      <c r="FW31" t="s">
        <v>1309</v>
      </c>
      <c r="FX31" t="s">
        <v>1309</v>
      </c>
      <c r="FY31" t="s">
        <v>1309</v>
      </c>
      <c r="FZ31" t="s">
        <v>1309</v>
      </c>
      <c r="GA31" t="s">
        <v>1309</v>
      </c>
      <c r="GC31" t="s">
        <v>1324</v>
      </c>
      <c r="GD31" t="s">
        <v>1324</v>
      </c>
      <c r="GN31" t="s">
        <v>1328</v>
      </c>
      <c r="GO31" t="s">
        <v>2368</v>
      </c>
      <c r="GP31" t="s">
        <v>1309</v>
      </c>
      <c r="GQ31" t="s">
        <v>1309</v>
      </c>
      <c r="GR31" t="s">
        <v>1310</v>
      </c>
      <c r="GS31" t="s">
        <v>1309</v>
      </c>
      <c r="GT31" t="s">
        <v>1310</v>
      </c>
      <c r="GU31" t="s">
        <v>1309</v>
      </c>
      <c r="GV31" t="s">
        <v>1309</v>
      </c>
      <c r="GW31" t="s">
        <v>1309</v>
      </c>
      <c r="GX31" t="s">
        <v>1309</v>
      </c>
      <c r="GY31" t="s">
        <v>1309</v>
      </c>
      <c r="GZ31" t="s">
        <v>1309</v>
      </c>
      <c r="HB31" t="s">
        <v>1307</v>
      </c>
      <c r="HR31" t="s">
        <v>1451</v>
      </c>
      <c r="HS31" t="s">
        <v>1310</v>
      </c>
      <c r="HT31" t="s">
        <v>1309</v>
      </c>
      <c r="HU31" t="s">
        <v>1309</v>
      </c>
      <c r="HV31" t="s">
        <v>1310</v>
      </c>
      <c r="HW31" t="s">
        <v>1309</v>
      </c>
      <c r="HX31" t="s">
        <v>1309</v>
      </c>
      <c r="HY31" t="s">
        <v>1309</v>
      </c>
      <c r="HZ31" t="s">
        <v>1309</v>
      </c>
      <c r="IB31" s="92" t="s">
        <v>1333</v>
      </c>
      <c r="IC31" s="92" t="s">
        <v>1334</v>
      </c>
      <c r="ID31" s="92">
        <v>36</v>
      </c>
      <c r="IE31" s="92" t="s">
        <v>1307</v>
      </c>
      <c r="IF31" s="92" t="s">
        <v>4398</v>
      </c>
      <c r="IG31" s="92" t="s">
        <v>1336</v>
      </c>
      <c r="IH31" s="92" t="s">
        <v>1296</v>
      </c>
      <c r="II31" s="92" t="s">
        <v>71</v>
      </c>
      <c r="IJ31" s="92" t="s">
        <v>5549</v>
      </c>
      <c r="IK31" s="92" t="s">
        <v>1337</v>
      </c>
      <c r="IL31" s="92" t="s">
        <v>4845</v>
      </c>
      <c r="IM31" s="92" t="s">
        <v>1415</v>
      </c>
      <c r="IN31" s="92" t="s">
        <v>109</v>
      </c>
      <c r="IO31" s="92" t="s">
        <v>4847</v>
      </c>
      <c r="IP31" s="92" t="s">
        <v>1340</v>
      </c>
      <c r="IQ31" s="92">
        <v>800</v>
      </c>
      <c r="IR31" s="92" t="s">
        <v>1340</v>
      </c>
      <c r="IS31" s="92" t="s">
        <v>109</v>
      </c>
      <c r="IT31" s="92" t="s">
        <v>192</v>
      </c>
      <c r="IU31" s="92" t="s">
        <v>192</v>
      </c>
      <c r="IV31" s="92" t="s">
        <v>192</v>
      </c>
      <c r="IW31" s="92" t="s">
        <v>1374</v>
      </c>
      <c r="IX31" s="92">
        <v>3500</v>
      </c>
      <c r="IY31" s="92" t="s">
        <v>1340</v>
      </c>
      <c r="IZ31" s="92" t="s">
        <v>1341</v>
      </c>
      <c r="JA31" s="92" t="s">
        <v>1342</v>
      </c>
      <c r="JB31" s="92" t="s">
        <v>192</v>
      </c>
      <c r="JC31" s="92" t="s">
        <v>5795</v>
      </c>
      <c r="JD31" s="92" t="s">
        <v>109</v>
      </c>
      <c r="JE31" s="92" t="s">
        <v>109</v>
      </c>
      <c r="JF31" s="92" t="s">
        <v>1340</v>
      </c>
      <c r="JG31" s="92" t="s">
        <v>1340</v>
      </c>
      <c r="JH31" s="92"/>
      <c r="JI31" s="92"/>
    </row>
    <row r="32" spans="1:269" x14ac:dyDescent="0.25">
      <c r="A32" t="s">
        <v>2981</v>
      </c>
      <c r="B32" t="s">
        <v>2982</v>
      </c>
      <c r="C32" t="s">
        <v>1305</v>
      </c>
      <c r="D32" t="s">
        <v>1381</v>
      </c>
      <c r="F32" t="s">
        <v>1319</v>
      </c>
      <c r="G32" t="s">
        <v>1319</v>
      </c>
      <c r="H32">
        <v>2</v>
      </c>
      <c r="I32" t="s">
        <v>1358</v>
      </c>
      <c r="J32" t="s">
        <v>1382</v>
      </c>
      <c r="K32" t="s">
        <v>1309</v>
      </c>
      <c r="L32" t="s">
        <v>1310</v>
      </c>
      <c r="M32" t="s">
        <v>1309</v>
      </c>
      <c r="N32" t="s">
        <v>1309</v>
      </c>
      <c r="O32" t="s">
        <v>1309</v>
      </c>
      <c r="P32" t="s">
        <v>1310</v>
      </c>
      <c r="Q32" t="s">
        <v>1309</v>
      </c>
      <c r="R32" t="s">
        <v>1309</v>
      </c>
      <c r="S32">
        <v>1</v>
      </c>
      <c r="U32" t="s">
        <v>1311</v>
      </c>
      <c r="V32" t="s">
        <v>1312</v>
      </c>
      <c r="W32" t="s">
        <v>1311</v>
      </c>
      <c r="X32" t="s">
        <v>1312</v>
      </c>
      <c r="Y32" t="s">
        <v>1312</v>
      </c>
      <c r="Z32" t="s">
        <v>1311</v>
      </c>
      <c r="AC32">
        <v>2</v>
      </c>
      <c r="AD32">
        <v>12000</v>
      </c>
      <c r="AE32">
        <v>8000</v>
      </c>
      <c r="AF32" t="s">
        <v>1351</v>
      </c>
      <c r="AH32" t="s">
        <v>1319</v>
      </c>
      <c r="AI32" t="s">
        <v>4879</v>
      </c>
      <c r="AK32" t="s">
        <v>1307</v>
      </c>
      <c r="CG32" t="s">
        <v>2849</v>
      </c>
      <c r="CH32" t="s">
        <v>1309</v>
      </c>
      <c r="CI32" t="s">
        <v>1309</v>
      </c>
      <c r="CJ32" t="s">
        <v>1309</v>
      </c>
      <c r="CK32" t="s">
        <v>1310</v>
      </c>
      <c r="CL32" t="s">
        <v>1309</v>
      </c>
      <c r="CM32" t="s">
        <v>1309</v>
      </c>
      <c r="CN32" t="s">
        <v>1309</v>
      </c>
      <c r="CO32" t="s">
        <v>1309</v>
      </c>
      <c r="CP32" t="s">
        <v>1310</v>
      </c>
      <c r="CQ32" t="s">
        <v>1309</v>
      </c>
      <c r="CR32" t="s">
        <v>1309</v>
      </c>
      <c r="CS32" t="s">
        <v>1309</v>
      </c>
      <c r="CT32" t="s">
        <v>1309</v>
      </c>
      <c r="CU32" t="s">
        <v>1309</v>
      </c>
      <c r="CV32" t="s">
        <v>1309</v>
      </c>
      <c r="CX32" t="s">
        <v>2135</v>
      </c>
      <c r="CY32" t="s">
        <v>1309</v>
      </c>
      <c r="CZ32" t="s">
        <v>1309</v>
      </c>
      <c r="DA32" t="s">
        <v>1309</v>
      </c>
      <c r="DB32" t="s">
        <v>1309</v>
      </c>
      <c r="DC32" t="s">
        <v>1309</v>
      </c>
      <c r="DD32" t="s">
        <v>1310</v>
      </c>
      <c r="DE32" t="s">
        <v>1309</v>
      </c>
      <c r="DF32" t="s">
        <v>1309</v>
      </c>
      <c r="DG32" t="s">
        <v>1309</v>
      </c>
      <c r="DH32" t="s">
        <v>1309</v>
      </c>
      <c r="DI32" t="s">
        <v>1309</v>
      </c>
      <c r="DJ32" t="s">
        <v>1309</v>
      </c>
      <c r="DK32" t="s">
        <v>1309</v>
      </c>
      <c r="DM32" t="s">
        <v>4434</v>
      </c>
      <c r="DO32" t="s">
        <v>1308</v>
      </c>
      <c r="DP32" t="s">
        <v>1310</v>
      </c>
      <c r="DQ32" t="s">
        <v>1309</v>
      </c>
      <c r="DR32" t="s">
        <v>1309</v>
      </c>
      <c r="DS32" t="s">
        <v>1309</v>
      </c>
      <c r="DT32" t="s">
        <v>1309</v>
      </c>
      <c r="DU32" t="s">
        <v>1309</v>
      </c>
      <c r="DV32" t="s">
        <v>1309</v>
      </c>
      <c r="DX32" t="s">
        <v>1358</v>
      </c>
      <c r="DZ32">
        <v>2000</v>
      </c>
      <c r="EB32">
        <v>300</v>
      </c>
      <c r="EC32" t="s">
        <v>1358</v>
      </c>
      <c r="ED32">
        <v>2500</v>
      </c>
      <c r="EF32">
        <v>300</v>
      </c>
      <c r="EG32" t="s">
        <v>2857</v>
      </c>
      <c r="EH32" t="s">
        <v>1310</v>
      </c>
      <c r="EI32" t="s">
        <v>1309</v>
      </c>
      <c r="EJ32" t="s">
        <v>1309</v>
      </c>
      <c r="EK32" t="s">
        <v>1309</v>
      </c>
      <c r="EL32" t="s">
        <v>1310</v>
      </c>
      <c r="EM32" t="s">
        <v>1309</v>
      </c>
      <c r="EN32" t="s">
        <v>1309</v>
      </c>
      <c r="EO32" t="s">
        <v>1309</v>
      </c>
      <c r="EQ32" t="s">
        <v>1307</v>
      </c>
      <c r="ER32" t="s">
        <v>1319</v>
      </c>
      <c r="ES32" t="s">
        <v>1319</v>
      </c>
      <c r="EU32" t="s">
        <v>1512</v>
      </c>
      <c r="EV32" t="s">
        <v>1310</v>
      </c>
      <c r="EW32" t="s">
        <v>1309</v>
      </c>
      <c r="EX32" t="s">
        <v>1310</v>
      </c>
      <c r="EY32" t="s">
        <v>1309</v>
      </c>
      <c r="EZ32" t="s">
        <v>1309</v>
      </c>
      <c r="FA32" t="s">
        <v>1309</v>
      </c>
      <c r="FB32" t="s">
        <v>1309</v>
      </c>
      <c r="FC32" t="s">
        <v>1310</v>
      </c>
      <c r="FD32" t="s">
        <v>1309</v>
      </c>
      <c r="FE32" t="s">
        <v>1309</v>
      </c>
      <c r="FF32" t="s">
        <v>1309</v>
      </c>
      <c r="FG32" t="s">
        <v>1309</v>
      </c>
      <c r="FH32" t="s">
        <v>1310</v>
      </c>
      <c r="FI32" t="s">
        <v>1309</v>
      </c>
      <c r="FJ32" t="s">
        <v>1309</v>
      </c>
      <c r="FK32" t="s">
        <v>1309</v>
      </c>
      <c r="FL32" t="s">
        <v>1309</v>
      </c>
      <c r="FN32" t="s">
        <v>1307</v>
      </c>
      <c r="GC32" t="s">
        <v>1324</v>
      </c>
      <c r="GD32" t="s">
        <v>1324</v>
      </c>
      <c r="GN32" t="s">
        <v>1364</v>
      </c>
      <c r="HB32" t="s">
        <v>1319</v>
      </c>
      <c r="HC32" t="s">
        <v>1423</v>
      </c>
      <c r="HD32" t="s">
        <v>1309</v>
      </c>
      <c r="HE32" t="s">
        <v>1309</v>
      </c>
      <c r="HF32" t="s">
        <v>1309</v>
      </c>
      <c r="HG32" t="s">
        <v>1309</v>
      </c>
      <c r="HH32" t="s">
        <v>1310</v>
      </c>
      <c r="HI32" t="s">
        <v>1309</v>
      </c>
      <c r="HJ32" t="s">
        <v>1309</v>
      </c>
      <c r="HK32" t="s">
        <v>1309</v>
      </c>
      <c r="HL32" t="s">
        <v>1309</v>
      </c>
      <c r="HM32" t="s">
        <v>1309</v>
      </c>
      <c r="HN32" t="s">
        <v>1309</v>
      </c>
      <c r="HO32" t="s">
        <v>1309</v>
      </c>
      <c r="HP32" t="s">
        <v>1309</v>
      </c>
      <c r="HR32" t="s">
        <v>1523</v>
      </c>
      <c r="HS32" t="s">
        <v>1309</v>
      </c>
      <c r="HT32" t="s">
        <v>1309</v>
      </c>
      <c r="HU32" t="s">
        <v>1309</v>
      </c>
      <c r="HV32" t="s">
        <v>1310</v>
      </c>
      <c r="HW32" t="s">
        <v>1309</v>
      </c>
      <c r="HX32" t="s">
        <v>1309</v>
      </c>
      <c r="HY32" t="s">
        <v>1309</v>
      </c>
      <c r="HZ32" t="s">
        <v>1309</v>
      </c>
      <c r="IB32" s="92" t="s">
        <v>1516</v>
      </c>
      <c r="IC32" s="92" t="s">
        <v>1660</v>
      </c>
      <c r="ID32" s="92">
        <v>29</v>
      </c>
      <c r="IE32" s="92" t="s">
        <v>1307</v>
      </c>
      <c r="IF32" s="92" t="s">
        <v>4395</v>
      </c>
      <c r="IG32" s="92" t="s">
        <v>1336</v>
      </c>
      <c r="IH32" s="92" t="s">
        <v>1296</v>
      </c>
      <c r="II32" s="92" t="s">
        <v>71</v>
      </c>
      <c r="IJ32" s="92" t="s">
        <v>1397</v>
      </c>
      <c r="IK32" s="92" t="s">
        <v>1398</v>
      </c>
      <c r="IL32" s="92" t="s">
        <v>4845</v>
      </c>
      <c r="IM32" s="92" t="s">
        <v>1399</v>
      </c>
      <c r="IN32" s="92" t="s">
        <v>109</v>
      </c>
      <c r="IO32" s="92" t="s">
        <v>4847</v>
      </c>
      <c r="IP32" s="92" t="s">
        <v>1371</v>
      </c>
      <c r="IQ32" s="92">
        <v>2300</v>
      </c>
      <c r="IR32" s="92" t="s">
        <v>4438</v>
      </c>
      <c r="IS32" s="92" t="s">
        <v>192</v>
      </c>
      <c r="IT32" s="92" t="s">
        <v>109</v>
      </c>
      <c r="IU32" s="92" t="s">
        <v>192</v>
      </c>
      <c r="IV32" s="92" t="s">
        <v>109</v>
      </c>
      <c r="IW32" s="92" t="s">
        <v>1425</v>
      </c>
      <c r="IX32" s="92">
        <v>2800</v>
      </c>
      <c r="IY32" s="92" t="s">
        <v>4438</v>
      </c>
      <c r="IZ32" s="92" t="s">
        <v>1425</v>
      </c>
      <c r="JA32" s="92" t="s">
        <v>1460</v>
      </c>
      <c r="JB32" s="92" t="s">
        <v>192</v>
      </c>
      <c r="JC32" s="92" t="s">
        <v>1403</v>
      </c>
      <c r="JD32" s="92" t="s">
        <v>109</v>
      </c>
      <c r="JE32" s="92" t="s">
        <v>109</v>
      </c>
      <c r="JF32" s="92" t="s">
        <v>4438</v>
      </c>
      <c r="JG32" s="92" t="s">
        <v>4439</v>
      </c>
      <c r="JH32" s="92" t="s">
        <v>109</v>
      </c>
      <c r="JI32" s="92" t="s">
        <v>109</v>
      </c>
    </row>
    <row r="33" spans="1:269" x14ac:dyDescent="0.25">
      <c r="A33" t="s">
        <v>2983</v>
      </c>
      <c r="B33" t="s">
        <v>2984</v>
      </c>
      <c r="C33" t="s">
        <v>1305</v>
      </c>
      <c r="D33" t="s">
        <v>1381</v>
      </c>
      <c r="F33" t="s">
        <v>1319</v>
      </c>
      <c r="G33" t="s">
        <v>1319</v>
      </c>
      <c r="H33">
        <v>1</v>
      </c>
      <c r="J33" t="s">
        <v>1479</v>
      </c>
      <c r="K33" t="s">
        <v>1309</v>
      </c>
      <c r="L33" t="s">
        <v>1309</v>
      </c>
      <c r="M33" t="s">
        <v>1309</v>
      </c>
      <c r="N33" t="s">
        <v>1309</v>
      </c>
      <c r="O33" t="s">
        <v>1310</v>
      </c>
      <c r="P33" t="s">
        <v>1309</v>
      </c>
      <c r="Q33" t="s">
        <v>1309</v>
      </c>
      <c r="R33" t="s">
        <v>1309</v>
      </c>
      <c r="U33" t="s">
        <v>1311</v>
      </c>
      <c r="V33" t="s">
        <v>1312</v>
      </c>
      <c r="W33" t="s">
        <v>1312</v>
      </c>
      <c r="X33" t="s">
        <v>1311</v>
      </c>
      <c r="Y33" t="s">
        <v>1312</v>
      </c>
      <c r="Z33" t="s">
        <v>1312</v>
      </c>
      <c r="AC33">
        <v>1</v>
      </c>
      <c r="AD33">
        <v>2500</v>
      </c>
      <c r="AE33">
        <v>2000</v>
      </c>
      <c r="AF33" t="s">
        <v>1313</v>
      </c>
      <c r="AH33" t="s">
        <v>1319</v>
      </c>
      <c r="AI33" t="s">
        <v>4879</v>
      </c>
      <c r="AK33" t="s">
        <v>1307</v>
      </c>
      <c r="CG33" t="s">
        <v>1698</v>
      </c>
      <c r="CH33" t="s">
        <v>1309</v>
      </c>
      <c r="CI33" t="s">
        <v>1309</v>
      </c>
      <c r="CJ33" t="s">
        <v>1309</v>
      </c>
      <c r="CK33" t="s">
        <v>1309</v>
      </c>
      <c r="CL33" t="s">
        <v>1309</v>
      </c>
      <c r="CM33" t="s">
        <v>1309</v>
      </c>
      <c r="CN33" t="s">
        <v>1309</v>
      </c>
      <c r="CO33" t="s">
        <v>1309</v>
      </c>
      <c r="CP33" t="s">
        <v>1309</v>
      </c>
      <c r="CQ33" t="s">
        <v>1309</v>
      </c>
      <c r="CR33" t="s">
        <v>1309</v>
      </c>
      <c r="CS33" t="s">
        <v>1309</v>
      </c>
      <c r="CT33" t="s">
        <v>1310</v>
      </c>
      <c r="CU33" t="s">
        <v>1309</v>
      </c>
      <c r="CV33" t="s">
        <v>1309</v>
      </c>
      <c r="CW33" t="s">
        <v>2985</v>
      </c>
      <c r="CX33" t="s">
        <v>1384</v>
      </c>
      <c r="CY33" t="s">
        <v>1310</v>
      </c>
      <c r="CZ33" t="s">
        <v>1309</v>
      </c>
      <c r="DA33" t="s">
        <v>1309</v>
      </c>
      <c r="DB33" t="s">
        <v>1309</v>
      </c>
      <c r="DC33" t="s">
        <v>1309</v>
      </c>
      <c r="DD33" t="s">
        <v>1309</v>
      </c>
      <c r="DE33" t="s">
        <v>1309</v>
      </c>
      <c r="DF33" t="s">
        <v>1309</v>
      </c>
      <c r="DG33" t="s">
        <v>1309</v>
      </c>
      <c r="DH33" t="s">
        <v>1309</v>
      </c>
      <c r="DI33" t="s">
        <v>1309</v>
      </c>
      <c r="DJ33" t="s">
        <v>1309</v>
      </c>
      <c r="DK33" t="s">
        <v>1309</v>
      </c>
      <c r="DM33" t="s">
        <v>4436</v>
      </c>
      <c r="DO33" t="s">
        <v>1308</v>
      </c>
      <c r="DP33" t="s">
        <v>1310</v>
      </c>
      <c r="DQ33" t="s">
        <v>1309</v>
      </c>
      <c r="DR33" t="s">
        <v>1309</v>
      </c>
      <c r="DS33" t="s">
        <v>1309</v>
      </c>
      <c r="DT33" t="s">
        <v>1309</v>
      </c>
      <c r="DU33" t="s">
        <v>1309</v>
      </c>
      <c r="DV33" t="s">
        <v>1309</v>
      </c>
      <c r="DX33" t="s">
        <v>1358</v>
      </c>
      <c r="DY33" t="s">
        <v>1319</v>
      </c>
      <c r="EC33" t="s">
        <v>1307</v>
      </c>
      <c r="EG33" t="s">
        <v>2930</v>
      </c>
      <c r="EH33" t="s">
        <v>1309</v>
      </c>
      <c r="EI33" t="s">
        <v>1309</v>
      </c>
      <c r="EJ33" t="s">
        <v>1309</v>
      </c>
      <c r="EK33" t="s">
        <v>1309</v>
      </c>
      <c r="EL33" t="s">
        <v>1310</v>
      </c>
      <c r="EM33" t="s">
        <v>1309</v>
      </c>
      <c r="EN33" t="s">
        <v>1309</v>
      </c>
      <c r="EO33" t="s">
        <v>1309</v>
      </c>
      <c r="EQ33" t="s">
        <v>1307</v>
      </c>
      <c r="ER33" t="s">
        <v>1319</v>
      </c>
      <c r="ES33" t="s">
        <v>1307</v>
      </c>
      <c r="EU33" t="s">
        <v>2560</v>
      </c>
      <c r="EV33" t="s">
        <v>1309</v>
      </c>
      <c r="EW33" t="s">
        <v>1309</v>
      </c>
      <c r="EX33" t="s">
        <v>1309</v>
      </c>
      <c r="EY33" t="s">
        <v>1310</v>
      </c>
      <c r="EZ33" t="s">
        <v>1309</v>
      </c>
      <c r="FA33" t="s">
        <v>1309</v>
      </c>
      <c r="FB33" t="s">
        <v>1309</v>
      </c>
      <c r="FC33" t="s">
        <v>1310</v>
      </c>
      <c r="FD33" t="s">
        <v>1309</v>
      </c>
      <c r="FE33" t="s">
        <v>1309</v>
      </c>
      <c r="FF33" t="s">
        <v>1309</v>
      </c>
      <c r="FG33" t="s">
        <v>1309</v>
      </c>
      <c r="FH33" t="s">
        <v>1309</v>
      </c>
      <c r="FI33" t="s">
        <v>1309</v>
      </c>
      <c r="FJ33" t="s">
        <v>1309</v>
      </c>
      <c r="FK33" t="s">
        <v>1309</v>
      </c>
      <c r="FL33" t="s">
        <v>1309</v>
      </c>
      <c r="FN33" t="s">
        <v>1319</v>
      </c>
      <c r="FO33" t="s">
        <v>1435</v>
      </c>
      <c r="FP33" t="s">
        <v>1310</v>
      </c>
      <c r="FQ33" t="s">
        <v>1309</v>
      </c>
      <c r="FR33" t="s">
        <v>1309</v>
      </c>
      <c r="FS33" t="s">
        <v>1309</v>
      </c>
      <c r="FT33" t="s">
        <v>1309</v>
      </c>
      <c r="FU33" t="s">
        <v>1309</v>
      </c>
      <c r="FV33" t="s">
        <v>1309</v>
      </c>
      <c r="FW33" t="s">
        <v>1309</v>
      </c>
      <c r="FX33" t="s">
        <v>1309</v>
      </c>
      <c r="FY33" t="s">
        <v>1309</v>
      </c>
      <c r="FZ33" t="s">
        <v>1309</v>
      </c>
      <c r="GA33" t="s">
        <v>1309</v>
      </c>
      <c r="GC33" t="s">
        <v>1436</v>
      </c>
      <c r="GD33" t="s">
        <v>1436</v>
      </c>
      <c r="GE33" t="s">
        <v>1319</v>
      </c>
      <c r="GF33" t="s">
        <v>1619</v>
      </c>
      <c r="GG33" t="s">
        <v>1310</v>
      </c>
      <c r="GH33" t="s">
        <v>1309</v>
      </c>
      <c r="GI33" t="s">
        <v>1309</v>
      </c>
      <c r="GJ33" t="s">
        <v>1309</v>
      </c>
      <c r="GK33" t="s">
        <v>1309</v>
      </c>
      <c r="GL33" t="s">
        <v>1309</v>
      </c>
      <c r="GN33" t="s">
        <v>1364</v>
      </c>
      <c r="HB33" t="s">
        <v>1307</v>
      </c>
      <c r="HR33" t="s">
        <v>1332</v>
      </c>
      <c r="HS33" t="s">
        <v>1309</v>
      </c>
      <c r="HT33" t="s">
        <v>1309</v>
      </c>
      <c r="HU33" t="s">
        <v>1309</v>
      </c>
      <c r="HV33" t="s">
        <v>1309</v>
      </c>
      <c r="HW33" t="s">
        <v>1310</v>
      </c>
      <c r="HX33" t="s">
        <v>1309</v>
      </c>
      <c r="HY33" t="s">
        <v>1309</v>
      </c>
      <c r="HZ33" t="s">
        <v>1309</v>
      </c>
      <c r="IB33" s="92" t="s">
        <v>2230</v>
      </c>
      <c r="IC33" s="92" t="s">
        <v>2231</v>
      </c>
      <c r="ID33" s="92">
        <v>54</v>
      </c>
      <c r="IE33" s="92" t="s">
        <v>1307</v>
      </c>
      <c r="IF33" s="92" t="s">
        <v>4395</v>
      </c>
      <c r="IG33" s="92" t="s">
        <v>1526</v>
      </c>
      <c r="IH33" s="92" t="s">
        <v>1296</v>
      </c>
      <c r="II33" s="92" t="s">
        <v>70</v>
      </c>
      <c r="IJ33" s="92" t="s">
        <v>1397</v>
      </c>
      <c r="IK33" s="92" t="s">
        <v>1337</v>
      </c>
      <c r="IL33" s="92" t="s">
        <v>4844</v>
      </c>
      <c r="IM33" s="92" t="s">
        <v>1338</v>
      </c>
      <c r="IN33" s="92" t="s">
        <v>109</v>
      </c>
      <c r="IO33" s="92" t="s">
        <v>4844</v>
      </c>
      <c r="IP33" s="92" t="s">
        <v>5561</v>
      </c>
      <c r="IQ33" s="92">
        <v>0</v>
      </c>
      <c r="IR33" s="92" t="s">
        <v>1372</v>
      </c>
      <c r="IS33" s="92" t="s">
        <v>109</v>
      </c>
      <c r="IT33" s="92" t="s">
        <v>109</v>
      </c>
      <c r="IU33" s="92" t="s">
        <v>109</v>
      </c>
      <c r="IV33" s="92" t="s">
        <v>109</v>
      </c>
      <c r="IW33" s="92" t="s">
        <v>1373</v>
      </c>
      <c r="IX33" s="92">
        <v>0</v>
      </c>
      <c r="IY33" s="92" t="s">
        <v>1372</v>
      </c>
      <c r="IZ33" s="92" t="s">
        <v>1373</v>
      </c>
      <c r="JA33" s="92" t="s">
        <v>1401</v>
      </c>
      <c r="JB33" s="92" t="s">
        <v>192</v>
      </c>
      <c r="JC33" s="92" t="s">
        <v>1403</v>
      </c>
      <c r="JD33" s="92" t="s">
        <v>109</v>
      </c>
      <c r="JE33" s="92" t="s">
        <v>109</v>
      </c>
      <c r="JF33" s="92" t="s">
        <v>1372</v>
      </c>
      <c r="JG33" s="92" t="s">
        <v>1372</v>
      </c>
      <c r="JH33" s="92" t="s">
        <v>109</v>
      </c>
      <c r="JI33" s="92" t="s">
        <v>109</v>
      </c>
    </row>
    <row r="34" spans="1:269" x14ac:dyDescent="0.25">
      <c r="A34" t="s">
        <v>2986</v>
      </c>
      <c r="B34" t="s">
        <v>2987</v>
      </c>
      <c r="C34" t="s">
        <v>1429</v>
      </c>
      <c r="D34" t="s">
        <v>1381</v>
      </c>
      <c r="F34" t="s">
        <v>1319</v>
      </c>
      <c r="G34" t="s">
        <v>1319</v>
      </c>
      <c r="H34">
        <v>5</v>
      </c>
      <c r="I34" t="s">
        <v>1358</v>
      </c>
      <c r="J34" t="s">
        <v>1406</v>
      </c>
      <c r="K34" t="s">
        <v>1309</v>
      </c>
      <c r="L34" t="s">
        <v>1310</v>
      </c>
      <c r="M34" t="s">
        <v>1309</v>
      </c>
      <c r="N34" t="s">
        <v>1309</v>
      </c>
      <c r="O34" t="s">
        <v>1309</v>
      </c>
      <c r="P34" t="s">
        <v>1309</v>
      </c>
      <c r="Q34" t="s">
        <v>1309</v>
      </c>
      <c r="R34" t="s">
        <v>1309</v>
      </c>
      <c r="S34">
        <v>2</v>
      </c>
      <c r="U34" t="s">
        <v>1312</v>
      </c>
      <c r="V34" t="s">
        <v>1312</v>
      </c>
      <c r="W34" t="s">
        <v>1312</v>
      </c>
      <c r="X34" t="s">
        <v>1312</v>
      </c>
      <c r="Y34" t="s">
        <v>1312</v>
      </c>
      <c r="Z34" t="s">
        <v>1312</v>
      </c>
      <c r="AC34">
        <v>3</v>
      </c>
      <c r="AD34">
        <v>6500</v>
      </c>
      <c r="AE34">
        <v>40000</v>
      </c>
      <c r="AF34" t="s">
        <v>1351</v>
      </c>
      <c r="AH34" t="s">
        <v>1307</v>
      </c>
      <c r="AI34" t="s">
        <v>4732</v>
      </c>
      <c r="AK34" t="s">
        <v>1307</v>
      </c>
      <c r="CG34" t="s">
        <v>1544</v>
      </c>
      <c r="CH34" t="s">
        <v>1309</v>
      </c>
      <c r="CI34" t="s">
        <v>1310</v>
      </c>
      <c r="CJ34" t="s">
        <v>1309</v>
      </c>
      <c r="CK34" t="s">
        <v>1309</v>
      </c>
      <c r="CL34" t="s">
        <v>1309</v>
      </c>
      <c r="CM34" t="s">
        <v>1309</v>
      </c>
      <c r="CN34" t="s">
        <v>1309</v>
      </c>
      <c r="CO34" t="s">
        <v>1309</v>
      </c>
      <c r="CP34" t="s">
        <v>1309</v>
      </c>
      <c r="CQ34" t="s">
        <v>1309</v>
      </c>
      <c r="CR34" t="s">
        <v>1309</v>
      </c>
      <c r="CS34" t="s">
        <v>1309</v>
      </c>
      <c r="CT34" t="s">
        <v>1309</v>
      </c>
      <c r="CU34" t="s">
        <v>1309</v>
      </c>
      <c r="CV34" t="s">
        <v>1309</v>
      </c>
      <c r="CX34" t="s">
        <v>1384</v>
      </c>
      <c r="CY34" t="s">
        <v>1310</v>
      </c>
      <c r="CZ34" t="s">
        <v>1309</v>
      </c>
      <c r="DA34" t="s">
        <v>1309</v>
      </c>
      <c r="DB34" t="s">
        <v>1309</v>
      </c>
      <c r="DC34" t="s">
        <v>1309</v>
      </c>
      <c r="DD34" t="s">
        <v>1309</v>
      </c>
      <c r="DE34" t="s">
        <v>1309</v>
      </c>
      <c r="DF34" t="s">
        <v>1309</v>
      </c>
      <c r="DG34" t="s">
        <v>1309</v>
      </c>
      <c r="DH34" t="s">
        <v>1309</v>
      </c>
      <c r="DI34" t="s">
        <v>1309</v>
      </c>
      <c r="DJ34" t="s">
        <v>1309</v>
      </c>
      <c r="DK34" t="s">
        <v>1309</v>
      </c>
      <c r="DM34" t="s">
        <v>4434</v>
      </c>
      <c r="DO34" t="s">
        <v>1357</v>
      </c>
      <c r="DP34" t="s">
        <v>1309</v>
      </c>
      <c r="DQ34" t="s">
        <v>1309</v>
      </c>
      <c r="DR34" t="s">
        <v>1309</v>
      </c>
      <c r="DS34" t="s">
        <v>1309</v>
      </c>
      <c r="DT34" t="s">
        <v>1310</v>
      </c>
      <c r="DU34" t="s">
        <v>1309</v>
      </c>
      <c r="DV34" t="s">
        <v>1309</v>
      </c>
      <c r="DX34" t="s">
        <v>1358</v>
      </c>
      <c r="DZ34">
        <v>1500</v>
      </c>
      <c r="EB34">
        <v>500</v>
      </c>
      <c r="EC34" t="s">
        <v>1358</v>
      </c>
      <c r="ED34">
        <v>1700</v>
      </c>
      <c r="EF34">
        <v>850</v>
      </c>
      <c r="EG34" t="s">
        <v>2897</v>
      </c>
      <c r="EH34" t="s">
        <v>1309</v>
      </c>
      <c r="EI34" t="s">
        <v>1310</v>
      </c>
      <c r="EJ34" t="s">
        <v>1309</v>
      </c>
      <c r="EK34" t="s">
        <v>1309</v>
      </c>
      <c r="EL34" t="s">
        <v>1310</v>
      </c>
      <c r="EM34" t="s">
        <v>1309</v>
      </c>
      <c r="EN34" t="s">
        <v>1309</v>
      </c>
      <c r="EO34" t="s">
        <v>1309</v>
      </c>
      <c r="EQ34" t="s">
        <v>1307</v>
      </c>
      <c r="ER34" t="s">
        <v>1307</v>
      </c>
      <c r="ES34" t="s">
        <v>1307</v>
      </c>
      <c r="FN34" t="s">
        <v>1307</v>
      </c>
      <c r="GC34" t="s">
        <v>1324</v>
      </c>
      <c r="GD34" t="s">
        <v>1324</v>
      </c>
      <c r="GN34" t="s">
        <v>1364</v>
      </c>
      <c r="HB34" t="s">
        <v>1307</v>
      </c>
      <c r="HR34" t="s">
        <v>1414</v>
      </c>
      <c r="HS34" t="s">
        <v>1309</v>
      </c>
      <c r="HT34" t="s">
        <v>1309</v>
      </c>
      <c r="HU34" t="s">
        <v>1309</v>
      </c>
      <c r="HV34" t="s">
        <v>1309</v>
      </c>
      <c r="HW34" t="s">
        <v>1309</v>
      </c>
      <c r="HX34" t="s">
        <v>1309</v>
      </c>
      <c r="HY34" t="s">
        <v>1310</v>
      </c>
      <c r="HZ34" t="s">
        <v>1309</v>
      </c>
      <c r="IB34" s="92" t="s">
        <v>1333</v>
      </c>
      <c r="IC34" s="92" t="s">
        <v>1334</v>
      </c>
      <c r="ID34" s="92">
        <v>39</v>
      </c>
      <c r="IE34" s="92" t="s">
        <v>1307</v>
      </c>
      <c r="IF34" s="92" t="s">
        <v>4398</v>
      </c>
      <c r="IG34" s="92" t="s">
        <v>1336</v>
      </c>
      <c r="IH34" s="92" t="s">
        <v>1296</v>
      </c>
      <c r="II34" s="92" t="s">
        <v>71</v>
      </c>
      <c r="IJ34" s="92" t="s">
        <v>1397</v>
      </c>
      <c r="IK34" s="92" t="s">
        <v>1337</v>
      </c>
      <c r="IL34" s="92" t="s">
        <v>4846</v>
      </c>
      <c r="IM34" s="92" t="s">
        <v>1415</v>
      </c>
      <c r="IN34" s="92" t="s">
        <v>109</v>
      </c>
      <c r="IO34" s="92" t="s">
        <v>4848</v>
      </c>
      <c r="IP34" s="92" t="s">
        <v>1424</v>
      </c>
      <c r="IQ34" s="92">
        <v>2000</v>
      </c>
      <c r="IR34" s="92" t="s">
        <v>4439</v>
      </c>
      <c r="IS34" s="92" t="s">
        <v>192</v>
      </c>
      <c r="IT34" s="92" t="s">
        <v>109</v>
      </c>
      <c r="IU34" s="92" t="s">
        <v>192</v>
      </c>
      <c r="IV34" s="92" t="s">
        <v>109</v>
      </c>
      <c r="IW34" s="92" t="s">
        <v>1440</v>
      </c>
      <c r="IX34" s="92">
        <v>2550</v>
      </c>
      <c r="IY34" s="92" t="s">
        <v>4439</v>
      </c>
      <c r="IZ34" s="92" t="s">
        <v>1425</v>
      </c>
      <c r="JA34" s="92" t="s">
        <v>1375</v>
      </c>
      <c r="JB34" s="92" t="s">
        <v>192</v>
      </c>
      <c r="JC34" s="92" t="s">
        <v>1403</v>
      </c>
      <c r="JD34" s="92" t="s">
        <v>109</v>
      </c>
      <c r="JE34" s="92" t="s">
        <v>109</v>
      </c>
      <c r="JF34" s="92" t="s">
        <v>1372</v>
      </c>
      <c r="JG34" s="92" t="s">
        <v>1372</v>
      </c>
      <c r="JH34" s="92" t="s">
        <v>192</v>
      </c>
      <c r="JI34" s="92" t="s">
        <v>192</v>
      </c>
    </row>
    <row r="35" spans="1:269" x14ac:dyDescent="0.25">
      <c r="A35" t="s">
        <v>2988</v>
      </c>
      <c r="B35" t="s">
        <v>2989</v>
      </c>
      <c r="C35" t="s">
        <v>1305</v>
      </c>
      <c r="D35" t="s">
        <v>1381</v>
      </c>
      <c r="F35" t="s">
        <v>1319</v>
      </c>
      <c r="G35" t="s">
        <v>1319</v>
      </c>
      <c r="H35">
        <v>1</v>
      </c>
      <c r="J35" t="s">
        <v>1308</v>
      </c>
      <c r="K35" t="s">
        <v>1309</v>
      </c>
      <c r="L35" t="s">
        <v>1309</v>
      </c>
      <c r="M35" t="s">
        <v>1309</v>
      </c>
      <c r="N35" t="s">
        <v>1309</v>
      </c>
      <c r="O35" t="s">
        <v>1309</v>
      </c>
      <c r="P35" t="s">
        <v>1309</v>
      </c>
      <c r="Q35" t="s">
        <v>1310</v>
      </c>
      <c r="R35" t="s">
        <v>1309</v>
      </c>
      <c r="U35" t="s">
        <v>1312</v>
      </c>
      <c r="V35" t="s">
        <v>1312</v>
      </c>
      <c r="W35" t="s">
        <v>1312</v>
      </c>
      <c r="X35" t="s">
        <v>1312</v>
      </c>
      <c r="Y35" t="s">
        <v>1312</v>
      </c>
      <c r="Z35" t="s">
        <v>1311</v>
      </c>
      <c r="AC35">
        <v>1</v>
      </c>
      <c r="AD35">
        <v>6000</v>
      </c>
      <c r="AE35">
        <v>5000</v>
      </c>
      <c r="AF35" t="s">
        <v>1313</v>
      </c>
      <c r="AH35" t="s">
        <v>1319</v>
      </c>
      <c r="AI35" t="s">
        <v>4879</v>
      </c>
      <c r="AK35" t="s">
        <v>1319</v>
      </c>
      <c r="AL35" t="s">
        <v>1315</v>
      </c>
      <c r="AN35" t="s">
        <v>1316</v>
      </c>
      <c r="BU35" t="s">
        <v>2853</v>
      </c>
      <c r="BV35" t="s">
        <v>1310</v>
      </c>
      <c r="BW35" t="s">
        <v>1309</v>
      </c>
      <c r="BX35" t="s">
        <v>1309</v>
      </c>
      <c r="BY35" t="s">
        <v>1309</v>
      </c>
      <c r="BZ35" t="s">
        <v>1309</v>
      </c>
      <c r="CA35" t="s">
        <v>1309</v>
      </c>
      <c r="CB35" t="s">
        <v>1309</v>
      </c>
      <c r="CC35" t="s">
        <v>1309</v>
      </c>
      <c r="CD35" t="s">
        <v>1309</v>
      </c>
      <c r="CE35" t="s">
        <v>1309</v>
      </c>
      <c r="CX35" t="s">
        <v>1537</v>
      </c>
      <c r="CY35" t="s">
        <v>1309</v>
      </c>
      <c r="CZ35" t="s">
        <v>1309</v>
      </c>
      <c r="DA35" t="s">
        <v>1309</v>
      </c>
      <c r="DB35" t="s">
        <v>1309</v>
      </c>
      <c r="DC35" t="s">
        <v>1309</v>
      </c>
      <c r="DD35" t="s">
        <v>1310</v>
      </c>
      <c r="DE35" t="s">
        <v>1309</v>
      </c>
      <c r="DF35" t="s">
        <v>1309</v>
      </c>
      <c r="DG35" t="s">
        <v>1310</v>
      </c>
      <c r="DH35" t="s">
        <v>1309</v>
      </c>
      <c r="DI35" t="s">
        <v>1309</v>
      </c>
      <c r="DJ35" t="s">
        <v>1309</v>
      </c>
      <c r="DK35" t="s">
        <v>1309</v>
      </c>
      <c r="DM35" t="s">
        <v>4435</v>
      </c>
      <c r="DO35" t="s">
        <v>1308</v>
      </c>
      <c r="DP35" t="s">
        <v>1310</v>
      </c>
      <c r="DQ35" t="s">
        <v>1309</v>
      </c>
      <c r="DR35" t="s">
        <v>1309</v>
      </c>
      <c r="DS35" t="s">
        <v>1309</v>
      </c>
      <c r="DT35" t="s">
        <v>1309</v>
      </c>
      <c r="DU35" t="s">
        <v>1309</v>
      </c>
      <c r="DV35" t="s">
        <v>1309</v>
      </c>
      <c r="DX35" t="s">
        <v>1358</v>
      </c>
      <c r="DY35" t="s">
        <v>1319</v>
      </c>
      <c r="DZ35">
        <v>100</v>
      </c>
      <c r="EA35">
        <v>1400</v>
      </c>
      <c r="EB35">
        <v>600</v>
      </c>
      <c r="EC35" t="s">
        <v>1358</v>
      </c>
      <c r="ED35">
        <v>100</v>
      </c>
      <c r="EE35">
        <v>1500</v>
      </c>
      <c r="EF35">
        <v>500</v>
      </c>
      <c r="EG35" t="s">
        <v>2911</v>
      </c>
      <c r="EH35" t="s">
        <v>1310</v>
      </c>
      <c r="EI35" t="s">
        <v>1309</v>
      </c>
      <c r="EJ35" t="s">
        <v>1309</v>
      </c>
      <c r="EK35" t="s">
        <v>1310</v>
      </c>
      <c r="EL35" t="s">
        <v>1309</v>
      </c>
      <c r="EM35" t="s">
        <v>1309</v>
      </c>
      <c r="EN35" t="s">
        <v>1309</v>
      </c>
      <c r="EO35" t="s">
        <v>1309</v>
      </c>
      <c r="EQ35" t="s">
        <v>1319</v>
      </c>
      <c r="ER35" t="s">
        <v>1307</v>
      </c>
      <c r="ES35" t="s">
        <v>1307</v>
      </c>
      <c r="FN35" t="s">
        <v>1319</v>
      </c>
      <c r="FO35" t="s">
        <v>1435</v>
      </c>
      <c r="FP35" t="s">
        <v>1310</v>
      </c>
      <c r="FQ35" t="s">
        <v>1309</v>
      </c>
      <c r="FR35" t="s">
        <v>1309</v>
      </c>
      <c r="FS35" t="s">
        <v>1309</v>
      </c>
      <c r="FT35" t="s">
        <v>1309</v>
      </c>
      <c r="FU35" t="s">
        <v>1309</v>
      </c>
      <c r="FV35" t="s">
        <v>1309</v>
      </c>
      <c r="FW35" t="s">
        <v>1309</v>
      </c>
      <c r="FX35" t="s">
        <v>1309</v>
      </c>
      <c r="FY35" t="s">
        <v>1309</v>
      </c>
      <c r="FZ35" t="s">
        <v>1309</v>
      </c>
      <c r="GA35" t="s">
        <v>1309</v>
      </c>
      <c r="GC35" t="s">
        <v>1436</v>
      </c>
      <c r="GD35" t="s">
        <v>1436</v>
      </c>
      <c r="GE35" t="s">
        <v>1307</v>
      </c>
      <c r="GN35" t="s">
        <v>1437</v>
      </c>
      <c r="GO35" t="s">
        <v>1626</v>
      </c>
      <c r="GP35" t="s">
        <v>1310</v>
      </c>
      <c r="GQ35" t="s">
        <v>1309</v>
      </c>
      <c r="GR35" t="s">
        <v>1309</v>
      </c>
      <c r="GS35" t="s">
        <v>1309</v>
      </c>
      <c r="GT35" t="s">
        <v>1309</v>
      </c>
      <c r="GU35" t="s">
        <v>1309</v>
      </c>
      <c r="GV35" t="s">
        <v>1309</v>
      </c>
      <c r="GW35" t="s">
        <v>1309</v>
      </c>
      <c r="GX35" t="s">
        <v>1309</v>
      </c>
      <c r="GY35" t="s">
        <v>1309</v>
      </c>
      <c r="GZ35" t="s">
        <v>1309</v>
      </c>
      <c r="HB35" t="s">
        <v>1319</v>
      </c>
      <c r="HC35" t="s">
        <v>1423</v>
      </c>
      <c r="HD35" t="s">
        <v>1309</v>
      </c>
      <c r="HE35" t="s">
        <v>1309</v>
      </c>
      <c r="HF35" t="s">
        <v>1309</v>
      </c>
      <c r="HG35" t="s">
        <v>1309</v>
      </c>
      <c r="HH35" t="s">
        <v>1310</v>
      </c>
      <c r="HI35" t="s">
        <v>1309</v>
      </c>
      <c r="HJ35" t="s">
        <v>1309</v>
      </c>
      <c r="HK35" t="s">
        <v>1309</v>
      </c>
      <c r="HL35" t="s">
        <v>1309</v>
      </c>
      <c r="HM35" t="s">
        <v>1309</v>
      </c>
      <c r="HN35" t="s">
        <v>1309</v>
      </c>
      <c r="HO35" t="s">
        <v>1309</v>
      </c>
      <c r="HP35" t="s">
        <v>1309</v>
      </c>
      <c r="HR35" t="s">
        <v>1523</v>
      </c>
      <c r="HS35" t="s">
        <v>1309</v>
      </c>
      <c r="HT35" t="s">
        <v>1309</v>
      </c>
      <c r="HU35" t="s">
        <v>1309</v>
      </c>
      <c r="HV35" t="s">
        <v>1310</v>
      </c>
      <c r="HW35" t="s">
        <v>1309</v>
      </c>
      <c r="HX35" t="s">
        <v>1309</v>
      </c>
      <c r="HY35" t="s">
        <v>1309</v>
      </c>
      <c r="HZ35" t="s">
        <v>1309</v>
      </c>
      <c r="IB35" s="92" t="s">
        <v>1333</v>
      </c>
      <c r="IC35" s="92" t="s">
        <v>1334</v>
      </c>
      <c r="ID35" s="92">
        <v>30</v>
      </c>
      <c r="IE35" s="92" t="s">
        <v>1307</v>
      </c>
      <c r="IF35" s="92" t="s">
        <v>4398</v>
      </c>
      <c r="IG35" s="92" t="s">
        <v>1336</v>
      </c>
      <c r="IH35" s="92" t="s">
        <v>1296</v>
      </c>
      <c r="II35" s="92" t="s">
        <v>71</v>
      </c>
      <c r="IJ35" s="92" t="s">
        <v>1397</v>
      </c>
      <c r="IK35" s="92" t="s">
        <v>1398</v>
      </c>
      <c r="IL35" s="92" t="s">
        <v>4844</v>
      </c>
      <c r="IM35" s="92" t="s">
        <v>1338</v>
      </c>
      <c r="IN35" s="92" t="s">
        <v>109</v>
      </c>
      <c r="IO35" s="92" t="s">
        <v>4844</v>
      </c>
      <c r="IP35" s="92" t="s">
        <v>1424</v>
      </c>
      <c r="IQ35" s="92">
        <v>2100</v>
      </c>
      <c r="IR35" s="92" t="s">
        <v>4439</v>
      </c>
      <c r="IS35" s="92" t="s">
        <v>192</v>
      </c>
      <c r="IT35" s="92" t="s">
        <v>192</v>
      </c>
      <c r="IU35" s="92" t="s">
        <v>192</v>
      </c>
      <c r="IV35" s="92" t="s">
        <v>192</v>
      </c>
      <c r="IW35" s="92" t="s">
        <v>1425</v>
      </c>
      <c r="IX35" s="92">
        <v>2100</v>
      </c>
      <c r="IY35" s="92" t="s">
        <v>4439</v>
      </c>
      <c r="IZ35" s="92" t="s">
        <v>1425</v>
      </c>
      <c r="JA35" s="92" t="s">
        <v>1342</v>
      </c>
      <c r="JB35" s="92" t="s">
        <v>192</v>
      </c>
      <c r="JC35" s="92" t="s">
        <v>1403</v>
      </c>
      <c r="JD35" s="92" t="s">
        <v>109</v>
      </c>
      <c r="JE35" s="92" t="s">
        <v>109</v>
      </c>
      <c r="JF35" s="92" t="s">
        <v>4439</v>
      </c>
      <c r="JG35" s="92" t="s">
        <v>4439</v>
      </c>
      <c r="JH35" s="92" t="s">
        <v>192</v>
      </c>
      <c r="JI35" s="92" t="s">
        <v>192</v>
      </c>
    </row>
    <row r="36" spans="1:269" x14ac:dyDescent="0.25">
      <c r="A36" t="s">
        <v>2990</v>
      </c>
      <c r="B36" t="s">
        <v>2991</v>
      </c>
      <c r="C36" t="s">
        <v>1429</v>
      </c>
      <c r="D36" t="s">
        <v>1306</v>
      </c>
      <c r="F36" t="s">
        <v>1307</v>
      </c>
      <c r="G36" t="s">
        <v>1319</v>
      </c>
      <c r="H36">
        <v>3</v>
      </c>
      <c r="I36" t="s">
        <v>1307</v>
      </c>
      <c r="J36" t="s">
        <v>2528</v>
      </c>
      <c r="K36" t="s">
        <v>1310</v>
      </c>
      <c r="L36" t="s">
        <v>1310</v>
      </c>
      <c r="M36" t="s">
        <v>1309</v>
      </c>
      <c r="N36" t="s">
        <v>1309</v>
      </c>
      <c r="O36" t="s">
        <v>1309</v>
      </c>
      <c r="P36" t="s">
        <v>1309</v>
      </c>
      <c r="Q36" t="s">
        <v>1309</v>
      </c>
      <c r="R36" t="s">
        <v>1309</v>
      </c>
      <c r="S36">
        <v>1</v>
      </c>
      <c r="U36" t="s">
        <v>1312</v>
      </c>
      <c r="V36" t="s">
        <v>1312</v>
      </c>
      <c r="W36" t="s">
        <v>1312</v>
      </c>
      <c r="X36" t="s">
        <v>1312</v>
      </c>
      <c r="Y36" t="s">
        <v>1312</v>
      </c>
      <c r="Z36" t="s">
        <v>1312</v>
      </c>
      <c r="AC36">
        <v>2</v>
      </c>
      <c r="AD36">
        <v>19000</v>
      </c>
      <c r="AE36">
        <v>15000</v>
      </c>
      <c r="AF36" t="s">
        <v>1351</v>
      </c>
      <c r="AH36" t="s">
        <v>1319</v>
      </c>
      <c r="AI36" t="s">
        <v>4879</v>
      </c>
      <c r="AK36" t="s">
        <v>1319</v>
      </c>
      <c r="AL36" t="s">
        <v>1315</v>
      </c>
      <c r="AN36" t="s">
        <v>1331</v>
      </c>
      <c r="BU36" t="s">
        <v>2853</v>
      </c>
      <c r="BV36" t="s">
        <v>1310</v>
      </c>
      <c r="BW36" t="s">
        <v>1309</v>
      </c>
      <c r="BX36" t="s">
        <v>1309</v>
      </c>
      <c r="BY36" t="s">
        <v>1309</v>
      </c>
      <c r="BZ36" t="s">
        <v>1309</v>
      </c>
      <c r="CA36" t="s">
        <v>1309</v>
      </c>
      <c r="CB36" t="s">
        <v>1309</v>
      </c>
      <c r="CC36" t="s">
        <v>1309</v>
      </c>
      <c r="CD36" t="s">
        <v>1309</v>
      </c>
      <c r="CE36" t="s">
        <v>1309</v>
      </c>
      <c r="CX36" t="s">
        <v>2135</v>
      </c>
      <c r="CY36" t="s">
        <v>1309</v>
      </c>
      <c r="CZ36" t="s">
        <v>1309</v>
      </c>
      <c r="DA36" t="s">
        <v>1309</v>
      </c>
      <c r="DB36" t="s">
        <v>1309</v>
      </c>
      <c r="DC36" t="s">
        <v>1309</v>
      </c>
      <c r="DD36" t="s">
        <v>1310</v>
      </c>
      <c r="DE36" t="s">
        <v>1309</v>
      </c>
      <c r="DF36" t="s">
        <v>1309</v>
      </c>
      <c r="DG36" t="s">
        <v>1309</v>
      </c>
      <c r="DH36" t="s">
        <v>1309</v>
      </c>
      <c r="DI36" t="s">
        <v>1309</v>
      </c>
      <c r="DJ36" t="s">
        <v>1309</v>
      </c>
      <c r="DK36" t="s">
        <v>1309</v>
      </c>
      <c r="DM36" t="s">
        <v>4436</v>
      </c>
      <c r="DO36" t="s">
        <v>1308</v>
      </c>
      <c r="DP36" t="s">
        <v>1310</v>
      </c>
      <c r="DQ36" t="s">
        <v>1309</v>
      </c>
      <c r="DR36" t="s">
        <v>1309</v>
      </c>
      <c r="DS36" t="s">
        <v>1309</v>
      </c>
      <c r="DT36" t="s">
        <v>1309</v>
      </c>
      <c r="DU36" t="s">
        <v>1309</v>
      </c>
      <c r="DV36" t="s">
        <v>1309</v>
      </c>
      <c r="DX36" t="s">
        <v>1358</v>
      </c>
      <c r="DY36" t="s">
        <v>1319</v>
      </c>
      <c r="DZ36">
        <v>300</v>
      </c>
      <c r="EB36">
        <v>800</v>
      </c>
      <c r="EC36" t="s">
        <v>1358</v>
      </c>
      <c r="ED36">
        <v>300</v>
      </c>
      <c r="EF36">
        <v>950</v>
      </c>
      <c r="EG36" t="s">
        <v>2911</v>
      </c>
      <c r="EH36" t="s">
        <v>1310</v>
      </c>
      <c r="EI36" t="s">
        <v>1309</v>
      </c>
      <c r="EJ36" t="s">
        <v>1309</v>
      </c>
      <c r="EK36" t="s">
        <v>1310</v>
      </c>
      <c r="EL36" t="s">
        <v>1309</v>
      </c>
      <c r="EM36" t="s">
        <v>1309</v>
      </c>
      <c r="EN36" t="s">
        <v>1309</v>
      </c>
      <c r="EO36" t="s">
        <v>1309</v>
      </c>
      <c r="EQ36" t="s">
        <v>1319</v>
      </c>
      <c r="ER36" t="s">
        <v>1307</v>
      </c>
      <c r="ES36" t="s">
        <v>1307</v>
      </c>
      <c r="FN36" t="s">
        <v>1307</v>
      </c>
      <c r="GC36" t="s">
        <v>1324</v>
      </c>
      <c r="GD36" t="s">
        <v>1324</v>
      </c>
      <c r="GN36" t="s">
        <v>1364</v>
      </c>
      <c r="HB36" t="s">
        <v>1307</v>
      </c>
      <c r="HR36" t="s">
        <v>1332</v>
      </c>
      <c r="HS36" t="s">
        <v>1309</v>
      </c>
      <c r="HT36" t="s">
        <v>1309</v>
      </c>
      <c r="HU36" t="s">
        <v>1309</v>
      </c>
      <c r="HV36" t="s">
        <v>1309</v>
      </c>
      <c r="HW36" t="s">
        <v>1310</v>
      </c>
      <c r="HX36" t="s">
        <v>1309</v>
      </c>
      <c r="HY36" t="s">
        <v>1309</v>
      </c>
      <c r="HZ36" t="s">
        <v>1309</v>
      </c>
      <c r="IB36" s="92" t="s">
        <v>1926</v>
      </c>
      <c r="IC36" s="92" t="s">
        <v>1927</v>
      </c>
      <c r="ID36" s="92">
        <v>29</v>
      </c>
      <c r="IE36" s="92" t="s">
        <v>1307</v>
      </c>
      <c r="IF36" s="92" t="s">
        <v>4396</v>
      </c>
      <c r="IG36" s="92" t="s">
        <v>1368</v>
      </c>
      <c r="IH36" s="92" t="s">
        <v>1296</v>
      </c>
      <c r="II36" s="92" t="s">
        <v>70</v>
      </c>
      <c r="IJ36" s="92" t="s">
        <v>5549</v>
      </c>
      <c r="IK36" s="92" t="s">
        <v>1398</v>
      </c>
      <c r="IL36" s="92" t="s">
        <v>4845</v>
      </c>
      <c r="IM36" s="92" t="s">
        <v>1415</v>
      </c>
      <c r="IN36" s="92" t="s">
        <v>109</v>
      </c>
      <c r="IO36" s="92" t="s">
        <v>4847</v>
      </c>
      <c r="IP36" s="92" t="s">
        <v>1452</v>
      </c>
      <c r="IQ36" s="92">
        <v>1100</v>
      </c>
      <c r="IR36" s="92" t="s">
        <v>1372</v>
      </c>
      <c r="IS36" s="92" t="s">
        <v>192</v>
      </c>
      <c r="IT36" s="92" t="s">
        <v>109</v>
      </c>
      <c r="IU36" s="92" t="s">
        <v>192</v>
      </c>
      <c r="IV36" s="92" t="s">
        <v>109</v>
      </c>
      <c r="IW36" s="92" t="s">
        <v>1440</v>
      </c>
      <c r="IX36" s="92">
        <v>1250</v>
      </c>
      <c r="IY36" s="92" t="s">
        <v>1372</v>
      </c>
      <c r="IZ36" s="92" t="s">
        <v>1440</v>
      </c>
      <c r="JA36" s="92" t="s">
        <v>1401</v>
      </c>
      <c r="JB36" s="92" t="s">
        <v>192</v>
      </c>
      <c r="JC36" s="92" t="s">
        <v>5795</v>
      </c>
      <c r="JD36" s="92" t="s">
        <v>109</v>
      </c>
      <c r="JE36" s="92" t="s">
        <v>109</v>
      </c>
      <c r="JF36" s="92" t="s">
        <v>1372</v>
      </c>
      <c r="JG36" s="92" t="s">
        <v>1372</v>
      </c>
      <c r="JH36" s="92" t="s">
        <v>109</v>
      </c>
      <c r="JI36" s="92" t="s">
        <v>109</v>
      </c>
    </row>
    <row r="37" spans="1:269" x14ac:dyDescent="0.25">
      <c r="A37" t="s">
        <v>2992</v>
      </c>
      <c r="B37" t="s">
        <v>2993</v>
      </c>
      <c r="C37" t="s">
        <v>1305</v>
      </c>
      <c r="D37" t="s">
        <v>1306</v>
      </c>
      <c r="F37" t="s">
        <v>1307</v>
      </c>
      <c r="G37" t="s">
        <v>1319</v>
      </c>
      <c r="H37">
        <v>3</v>
      </c>
      <c r="I37" t="s">
        <v>1307</v>
      </c>
      <c r="J37" t="s">
        <v>1308</v>
      </c>
      <c r="K37" t="s">
        <v>1309</v>
      </c>
      <c r="L37" t="s">
        <v>1309</v>
      </c>
      <c r="M37" t="s">
        <v>1309</v>
      </c>
      <c r="N37" t="s">
        <v>1309</v>
      </c>
      <c r="O37" t="s">
        <v>1309</v>
      </c>
      <c r="P37" t="s">
        <v>1309</v>
      </c>
      <c r="Q37" t="s">
        <v>1310</v>
      </c>
      <c r="R37" t="s">
        <v>1309</v>
      </c>
      <c r="U37" t="s">
        <v>1312</v>
      </c>
      <c r="V37" t="s">
        <v>1312</v>
      </c>
      <c r="W37" t="s">
        <v>1312</v>
      </c>
      <c r="X37" t="s">
        <v>1312</v>
      </c>
      <c r="Y37" t="s">
        <v>1312</v>
      </c>
      <c r="Z37" t="s">
        <v>1312</v>
      </c>
      <c r="AC37">
        <v>2</v>
      </c>
      <c r="AD37">
        <v>15000</v>
      </c>
      <c r="AF37" t="s">
        <v>1351</v>
      </c>
      <c r="AH37" t="s">
        <v>1319</v>
      </c>
      <c r="AI37" t="s">
        <v>4876</v>
      </c>
      <c r="AK37" t="s">
        <v>1319</v>
      </c>
      <c r="AL37" t="s">
        <v>1315</v>
      </c>
      <c r="AN37" t="s">
        <v>1316</v>
      </c>
      <c r="BU37" t="s">
        <v>2853</v>
      </c>
      <c r="BV37" t="s">
        <v>1310</v>
      </c>
      <c r="BW37" t="s">
        <v>1309</v>
      </c>
      <c r="BX37" t="s">
        <v>1309</v>
      </c>
      <c r="BY37" t="s">
        <v>1309</v>
      </c>
      <c r="BZ37" t="s">
        <v>1309</v>
      </c>
      <c r="CA37" t="s">
        <v>1309</v>
      </c>
      <c r="CB37" t="s">
        <v>1309</v>
      </c>
      <c r="CC37" t="s">
        <v>1309</v>
      </c>
      <c r="CD37" t="s">
        <v>1309</v>
      </c>
      <c r="CE37" t="s">
        <v>1309</v>
      </c>
      <c r="CX37" t="s">
        <v>2091</v>
      </c>
      <c r="CY37" t="s">
        <v>1310</v>
      </c>
      <c r="CZ37" t="s">
        <v>1309</v>
      </c>
      <c r="DA37" t="s">
        <v>1309</v>
      </c>
      <c r="DB37" t="s">
        <v>1309</v>
      </c>
      <c r="DC37" t="s">
        <v>1309</v>
      </c>
      <c r="DD37" t="s">
        <v>1309</v>
      </c>
      <c r="DE37" t="s">
        <v>1309</v>
      </c>
      <c r="DF37" t="s">
        <v>1309</v>
      </c>
      <c r="DG37" t="s">
        <v>1310</v>
      </c>
      <c r="DH37" t="s">
        <v>1309</v>
      </c>
      <c r="DI37" t="s">
        <v>1309</v>
      </c>
      <c r="DJ37" t="s">
        <v>1309</v>
      </c>
      <c r="DK37" t="s">
        <v>1309</v>
      </c>
      <c r="DM37" t="s">
        <v>4436</v>
      </c>
      <c r="DO37" t="s">
        <v>1308</v>
      </c>
      <c r="DP37" t="s">
        <v>1310</v>
      </c>
      <c r="DQ37" t="s">
        <v>1309</v>
      </c>
      <c r="DR37" t="s">
        <v>1309</v>
      </c>
      <c r="DS37" t="s">
        <v>1309</v>
      </c>
      <c r="DT37" t="s">
        <v>1309</v>
      </c>
      <c r="DU37" t="s">
        <v>1309</v>
      </c>
      <c r="DV37" t="s">
        <v>1309</v>
      </c>
      <c r="DX37" t="s">
        <v>1358</v>
      </c>
      <c r="DY37" t="s">
        <v>1319</v>
      </c>
      <c r="DZ37">
        <v>300</v>
      </c>
      <c r="EB37">
        <v>600</v>
      </c>
      <c r="EC37" t="s">
        <v>1358</v>
      </c>
      <c r="ED37">
        <v>400</v>
      </c>
      <c r="EF37">
        <v>700</v>
      </c>
      <c r="EG37" t="s">
        <v>1703</v>
      </c>
      <c r="EH37" t="s">
        <v>1310</v>
      </c>
      <c r="EI37" t="s">
        <v>1309</v>
      </c>
      <c r="EJ37" t="s">
        <v>1309</v>
      </c>
      <c r="EK37" t="s">
        <v>1309</v>
      </c>
      <c r="EL37" t="s">
        <v>1309</v>
      </c>
      <c r="EM37" t="s">
        <v>1309</v>
      </c>
      <c r="EN37" t="s">
        <v>1309</v>
      </c>
      <c r="EO37" t="s">
        <v>1309</v>
      </c>
      <c r="EQ37" t="s">
        <v>1307</v>
      </c>
      <c r="ER37" t="s">
        <v>1319</v>
      </c>
      <c r="ES37" t="s">
        <v>1319</v>
      </c>
      <c r="EU37" t="s">
        <v>2994</v>
      </c>
      <c r="EV37" t="s">
        <v>1309</v>
      </c>
      <c r="EW37" t="s">
        <v>1309</v>
      </c>
      <c r="EX37" t="s">
        <v>1309</v>
      </c>
      <c r="EY37" t="s">
        <v>1309</v>
      </c>
      <c r="EZ37" t="s">
        <v>1309</v>
      </c>
      <c r="FA37" t="s">
        <v>1310</v>
      </c>
      <c r="FB37" t="s">
        <v>1310</v>
      </c>
      <c r="FC37" t="s">
        <v>1310</v>
      </c>
      <c r="FD37" t="s">
        <v>1309</v>
      </c>
      <c r="FE37" t="s">
        <v>1309</v>
      </c>
      <c r="FF37" t="s">
        <v>1309</v>
      </c>
      <c r="FG37" t="s">
        <v>1309</v>
      </c>
      <c r="FH37" t="s">
        <v>1309</v>
      </c>
      <c r="FI37" t="s">
        <v>1309</v>
      </c>
      <c r="FJ37" t="s">
        <v>1309</v>
      </c>
      <c r="FK37" t="s">
        <v>1309</v>
      </c>
      <c r="FL37" t="s">
        <v>1309</v>
      </c>
      <c r="FN37" t="s">
        <v>1319</v>
      </c>
      <c r="FO37" t="s">
        <v>2995</v>
      </c>
      <c r="FP37" t="s">
        <v>1310</v>
      </c>
      <c r="FQ37" t="s">
        <v>1309</v>
      </c>
      <c r="FR37" t="s">
        <v>1310</v>
      </c>
      <c r="FS37" t="s">
        <v>1309</v>
      </c>
      <c r="FT37" t="s">
        <v>1309</v>
      </c>
      <c r="FU37" t="s">
        <v>1310</v>
      </c>
      <c r="FV37" t="s">
        <v>1309</v>
      </c>
      <c r="FW37" t="s">
        <v>1309</v>
      </c>
      <c r="FX37" t="s">
        <v>1309</v>
      </c>
      <c r="FY37" t="s">
        <v>1309</v>
      </c>
      <c r="FZ37" t="s">
        <v>1309</v>
      </c>
      <c r="GA37" t="s">
        <v>1309</v>
      </c>
      <c r="GC37" t="s">
        <v>1324</v>
      </c>
      <c r="GD37" t="s">
        <v>1324</v>
      </c>
      <c r="GN37" t="s">
        <v>1328</v>
      </c>
      <c r="GO37" t="s">
        <v>2996</v>
      </c>
      <c r="GP37" t="s">
        <v>1309</v>
      </c>
      <c r="GQ37" t="s">
        <v>1310</v>
      </c>
      <c r="GR37" t="s">
        <v>1310</v>
      </c>
      <c r="GS37" t="s">
        <v>1309</v>
      </c>
      <c r="GT37" t="s">
        <v>1310</v>
      </c>
      <c r="GU37" t="s">
        <v>1309</v>
      </c>
      <c r="GV37" t="s">
        <v>1309</v>
      </c>
      <c r="GW37" t="s">
        <v>1309</v>
      </c>
      <c r="GX37" t="s">
        <v>1309</v>
      </c>
      <c r="GY37" t="s">
        <v>1309</v>
      </c>
      <c r="GZ37" t="s">
        <v>1309</v>
      </c>
      <c r="HB37" t="s">
        <v>1319</v>
      </c>
      <c r="HC37" t="s">
        <v>2873</v>
      </c>
      <c r="HD37" t="s">
        <v>1310</v>
      </c>
      <c r="HE37" t="s">
        <v>1309</v>
      </c>
      <c r="HF37" t="s">
        <v>1309</v>
      </c>
      <c r="HG37" t="s">
        <v>1309</v>
      </c>
      <c r="HH37" t="s">
        <v>1309</v>
      </c>
      <c r="HI37" t="s">
        <v>1309</v>
      </c>
      <c r="HJ37" t="s">
        <v>1309</v>
      </c>
      <c r="HK37" t="s">
        <v>1310</v>
      </c>
      <c r="HL37" t="s">
        <v>1309</v>
      </c>
      <c r="HM37" t="s">
        <v>1309</v>
      </c>
      <c r="HN37" t="s">
        <v>1309</v>
      </c>
      <c r="HO37" t="s">
        <v>1309</v>
      </c>
      <c r="HP37" t="s">
        <v>1309</v>
      </c>
      <c r="HR37" t="s">
        <v>2997</v>
      </c>
      <c r="HS37" t="s">
        <v>1310</v>
      </c>
      <c r="HT37" t="s">
        <v>1310</v>
      </c>
      <c r="HU37" t="s">
        <v>1309</v>
      </c>
      <c r="HV37" t="s">
        <v>1309</v>
      </c>
      <c r="HW37" t="s">
        <v>1309</v>
      </c>
      <c r="HX37" t="s">
        <v>1309</v>
      </c>
      <c r="HY37" t="s">
        <v>1309</v>
      </c>
      <c r="HZ37" t="s">
        <v>1309</v>
      </c>
      <c r="IB37" s="92" t="s">
        <v>1926</v>
      </c>
      <c r="IC37" s="92" t="s">
        <v>1933</v>
      </c>
      <c r="ID37" s="92">
        <v>44</v>
      </c>
      <c r="IE37" s="92" t="s">
        <v>1307</v>
      </c>
      <c r="IF37" s="92" t="s">
        <v>4396</v>
      </c>
      <c r="IG37" s="92" t="s">
        <v>1368</v>
      </c>
      <c r="IH37" s="92" t="s">
        <v>1296</v>
      </c>
      <c r="II37" s="92" t="s">
        <v>71</v>
      </c>
      <c r="IJ37" s="92" t="s">
        <v>5549</v>
      </c>
      <c r="IK37" s="92" t="s">
        <v>1337</v>
      </c>
      <c r="IL37" s="92" t="s">
        <v>4845</v>
      </c>
      <c r="IM37" s="92" t="s">
        <v>1338</v>
      </c>
      <c r="IN37" s="92" t="s">
        <v>109</v>
      </c>
      <c r="IO37" s="92" t="s">
        <v>4847</v>
      </c>
      <c r="IP37" s="92" t="s">
        <v>1371</v>
      </c>
      <c r="IQ37" s="92">
        <v>900</v>
      </c>
      <c r="IR37" s="92" t="s">
        <v>1372</v>
      </c>
      <c r="IS37" s="92" t="s">
        <v>192</v>
      </c>
      <c r="IT37" s="92" t="s">
        <v>109</v>
      </c>
      <c r="IU37" s="92" t="s">
        <v>192</v>
      </c>
      <c r="IV37" s="92" t="s">
        <v>109</v>
      </c>
      <c r="IW37" s="92" t="s">
        <v>1374</v>
      </c>
      <c r="IX37" s="92">
        <v>1100</v>
      </c>
      <c r="IY37" s="92" t="s">
        <v>1372</v>
      </c>
      <c r="IZ37" s="92" t="s">
        <v>1440</v>
      </c>
      <c r="JA37" s="92" t="s">
        <v>1401</v>
      </c>
      <c r="JB37" s="92" t="s">
        <v>192</v>
      </c>
      <c r="JC37" s="92" t="s">
        <v>5795</v>
      </c>
      <c r="JD37" s="92" t="s">
        <v>109</v>
      </c>
      <c r="JE37" s="92" t="s">
        <v>109</v>
      </c>
      <c r="JF37" s="92" t="s">
        <v>1340</v>
      </c>
      <c r="JG37" s="92" t="s">
        <v>1340</v>
      </c>
      <c r="JH37" s="92"/>
      <c r="JI37" s="92"/>
    </row>
    <row r="38" spans="1:269" x14ac:dyDescent="0.25">
      <c r="A38" t="s">
        <v>2998</v>
      </c>
      <c r="B38" t="s">
        <v>2999</v>
      </c>
      <c r="C38" t="s">
        <v>1429</v>
      </c>
      <c r="D38" t="s">
        <v>1306</v>
      </c>
      <c r="F38" t="s">
        <v>1307</v>
      </c>
      <c r="G38" t="s">
        <v>1319</v>
      </c>
      <c r="H38">
        <v>3</v>
      </c>
      <c r="I38" t="s">
        <v>1307</v>
      </c>
      <c r="J38" t="s">
        <v>1406</v>
      </c>
      <c r="K38" t="s">
        <v>1309</v>
      </c>
      <c r="L38" t="s">
        <v>1310</v>
      </c>
      <c r="M38" t="s">
        <v>1309</v>
      </c>
      <c r="N38" t="s">
        <v>1309</v>
      </c>
      <c r="O38" t="s">
        <v>1309</v>
      </c>
      <c r="P38" t="s">
        <v>1309</v>
      </c>
      <c r="Q38" t="s">
        <v>1309</v>
      </c>
      <c r="R38" t="s">
        <v>1309</v>
      </c>
      <c r="S38">
        <v>1</v>
      </c>
      <c r="U38" t="s">
        <v>1312</v>
      </c>
      <c r="V38" t="s">
        <v>1312</v>
      </c>
      <c r="W38" t="s">
        <v>1312</v>
      </c>
      <c r="X38" t="s">
        <v>1312</v>
      </c>
      <c r="Y38" t="s">
        <v>1312</v>
      </c>
      <c r="Z38" t="s">
        <v>1312</v>
      </c>
      <c r="AC38">
        <v>1</v>
      </c>
      <c r="AD38">
        <v>30000</v>
      </c>
      <c r="AE38">
        <v>15000</v>
      </c>
      <c r="AF38" t="s">
        <v>1351</v>
      </c>
      <c r="AH38" t="s">
        <v>1319</v>
      </c>
      <c r="AI38" t="s">
        <v>4879</v>
      </c>
      <c r="AK38" t="s">
        <v>1307</v>
      </c>
      <c r="CG38" t="s">
        <v>2849</v>
      </c>
      <c r="CH38" t="s">
        <v>1309</v>
      </c>
      <c r="CI38" t="s">
        <v>1309</v>
      </c>
      <c r="CJ38" t="s">
        <v>1309</v>
      </c>
      <c r="CK38" t="s">
        <v>1310</v>
      </c>
      <c r="CL38" t="s">
        <v>1309</v>
      </c>
      <c r="CM38" t="s">
        <v>1309</v>
      </c>
      <c r="CN38" t="s">
        <v>1309</v>
      </c>
      <c r="CO38" t="s">
        <v>1309</v>
      </c>
      <c r="CP38" t="s">
        <v>1310</v>
      </c>
      <c r="CQ38" t="s">
        <v>1309</v>
      </c>
      <c r="CR38" t="s">
        <v>1309</v>
      </c>
      <c r="CS38" t="s">
        <v>1309</v>
      </c>
      <c r="CT38" t="s">
        <v>1309</v>
      </c>
      <c r="CU38" t="s">
        <v>1309</v>
      </c>
      <c r="CV38" t="s">
        <v>1309</v>
      </c>
      <c r="CX38" t="s">
        <v>1384</v>
      </c>
      <c r="CY38" t="s">
        <v>1310</v>
      </c>
      <c r="CZ38" t="s">
        <v>1309</v>
      </c>
      <c r="DA38" t="s">
        <v>1309</v>
      </c>
      <c r="DB38" t="s">
        <v>1309</v>
      </c>
      <c r="DC38" t="s">
        <v>1309</v>
      </c>
      <c r="DD38" t="s">
        <v>1309</v>
      </c>
      <c r="DE38" t="s">
        <v>1309</v>
      </c>
      <c r="DF38" t="s">
        <v>1309</v>
      </c>
      <c r="DG38" t="s">
        <v>1309</v>
      </c>
      <c r="DH38" t="s">
        <v>1309</v>
      </c>
      <c r="DI38" t="s">
        <v>1309</v>
      </c>
      <c r="DJ38" t="s">
        <v>1309</v>
      </c>
      <c r="DK38" t="s">
        <v>1309</v>
      </c>
      <c r="DM38" t="s">
        <v>4434</v>
      </c>
      <c r="DO38" t="s">
        <v>1357</v>
      </c>
      <c r="DP38" t="s">
        <v>1309</v>
      </c>
      <c r="DQ38" t="s">
        <v>1309</v>
      </c>
      <c r="DR38" t="s">
        <v>1309</v>
      </c>
      <c r="DS38" t="s">
        <v>1309</v>
      </c>
      <c r="DT38" t="s">
        <v>1310</v>
      </c>
      <c r="DU38" t="s">
        <v>1309</v>
      </c>
      <c r="DV38" t="s">
        <v>1309</v>
      </c>
      <c r="DX38" t="s">
        <v>1358</v>
      </c>
      <c r="EC38" t="s">
        <v>1358</v>
      </c>
      <c r="ED38">
        <v>2500</v>
      </c>
      <c r="EF38">
        <v>900</v>
      </c>
      <c r="EG38" t="s">
        <v>1703</v>
      </c>
      <c r="EH38" t="s">
        <v>1310</v>
      </c>
      <c r="EI38" t="s">
        <v>1309</v>
      </c>
      <c r="EJ38" t="s">
        <v>1309</v>
      </c>
      <c r="EK38" t="s">
        <v>1309</v>
      </c>
      <c r="EL38" t="s">
        <v>1309</v>
      </c>
      <c r="EM38" t="s">
        <v>1309</v>
      </c>
      <c r="EN38" t="s">
        <v>1309</v>
      </c>
      <c r="EO38" t="s">
        <v>1309</v>
      </c>
      <c r="EQ38" t="s">
        <v>1307</v>
      </c>
      <c r="ER38" t="s">
        <v>1307</v>
      </c>
      <c r="ES38" t="s">
        <v>1307</v>
      </c>
      <c r="FN38" t="s">
        <v>1307</v>
      </c>
      <c r="GC38" t="s">
        <v>1448</v>
      </c>
      <c r="GD38" t="s">
        <v>1448</v>
      </c>
      <c r="GN38" t="s">
        <v>1364</v>
      </c>
      <c r="HB38" t="s">
        <v>1319</v>
      </c>
      <c r="HC38" t="s">
        <v>1639</v>
      </c>
      <c r="HD38" t="s">
        <v>1309</v>
      </c>
      <c r="HE38" t="s">
        <v>1309</v>
      </c>
      <c r="HF38" t="s">
        <v>1309</v>
      </c>
      <c r="HG38" t="s">
        <v>1309</v>
      </c>
      <c r="HH38" t="s">
        <v>1309</v>
      </c>
      <c r="HI38" t="s">
        <v>1309</v>
      </c>
      <c r="HJ38" t="s">
        <v>1309</v>
      </c>
      <c r="HK38" t="s">
        <v>1310</v>
      </c>
      <c r="HL38" t="s">
        <v>1309</v>
      </c>
      <c r="HM38" t="s">
        <v>1309</v>
      </c>
      <c r="HN38" t="s">
        <v>1309</v>
      </c>
      <c r="HO38" t="s">
        <v>1309</v>
      </c>
      <c r="HP38" t="s">
        <v>1309</v>
      </c>
      <c r="HR38" t="s">
        <v>1523</v>
      </c>
      <c r="HS38" t="s">
        <v>1309</v>
      </c>
      <c r="HT38" t="s">
        <v>1309</v>
      </c>
      <c r="HU38" t="s">
        <v>1309</v>
      </c>
      <c r="HV38" t="s">
        <v>1310</v>
      </c>
      <c r="HW38" t="s">
        <v>1309</v>
      </c>
      <c r="HX38" t="s">
        <v>1309</v>
      </c>
      <c r="HY38" t="s">
        <v>1309</v>
      </c>
      <c r="HZ38" t="s">
        <v>1309</v>
      </c>
      <c r="IB38" s="92" t="s">
        <v>1926</v>
      </c>
      <c r="IC38" s="92" t="s">
        <v>1927</v>
      </c>
      <c r="ID38" s="92">
        <v>33</v>
      </c>
      <c r="IE38" s="92" t="s">
        <v>1307</v>
      </c>
      <c r="IF38" s="92" t="s">
        <v>4396</v>
      </c>
      <c r="IG38" s="92" t="s">
        <v>1368</v>
      </c>
      <c r="IH38" s="92" t="s">
        <v>1296</v>
      </c>
      <c r="II38" s="92" t="s">
        <v>70</v>
      </c>
      <c r="IJ38" s="92" t="s">
        <v>5549</v>
      </c>
      <c r="IK38" s="92" t="s">
        <v>1398</v>
      </c>
      <c r="IL38" s="92" t="s">
        <v>4845</v>
      </c>
      <c r="IM38" s="92" t="s">
        <v>1415</v>
      </c>
      <c r="IN38" s="92" t="s">
        <v>109</v>
      </c>
      <c r="IO38" s="92" t="s">
        <v>4844</v>
      </c>
      <c r="IP38" s="92" t="s">
        <v>1416</v>
      </c>
      <c r="IQ38" s="92">
        <v>0</v>
      </c>
      <c r="IR38" s="92" t="s">
        <v>1372</v>
      </c>
      <c r="IS38" s="92" t="s">
        <v>109</v>
      </c>
      <c r="IT38" s="92" t="s">
        <v>109</v>
      </c>
      <c r="IU38" s="92" t="s">
        <v>192</v>
      </c>
      <c r="IV38" s="92" t="s">
        <v>109</v>
      </c>
      <c r="IW38" s="92" t="s">
        <v>1373</v>
      </c>
      <c r="IX38" s="92">
        <v>3400</v>
      </c>
      <c r="IY38" s="92" t="s">
        <v>4438</v>
      </c>
      <c r="IZ38" s="92" t="s">
        <v>1341</v>
      </c>
      <c r="JA38" s="92" t="s">
        <v>1375</v>
      </c>
      <c r="JB38" s="92" t="s">
        <v>192</v>
      </c>
      <c r="JC38" s="92" t="s">
        <v>5795</v>
      </c>
      <c r="JD38" s="92" t="s">
        <v>109</v>
      </c>
      <c r="JE38" s="92" t="s">
        <v>109</v>
      </c>
      <c r="JF38" s="92" t="s">
        <v>1372</v>
      </c>
      <c r="JG38" s="92" t="s">
        <v>4438</v>
      </c>
      <c r="JH38" s="92" t="s">
        <v>109</v>
      </c>
      <c r="JI38" s="92" t="s">
        <v>109</v>
      </c>
    </row>
    <row r="39" spans="1:269" x14ac:dyDescent="0.25">
      <c r="A39" t="s">
        <v>3000</v>
      </c>
      <c r="B39" t="s">
        <v>3001</v>
      </c>
      <c r="C39" t="s">
        <v>1429</v>
      </c>
      <c r="D39" t="s">
        <v>2516</v>
      </c>
      <c r="F39" t="s">
        <v>1319</v>
      </c>
      <c r="G39" t="s">
        <v>1319</v>
      </c>
      <c r="H39">
        <v>1</v>
      </c>
      <c r="J39" t="s">
        <v>1308</v>
      </c>
      <c r="K39" t="s">
        <v>1309</v>
      </c>
      <c r="L39" t="s">
        <v>1309</v>
      </c>
      <c r="M39" t="s">
        <v>1309</v>
      </c>
      <c r="N39" t="s">
        <v>1309</v>
      </c>
      <c r="O39" t="s">
        <v>1309</v>
      </c>
      <c r="P39" t="s">
        <v>1309</v>
      </c>
      <c r="Q39" t="s">
        <v>1310</v>
      </c>
      <c r="R39" t="s">
        <v>1309</v>
      </c>
      <c r="U39" t="s">
        <v>1312</v>
      </c>
      <c r="V39" t="s">
        <v>1312</v>
      </c>
      <c r="W39" t="s">
        <v>1312</v>
      </c>
      <c r="X39" t="s">
        <v>1312</v>
      </c>
      <c r="Y39" t="s">
        <v>1312</v>
      </c>
      <c r="Z39" t="s">
        <v>1312</v>
      </c>
      <c r="AC39">
        <v>1</v>
      </c>
      <c r="AD39">
        <v>2000</v>
      </c>
      <c r="AE39">
        <v>1500</v>
      </c>
      <c r="AF39" t="s">
        <v>1351</v>
      </c>
      <c r="AH39" t="s">
        <v>1307</v>
      </c>
      <c r="AI39" t="s">
        <v>4732</v>
      </c>
      <c r="AK39" t="s">
        <v>1307</v>
      </c>
      <c r="CG39" t="s">
        <v>1414</v>
      </c>
      <c r="CH39" t="s">
        <v>1309</v>
      </c>
      <c r="CI39" t="s">
        <v>1309</v>
      </c>
      <c r="CJ39" t="s">
        <v>1309</v>
      </c>
      <c r="CK39" t="s">
        <v>1309</v>
      </c>
      <c r="CL39" t="s">
        <v>1309</v>
      </c>
      <c r="CM39" t="s">
        <v>1309</v>
      </c>
      <c r="CN39" t="s">
        <v>1309</v>
      </c>
      <c r="CO39" t="s">
        <v>1309</v>
      </c>
      <c r="CP39" t="s">
        <v>1309</v>
      </c>
      <c r="CQ39" t="s">
        <v>1309</v>
      </c>
      <c r="CR39" t="s">
        <v>1309</v>
      </c>
      <c r="CS39" t="s">
        <v>1309</v>
      </c>
      <c r="CT39" t="s">
        <v>1309</v>
      </c>
      <c r="CU39" t="s">
        <v>1310</v>
      </c>
      <c r="CV39" t="s">
        <v>1309</v>
      </c>
      <c r="CX39" t="s">
        <v>1414</v>
      </c>
      <c r="CY39" t="s">
        <v>1309</v>
      </c>
      <c r="CZ39" t="s">
        <v>1309</v>
      </c>
      <c r="DA39" t="s">
        <v>1309</v>
      </c>
      <c r="DB39" t="s">
        <v>1309</v>
      </c>
      <c r="DC39" t="s">
        <v>1309</v>
      </c>
      <c r="DD39" t="s">
        <v>1309</v>
      </c>
      <c r="DE39" t="s">
        <v>1309</v>
      </c>
      <c r="DF39" t="s">
        <v>1309</v>
      </c>
      <c r="DG39" t="s">
        <v>1309</v>
      </c>
      <c r="DH39" t="s">
        <v>1309</v>
      </c>
      <c r="DI39" t="s">
        <v>1309</v>
      </c>
      <c r="DJ39" t="s">
        <v>1310</v>
      </c>
      <c r="DK39" t="s">
        <v>1309</v>
      </c>
      <c r="DM39" t="s">
        <v>4434</v>
      </c>
      <c r="DO39" t="s">
        <v>1308</v>
      </c>
      <c r="DP39" t="s">
        <v>1310</v>
      </c>
      <c r="DQ39" t="s">
        <v>1309</v>
      </c>
      <c r="DR39" t="s">
        <v>1309</v>
      </c>
      <c r="DS39" t="s">
        <v>1309</v>
      </c>
      <c r="DT39" t="s">
        <v>1309</v>
      </c>
      <c r="DU39" t="s">
        <v>1309</v>
      </c>
      <c r="DV39" t="s">
        <v>1309</v>
      </c>
      <c r="DX39" t="s">
        <v>1358</v>
      </c>
      <c r="DZ39">
        <v>150</v>
      </c>
      <c r="EB39">
        <v>200</v>
      </c>
      <c r="EC39" t="s">
        <v>1307</v>
      </c>
      <c r="EG39" t="s">
        <v>2930</v>
      </c>
      <c r="EH39" t="s">
        <v>1309</v>
      </c>
      <c r="EI39" t="s">
        <v>1309</v>
      </c>
      <c r="EJ39" t="s">
        <v>1309</v>
      </c>
      <c r="EK39" t="s">
        <v>1309</v>
      </c>
      <c r="EL39" t="s">
        <v>1310</v>
      </c>
      <c r="EM39" t="s">
        <v>1309</v>
      </c>
      <c r="EN39" t="s">
        <v>1309</v>
      </c>
      <c r="EO39" t="s">
        <v>1309</v>
      </c>
      <c r="EQ39" t="s">
        <v>1307</v>
      </c>
      <c r="ER39" t="s">
        <v>1319</v>
      </c>
      <c r="ES39" t="s">
        <v>1319</v>
      </c>
      <c r="EU39" t="s">
        <v>3002</v>
      </c>
      <c r="EV39" t="s">
        <v>1310</v>
      </c>
      <c r="EW39" t="s">
        <v>1309</v>
      </c>
      <c r="EX39" t="s">
        <v>1310</v>
      </c>
      <c r="EY39" t="s">
        <v>1310</v>
      </c>
      <c r="EZ39" t="s">
        <v>1309</v>
      </c>
      <c r="FA39" t="s">
        <v>1309</v>
      </c>
      <c r="FB39" t="s">
        <v>1309</v>
      </c>
      <c r="FC39" t="s">
        <v>1310</v>
      </c>
      <c r="FD39" t="s">
        <v>1310</v>
      </c>
      <c r="FE39" t="s">
        <v>1310</v>
      </c>
      <c r="FF39" t="s">
        <v>1309</v>
      </c>
      <c r="FG39" t="s">
        <v>1309</v>
      </c>
      <c r="FH39" t="s">
        <v>1310</v>
      </c>
      <c r="FI39" t="s">
        <v>1309</v>
      </c>
      <c r="FJ39" t="s">
        <v>1309</v>
      </c>
      <c r="FK39" t="s">
        <v>1309</v>
      </c>
      <c r="FL39" t="s">
        <v>1309</v>
      </c>
      <c r="FN39" t="s">
        <v>1319</v>
      </c>
      <c r="FO39" t="s">
        <v>1435</v>
      </c>
      <c r="FP39" t="s">
        <v>1310</v>
      </c>
      <c r="FQ39" t="s">
        <v>1309</v>
      </c>
      <c r="FR39" t="s">
        <v>1309</v>
      </c>
      <c r="FS39" t="s">
        <v>1309</v>
      </c>
      <c r="FT39" t="s">
        <v>1309</v>
      </c>
      <c r="FU39" t="s">
        <v>1309</v>
      </c>
      <c r="FV39" t="s">
        <v>1309</v>
      </c>
      <c r="FW39" t="s">
        <v>1309</v>
      </c>
      <c r="FX39" t="s">
        <v>1309</v>
      </c>
      <c r="FY39" t="s">
        <v>1309</v>
      </c>
      <c r="FZ39" t="s">
        <v>1309</v>
      </c>
      <c r="GA39" t="s">
        <v>1309</v>
      </c>
      <c r="GC39" t="s">
        <v>1436</v>
      </c>
      <c r="GD39" t="s">
        <v>1436</v>
      </c>
      <c r="GE39" t="s">
        <v>1319</v>
      </c>
      <c r="GF39" t="s">
        <v>1619</v>
      </c>
      <c r="GG39" t="s">
        <v>1310</v>
      </c>
      <c r="GH39" t="s">
        <v>1309</v>
      </c>
      <c r="GI39" t="s">
        <v>1309</v>
      </c>
      <c r="GJ39" t="s">
        <v>1309</v>
      </c>
      <c r="GK39" t="s">
        <v>1309</v>
      </c>
      <c r="GL39" t="s">
        <v>1309</v>
      </c>
      <c r="GN39" t="s">
        <v>1364</v>
      </c>
      <c r="HB39" t="s">
        <v>1414</v>
      </c>
      <c r="HR39" t="s">
        <v>1414</v>
      </c>
      <c r="HS39" t="s">
        <v>1309</v>
      </c>
      <c r="HT39" t="s">
        <v>1309</v>
      </c>
      <c r="HU39" t="s">
        <v>1309</v>
      </c>
      <c r="HV39" t="s">
        <v>1309</v>
      </c>
      <c r="HW39" t="s">
        <v>1309</v>
      </c>
      <c r="HX39" t="s">
        <v>1309</v>
      </c>
      <c r="HY39" t="s">
        <v>1310</v>
      </c>
      <c r="HZ39" t="s">
        <v>1309</v>
      </c>
      <c r="IB39" s="92" t="s">
        <v>1721</v>
      </c>
      <c r="IC39" s="92" t="s">
        <v>1908</v>
      </c>
      <c r="ID39" s="92">
        <v>59</v>
      </c>
      <c r="IE39" s="92" t="s">
        <v>1307</v>
      </c>
      <c r="IF39" s="92" t="s">
        <v>4395</v>
      </c>
      <c r="IG39" s="92" t="s">
        <v>1526</v>
      </c>
      <c r="IH39" s="92" t="s">
        <v>1296</v>
      </c>
      <c r="II39" s="92" t="s">
        <v>71</v>
      </c>
      <c r="IJ39" s="92" t="s">
        <v>1397</v>
      </c>
      <c r="IK39" s="92" t="s">
        <v>1337</v>
      </c>
      <c r="IL39" s="92" t="s">
        <v>4844</v>
      </c>
      <c r="IM39" s="92" t="s">
        <v>1338</v>
      </c>
      <c r="IN39" s="92" t="s">
        <v>109</v>
      </c>
      <c r="IO39" s="92" t="s">
        <v>4844</v>
      </c>
      <c r="IP39" s="92" t="s">
        <v>5561</v>
      </c>
      <c r="IQ39" s="92">
        <v>350</v>
      </c>
      <c r="IR39" s="92" t="s">
        <v>4438</v>
      </c>
      <c r="IS39" s="92" t="s">
        <v>192</v>
      </c>
      <c r="IT39" s="92" t="s">
        <v>109</v>
      </c>
      <c r="IU39" s="92" t="s">
        <v>109</v>
      </c>
      <c r="IV39" s="92" t="s">
        <v>109</v>
      </c>
      <c r="IW39" s="92" t="s">
        <v>1373</v>
      </c>
      <c r="IX39" s="92">
        <v>0</v>
      </c>
      <c r="IY39" s="92" t="s">
        <v>1372</v>
      </c>
      <c r="IZ39" s="92" t="s">
        <v>1373</v>
      </c>
      <c r="JA39" s="92" t="s">
        <v>1460</v>
      </c>
      <c r="JB39" s="92" t="s">
        <v>192</v>
      </c>
      <c r="JC39" s="92" t="s">
        <v>1403</v>
      </c>
      <c r="JD39" s="92" t="s">
        <v>109</v>
      </c>
      <c r="JE39" s="92" t="s">
        <v>109</v>
      </c>
      <c r="JF39" s="92" t="s">
        <v>4438</v>
      </c>
      <c r="JG39" s="92" t="s">
        <v>1372</v>
      </c>
      <c r="JH39" s="92" t="s">
        <v>109</v>
      </c>
      <c r="JI39" s="92" t="s">
        <v>109</v>
      </c>
    </row>
    <row r="40" spans="1:269" x14ac:dyDescent="0.25">
      <c r="A40" t="s">
        <v>3003</v>
      </c>
      <c r="B40" t="s">
        <v>3004</v>
      </c>
      <c r="C40" t="s">
        <v>1305</v>
      </c>
      <c r="D40" t="s">
        <v>1381</v>
      </c>
      <c r="F40" t="s">
        <v>1319</v>
      </c>
      <c r="G40" t="s">
        <v>1319</v>
      </c>
      <c r="H40">
        <v>5</v>
      </c>
      <c r="I40" t="s">
        <v>1358</v>
      </c>
      <c r="J40" t="s">
        <v>2459</v>
      </c>
      <c r="K40" t="s">
        <v>1309</v>
      </c>
      <c r="L40" t="s">
        <v>1310</v>
      </c>
      <c r="M40" t="s">
        <v>1310</v>
      </c>
      <c r="N40" t="s">
        <v>1309</v>
      </c>
      <c r="O40" t="s">
        <v>1310</v>
      </c>
      <c r="P40" t="s">
        <v>1310</v>
      </c>
      <c r="Q40" t="s">
        <v>1309</v>
      </c>
      <c r="R40" t="s">
        <v>1309</v>
      </c>
      <c r="S40">
        <v>3</v>
      </c>
      <c r="T40">
        <v>1</v>
      </c>
      <c r="U40" t="s">
        <v>1311</v>
      </c>
      <c r="V40" t="s">
        <v>1312</v>
      </c>
      <c r="W40" t="s">
        <v>1312</v>
      </c>
      <c r="X40" t="s">
        <v>1312</v>
      </c>
      <c r="Y40" t="s">
        <v>1312</v>
      </c>
      <c r="Z40" t="s">
        <v>1312</v>
      </c>
      <c r="AC40">
        <v>5</v>
      </c>
      <c r="AD40">
        <v>12000</v>
      </c>
      <c r="AE40">
        <v>9500</v>
      </c>
      <c r="AF40" t="s">
        <v>1313</v>
      </c>
      <c r="AH40" t="s">
        <v>1319</v>
      </c>
      <c r="AI40" t="s">
        <v>4878</v>
      </c>
      <c r="AK40" t="s">
        <v>1307</v>
      </c>
      <c r="CG40" t="s">
        <v>1698</v>
      </c>
      <c r="CH40" t="s">
        <v>1309</v>
      </c>
      <c r="CI40" t="s">
        <v>1309</v>
      </c>
      <c r="CJ40" t="s">
        <v>1309</v>
      </c>
      <c r="CK40" t="s">
        <v>1309</v>
      </c>
      <c r="CL40" t="s">
        <v>1309</v>
      </c>
      <c r="CM40" t="s">
        <v>1309</v>
      </c>
      <c r="CN40" t="s">
        <v>1309</v>
      </c>
      <c r="CO40" t="s">
        <v>1309</v>
      </c>
      <c r="CP40" t="s">
        <v>1309</v>
      </c>
      <c r="CQ40" t="s">
        <v>1309</v>
      </c>
      <c r="CR40" t="s">
        <v>1309</v>
      </c>
      <c r="CS40" t="s">
        <v>1309</v>
      </c>
      <c r="CT40" t="s">
        <v>1310</v>
      </c>
      <c r="CU40" t="s">
        <v>1309</v>
      </c>
      <c r="CV40" t="s">
        <v>1309</v>
      </c>
      <c r="CW40" t="s">
        <v>3005</v>
      </c>
      <c r="CX40" t="s">
        <v>1414</v>
      </c>
      <c r="CY40" t="s">
        <v>1309</v>
      </c>
      <c r="CZ40" t="s">
        <v>1309</v>
      </c>
      <c r="DA40" t="s">
        <v>1309</v>
      </c>
      <c r="DB40" t="s">
        <v>1309</v>
      </c>
      <c r="DC40" t="s">
        <v>1309</v>
      </c>
      <c r="DD40" t="s">
        <v>1309</v>
      </c>
      <c r="DE40" t="s">
        <v>1309</v>
      </c>
      <c r="DF40" t="s">
        <v>1309</v>
      </c>
      <c r="DG40" t="s">
        <v>1309</v>
      </c>
      <c r="DH40" t="s">
        <v>1309</v>
      </c>
      <c r="DI40" t="s">
        <v>1309</v>
      </c>
      <c r="DJ40" t="s">
        <v>1310</v>
      </c>
      <c r="DK40" t="s">
        <v>1309</v>
      </c>
      <c r="DM40" t="s">
        <v>4434</v>
      </c>
      <c r="DO40" t="s">
        <v>1357</v>
      </c>
      <c r="DP40" t="s">
        <v>1309</v>
      </c>
      <c r="DQ40" t="s">
        <v>1309</v>
      </c>
      <c r="DR40" t="s">
        <v>1309</v>
      </c>
      <c r="DS40" t="s">
        <v>1309</v>
      </c>
      <c r="DT40" t="s">
        <v>1310</v>
      </c>
      <c r="DU40" t="s">
        <v>1309</v>
      </c>
      <c r="DV40" t="s">
        <v>1309</v>
      </c>
      <c r="DX40" t="s">
        <v>1358</v>
      </c>
      <c r="DZ40">
        <v>1600</v>
      </c>
      <c r="EB40">
        <v>500</v>
      </c>
      <c r="EC40" t="s">
        <v>1318</v>
      </c>
      <c r="ED40">
        <v>1500</v>
      </c>
      <c r="EG40" t="s">
        <v>2930</v>
      </c>
      <c r="EH40" t="s">
        <v>1309</v>
      </c>
      <c r="EI40" t="s">
        <v>1309</v>
      </c>
      <c r="EJ40" t="s">
        <v>1309</v>
      </c>
      <c r="EK40" t="s">
        <v>1309</v>
      </c>
      <c r="EL40" t="s">
        <v>1310</v>
      </c>
      <c r="EM40" t="s">
        <v>1309</v>
      </c>
      <c r="EN40" t="s">
        <v>1309</v>
      </c>
      <c r="EO40" t="s">
        <v>1309</v>
      </c>
      <c r="EQ40" t="s">
        <v>1307</v>
      </c>
      <c r="ER40" t="s">
        <v>1319</v>
      </c>
      <c r="ES40" t="s">
        <v>1319</v>
      </c>
      <c r="EU40" t="s">
        <v>3006</v>
      </c>
      <c r="EV40" t="s">
        <v>1309</v>
      </c>
      <c r="EW40" t="s">
        <v>1309</v>
      </c>
      <c r="EX40" t="s">
        <v>1309</v>
      </c>
      <c r="EY40" t="s">
        <v>1310</v>
      </c>
      <c r="EZ40" t="s">
        <v>1309</v>
      </c>
      <c r="FA40" t="s">
        <v>1310</v>
      </c>
      <c r="FB40" t="s">
        <v>1310</v>
      </c>
      <c r="FC40" t="s">
        <v>1309</v>
      </c>
      <c r="FD40" t="s">
        <v>1310</v>
      </c>
      <c r="FE40" t="s">
        <v>1309</v>
      </c>
      <c r="FF40" t="s">
        <v>1309</v>
      </c>
      <c r="FG40" t="s">
        <v>1309</v>
      </c>
      <c r="FH40" t="s">
        <v>1310</v>
      </c>
      <c r="FI40" t="s">
        <v>1309</v>
      </c>
      <c r="FJ40" t="s">
        <v>1309</v>
      </c>
      <c r="FK40" t="s">
        <v>1309</v>
      </c>
      <c r="FL40" t="s">
        <v>1309</v>
      </c>
      <c r="FN40" t="s">
        <v>1319</v>
      </c>
      <c r="FO40" t="s">
        <v>2490</v>
      </c>
      <c r="FP40" t="s">
        <v>1309</v>
      </c>
      <c r="FQ40" t="s">
        <v>1310</v>
      </c>
      <c r="FR40" t="s">
        <v>1309</v>
      </c>
      <c r="FS40" t="s">
        <v>1309</v>
      </c>
      <c r="FT40" t="s">
        <v>1309</v>
      </c>
      <c r="FU40" t="s">
        <v>1310</v>
      </c>
      <c r="FV40" t="s">
        <v>1309</v>
      </c>
      <c r="FW40" t="s">
        <v>1309</v>
      </c>
      <c r="FX40" t="s">
        <v>1309</v>
      </c>
      <c r="FY40" t="s">
        <v>1309</v>
      </c>
      <c r="FZ40" t="s">
        <v>1309</v>
      </c>
      <c r="GA40" t="s">
        <v>1309</v>
      </c>
      <c r="GC40" t="s">
        <v>1436</v>
      </c>
      <c r="GD40" t="s">
        <v>1436</v>
      </c>
      <c r="GE40" t="s">
        <v>1319</v>
      </c>
      <c r="GF40" t="s">
        <v>1619</v>
      </c>
      <c r="GG40" t="s">
        <v>1310</v>
      </c>
      <c r="GH40" t="s">
        <v>1309</v>
      </c>
      <c r="GI40" t="s">
        <v>1309</v>
      </c>
      <c r="GJ40" t="s">
        <v>1309</v>
      </c>
      <c r="GK40" t="s">
        <v>1309</v>
      </c>
      <c r="GL40" t="s">
        <v>1309</v>
      </c>
      <c r="GN40" t="s">
        <v>1364</v>
      </c>
      <c r="HB40" t="s">
        <v>1307</v>
      </c>
      <c r="HR40" t="s">
        <v>1414</v>
      </c>
      <c r="HS40" t="s">
        <v>1309</v>
      </c>
      <c r="HT40" t="s">
        <v>1309</v>
      </c>
      <c r="HU40" t="s">
        <v>1309</v>
      </c>
      <c r="HV40" t="s">
        <v>1309</v>
      </c>
      <c r="HW40" t="s">
        <v>1309</v>
      </c>
      <c r="HX40" t="s">
        <v>1309</v>
      </c>
      <c r="HY40" t="s">
        <v>1310</v>
      </c>
      <c r="HZ40" t="s">
        <v>1309</v>
      </c>
      <c r="IB40" s="92" t="s">
        <v>1524</v>
      </c>
      <c r="IC40" s="92" t="s">
        <v>1525</v>
      </c>
      <c r="ID40" s="92">
        <v>40</v>
      </c>
      <c r="IE40" s="92" t="s">
        <v>1307</v>
      </c>
      <c r="IF40" s="92" t="s">
        <v>4398</v>
      </c>
      <c r="IG40" s="92" t="s">
        <v>1526</v>
      </c>
      <c r="IH40" s="92" t="s">
        <v>1296</v>
      </c>
      <c r="II40" s="92" t="s">
        <v>71</v>
      </c>
      <c r="IJ40" s="92" t="s">
        <v>1397</v>
      </c>
      <c r="IK40" s="92" t="s">
        <v>1337</v>
      </c>
      <c r="IL40" s="92" t="s">
        <v>4846</v>
      </c>
      <c r="IM40" s="92" t="s">
        <v>1370</v>
      </c>
      <c r="IN40" s="92" t="s">
        <v>109</v>
      </c>
      <c r="IO40" s="92" t="s">
        <v>4848</v>
      </c>
      <c r="IP40" s="92" t="s">
        <v>1371</v>
      </c>
      <c r="IQ40" s="92">
        <v>2100</v>
      </c>
      <c r="IR40" s="92" t="s">
        <v>4438</v>
      </c>
      <c r="IS40" s="92" t="s">
        <v>192</v>
      </c>
      <c r="IT40" s="92" t="s">
        <v>109</v>
      </c>
      <c r="IU40" s="92" t="s">
        <v>192</v>
      </c>
      <c r="IV40" s="92" t="s">
        <v>109</v>
      </c>
      <c r="IW40" s="92" t="s">
        <v>1425</v>
      </c>
      <c r="IX40" s="92">
        <v>1500</v>
      </c>
      <c r="IY40" s="92" t="s">
        <v>4438</v>
      </c>
      <c r="IZ40" s="92" t="s">
        <v>1440</v>
      </c>
      <c r="JA40" s="92" t="s">
        <v>1375</v>
      </c>
      <c r="JB40" s="92" t="s">
        <v>192</v>
      </c>
      <c r="JC40" s="92" t="s">
        <v>1403</v>
      </c>
      <c r="JD40" s="92" t="s">
        <v>109</v>
      </c>
      <c r="JE40" s="92" t="s">
        <v>109</v>
      </c>
      <c r="JF40" s="92" t="s">
        <v>4438</v>
      </c>
      <c r="JG40" s="92" t="s">
        <v>4438</v>
      </c>
      <c r="JH40" s="92" t="s">
        <v>109</v>
      </c>
      <c r="JI40" s="92" t="s">
        <v>109</v>
      </c>
    </row>
    <row r="41" spans="1:269" x14ac:dyDescent="0.25">
      <c r="A41" t="s">
        <v>3007</v>
      </c>
      <c r="B41" t="s">
        <v>3008</v>
      </c>
      <c r="C41" t="s">
        <v>1429</v>
      </c>
      <c r="D41" t="s">
        <v>1381</v>
      </c>
      <c r="F41" t="s">
        <v>1319</v>
      </c>
      <c r="G41" t="s">
        <v>1319</v>
      </c>
      <c r="H41">
        <v>2</v>
      </c>
      <c r="I41" t="s">
        <v>1358</v>
      </c>
      <c r="J41" t="s">
        <v>1382</v>
      </c>
      <c r="K41" t="s">
        <v>1309</v>
      </c>
      <c r="L41" t="s">
        <v>1310</v>
      </c>
      <c r="M41" t="s">
        <v>1309</v>
      </c>
      <c r="N41" t="s">
        <v>1309</v>
      </c>
      <c r="O41" t="s">
        <v>1309</v>
      </c>
      <c r="P41" t="s">
        <v>1310</v>
      </c>
      <c r="Q41" t="s">
        <v>1309</v>
      </c>
      <c r="R41" t="s">
        <v>1309</v>
      </c>
      <c r="S41">
        <v>1</v>
      </c>
      <c r="U41" t="s">
        <v>1311</v>
      </c>
      <c r="V41" t="s">
        <v>1311</v>
      </c>
      <c r="W41" t="s">
        <v>1312</v>
      </c>
      <c r="X41" t="s">
        <v>1312</v>
      </c>
      <c r="Y41" t="s">
        <v>1312</v>
      </c>
      <c r="Z41" t="s">
        <v>1312</v>
      </c>
      <c r="AC41">
        <v>1</v>
      </c>
      <c r="AE41">
        <v>10000</v>
      </c>
      <c r="AF41" t="s">
        <v>1313</v>
      </c>
      <c r="AH41" t="s">
        <v>1307</v>
      </c>
      <c r="AI41" t="s">
        <v>4876</v>
      </c>
      <c r="AK41" t="s">
        <v>1307</v>
      </c>
      <c r="CG41" t="s">
        <v>3009</v>
      </c>
      <c r="CH41" t="s">
        <v>1309</v>
      </c>
      <c r="CI41" t="s">
        <v>1309</v>
      </c>
      <c r="CJ41" t="s">
        <v>1309</v>
      </c>
      <c r="CK41" t="s">
        <v>1309</v>
      </c>
      <c r="CL41" t="s">
        <v>1310</v>
      </c>
      <c r="CM41" t="s">
        <v>1309</v>
      </c>
      <c r="CN41" t="s">
        <v>1309</v>
      </c>
      <c r="CO41" t="s">
        <v>1309</v>
      </c>
      <c r="CP41" t="s">
        <v>1309</v>
      </c>
      <c r="CQ41" t="s">
        <v>1309</v>
      </c>
      <c r="CR41" t="s">
        <v>1309</v>
      </c>
      <c r="CS41" t="s">
        <v>1309</v>
      </c>
      <c r="CT41" t="s">
        <v>1309</v>
      </c>
      <c r="CU41" t="s">
        <v>1309</v>
      </c>
      <c r="CV41" t="s">
        <v>1309</v>
      </c>
      <c r="CX41" t="s">
        <v>3010</v>
      </c>
      <c r="CY41" t="s">
        <v>1310</v>
      </c>
      <c r="CZ41" t="s">
        <v>1309</v>
      </c>
      <c r="DA41" t="s">
        <v>1309</v>
      </c>
      <c r="DB41" t="s">
        <v>1309</v>
      </c>
      <c r="DC41" t="s">
        <v>1309</v>
      </c>
      <c r="DD41" t="s">
        <v>1309</v>
      </c>
      <c r="DE41" t="s">
        <v>1310</v>
      </c>
      <c r="DF41" t="s">
        <v>1309</v>
      </c>
      <c r="DG41" t="s">
        <v>1309</v>
      </c>
      <c r="DH41" t="s">
        <v>1309</v>
      </c>
      <c r="DI41" t="s">
        <v>1310</v>
      </c>
      <c r="DJ41" t="s">
        <v>1309</v>
      </c>
      <c r="DK41" t="s">
        <v>1309</v>
      </c>
      <c r="DL41" t="s">
        <v>3011</v>
      </c>
      <c r="DM41" t="s">
        <v>4435</v>
      </c>
      <c r="DO41" t="s">
        <v>1308</v>
      </c>
      <c r="DP41" t="s">
        <v>1310</v>
      </c>
      <c r="DQ41" t="s">
        <v>1309</v>
      </c>
      <c r="DR41" t="s">
        <v>1309</v>
      </c>
      <c r="DS41" t="s">
        <v>1309</v>
      </c>
      <c r="DT41" t="s">
        <v>1309</v>
      </c>
      <c r="DU41" t="s">
        <v>1309</v>
      </c>
      <c r="DV41" t="s">
        <v>1309</v>
      </c>
      <c r="DX41" t="s">
        <v>1358</v>
      </c>
      <c r="DY41" t="s">
        <v>1319</v>
      </c>
      <c r="DZ41">
        <v>200</v>
      </c>
      <c r="EA41">
        <v>2600</v>
      </c>
      <c r="EB41">
        <v>500</v>
      </c>
      <c r="EC41" t="s">
        <v>1358</v>
      </c>
      <c r="ED41">
        <v>200</v>
      </c>
      <c r="EE41">
        <v>3000</v>
      </c>
      <c r="EF41">
        <v>500</v>
      </c>
      <c r="EG41" t="s">
        <v>2949</v>
      </c>
      <c r="EH41" t="s">
        <v>1310</v>
      </c>
      <c r="EI41" t="s">
        <v>1310</v>
      </c>
      <c r="EJ41" t="s">
        <v>1309</v>
      </c>
      <c r="EK41" t="s">
        <v>1309</v>
      </c>
      <c r="EL41" t="s">
        <v>1309</v>
      </c>
      <c r="EM41" t="s">
        <v>1309</v>
      </c>
      <c r="EN41" t="s">
        <v>1309</v>
      </c>
      <c r="EO41" t="s">
        <v>1309</v>
      </c>
      <c r="EQ41" t="s">
        <v>1307</v>
      </c>
      <c r="ER41" t="s">
        <v>1319</v>
      </c>
      <c r="ES41" t="s">
        <v>1319</v>
      </c>
      <c r="EU41" t="s">
        <v>3012</v>
      </c>
      <c r="EV41" t="s">
        <v>1309</v>
      </c>
      <c r="EW41" t="s">
        <v>1309</v>
      </c>
      <c r="EX41" t="s">
        <v>1309</v>
      </c>
      <c r="EY41" t="s">
        <v>1309</v>
      </c>
      <c r="EZ41" t="s">
        <v>1309</v>
      </c>
      <c r="FA41" t="s">
        <v>1309</v>
      </c>
      <c r="FB41" t="s">
        <v>1309</v>
      </c>
      <c r="FC41" t="s">
        <v>1309</v>
      </c>
      <c r="FD41" t="s">
        <v>1310</v>
      </c>
      <c r="FE41" t="s">
        <v>1310</v>
      </c>
      <c r="FF41" t="s">
        <v>1309</v>
      </c>
      <c r="FG41" t="s">
        <v>1309</v>
      </c>
      <c r="FH41" t="s">
        <v>1310</v>
      </c>
      <c r="FI41" t="s">
        <v>1309</v>
      </c>
      <c r="FJ41" t="s">
        <v>1309</v>
      </c>
      <c r="FK41" t="s">
        <v>1309</v>
      </c>
      <c r="FL41" t="s">
        <v>1309</v>
      </c>
      <c r="FN41" t="s">
        <v>1307</v>
      </c>
      <c r="GC41" t="s">
        <v>1324</v>
      </c>
      <c r="GD41" t="s">
        <v>1324</v>
      </c>
      <c r="GN41" t="s">
        <v>1364</v>
      </c>
      <c r="HB41" t="s">
        <v>1319</v>
      </c>
      <c r="HC41" t="s">
        <v>1870</v>
      </c>
      <c r="HD41" t="s">
        <v>1309</v>
      </c>
      <c r="HE41" t="s">
        <v>1309</v>
      </c>
      <c r="HF41" t="s">
        <v>1309</v>
      </c>
      <c r="HG41" t="s">
        <v>1310</v>
      </c>
      <c r="HH41" t="s">
        <v>1310</v>
      </c>
      <c r="HI41" t="s">
        <v>1309</v>
      </c>
      <c r="HJ41" t="s">
        <v>1309</v>
      </c>
      <c r="HK41" t="s">
        <v>1309</v>
      </c>
      <c r="HL41" t="s">
        <v>1309</v>
      </c>
      <c r="HM41" t="s">
        <v>1309</v>
      </c>
      <c r="HN41" t="s">
        <v>1309</v>
      </c>
      <c r="HO41" t="s">
        <v>1309</v>
      </c>
      <c r="HP41" t="s">
        <v>1309</v>
      </c>
      <c r="HR41" t="s">
        <v>1523</v>
      </c>
      <c r="HS41" t="s">
        <v>1309</v>
      </c>
      <c r="HT41" t="s">
        <v>1309</v>
      </c>
      <c r="HU41" t="s">
        <v>1309</v>
      </c>
      <c r="HV41" t="s">
        <v>1310</v>
      </c>
      <c r="HW41" t="s">
        <v>1309</v>
      </c>
      <c r="HX41" t="s">
        <v>1309</v>
      </c>
      <c r="HY41" t="s">
        <v>1309</v>
      </c>
      <c r="HZ41" t="s">
        <v>1309</v>
      </c>
      <c r="IB41" s="92" t="s">
        <v>1333</v>
      </c>
      <c r="IC41" s="92" t="s">
        <v>1334</v>
      </c>
      <c r="ID41" s="92">
        <v>37</v>
      </c>
      <c r="IE41" s="92" t="s">
        <v>1307</v>
      </c>
      <c r="IF41" s="92" t="s">
        <v>4398</v>
      </c>
      <c r="IG41" s="92" t="s">
        <v>1336</v>
      </c>
      <c r="IH41" s="92" t="s">
        <v>1296</v>
      </c>
      <c r="II41" s="92" t="s">
        <v>71</v>
      </c>
      <c r="IJ41" s="92" t="s">
        <v>1397</v>
      </c>
      <c r="IK41" s="92" t="s">
        <v>1337</v>
      </c>
      <c r="IL41" s="92" t="s">
        <v>4845</v>
      </c>
      <c r="IM41" s="92" t="s">
        <v>1399</v>
      </c>
      <c r="IN41" s="92" t="s">
        <v>109</v>
      </c>
      <c r="IO41" s="92" t="s">
        <v>4844</v>
      </c>
      <c r="IP41" s="92" t="s">
        <v>1340</v>
      </c>
      <c r="IQ41" s="92">
        <v>3300</v>
      </c>
      <c r="IR41" s="92" t="s">
        <v>1340</v>
      </c>
      <c r="IS41" s="92" t="s">
        <v>192</v>
      </c>
      <c r="IT41" s="92" t="s">
        <v>192</v>
      </c>
      <c r="IU41" s="92" t="s">
        <v>192</v>
      </c>
      <c r="IV41" s="92" t="s">
        <v>192</v>
      </c>
      <c r="IW41" s="92" t="s">
        <v>1341</v>
      </c>
      <c r="IX41" s="92">
        <v>3700</v>
      </c>
      <c r="IY41" s="92" t="s">
        <v>1340</v>
      </c>
      <c r="IZ41" s="92" t="s">
        <v>1341</v>
      </c>
      <c r="JA41" s="92" t="s">
        <v>1342</v>
      </c>
      <c r="JB41" s="92" t="s">
        <v>192</v>
      </c>
      <c r="JC41" s="92" t="s">
        <v>1403</v>
      </c>
      <c r="JD41" s="92" t="s">
        <v>109</v>
      </c>
      <c r="JE41" s="92" t="s">
        <v>109</v>
      </c>
      <c r="JF41" s="92" t="s">
        <v>1340</v>
      </c>
      <c r="JG41" s="92" t="s">
        <v>1340</v>
      </c>
      <c r="JH41" s="92"/>
      <c r="JI41" s="92"/>
    </row>
    <row r="42" spans="1:269" x14ac:dyDescent="0.25">
      <c r="A42" t="s">
        <v>3013</v>
      </c>
      <c r="B42" t="s">
        <v>3014</v>
      </c>
      <c r="C42" t="s">
        <v>1429</v>
      </c>
      <c r="D42" t="s">
        <v>1306</v>
      </c>
      <c r="F42" t="s">
        <v>1307</v>
      </c>
      <c r="G42" t="s">
        <v>1319</v>
      </c>
      <c r="H42">
        <v>3</v>
      </c>
      <c r="I42" t="s">
        <v>1307</v>
      </c>
      <c r="J42" t="s">
        <v>1406</v>
      </c>
      <c r="K42" t="s">
        <v>1309</v>
      </c>
      <c r="L42" t="s">
        <v>1310</v>
      </c>
      <c r="M42" t="s">
        <v>1309</v>
      </c>
      <c r="N42" t="s">
        <v>1309</v>
      </c>
      <c r="O42" t="s">
        <v>1309</v>
      </c>
      <c r="P42" t="s">
        <v>1309</v>
      </c>
      <c r="Q42" t="s">
        <v>1309</v>
      </c>
      <c r="R42" t="s">
        <v>1309</v>
      </c>
      <c r="S42">
        <v>1</v>
      </c>
      <c r="U42" t="s">
        <v>1312</v>
      </c>
      <c r="V42" t="s">
        <v>1312</v>
      </c>
      <c r="W42" t="s">
        <v>1312</v>
      </c>
      <c r="X42" t="s">
        <v>1312</v>
      </c>
      <c r="Y42" t="s">
        <v>1312</v>
      </c>
      <c r="Z42" t="s">
        <v>1312</v>
      </c>
      <c r="AC42">
        <v>2</v>
      </c>
      <c r="AE42">
        <v>8000</v>
      </c>
      <c r="AF42" t="s">
        <v>1313</v>
      </c>
      <c r="AH42" t="s">
        <v>1319</v>
      </c>
      <c r="AI42" t="s">
        <v>4876</v>
      </c>
      <c r="AK42" t="s">
        <v>1307</v>
      </c>
      <c r="CG42" t="s">
        <v>2853</v>
      </c>
      <c r="CH42" t="s">
        <v>1309</v>
      </c>
      <c r="CI42" t="s">
        <v>1309</v>
      </c>
      <c r="CJ42" t="s">
        <v>1309</v>
      </c>
      <c r="CK42" t="s">
        <v>1310</v>
      </c>
      <c r="CL42" t="s">
        <v>1309</v>
      </c>
      <c r="CM42" t="s">
        <v>1309</v>
      </c>
      <c r="CN42" t="s">
        <v>1309</v>
      </c>
      <c r="CO42" t="s">
        <v>1309</v>
      </c>
      <c r="CP42" t="s">
        <v>1309</v>
      </c>
      <c r="CQ42" t="s">
        <v>1309</v>
      </c>
      <c r="CR42" t="s">
        <v>1309</v>
      </c>
      <c r="CS42" t="s">
        <v>1309</v>
      </c>
      <c r="CT42" t="s">
        <v>1309</v>
      </c>
      <c r="CU42" t="s">
        <v>1309</v>
      </c>
      <c r="CV42" t="s">
        <v>1309</v>
      </c>
      <c r="CX42" t="s">
        <v>1414</v>
      </c>
      <c r="CY42" t="s">
        <v>1309</v>
      </c>
      <c r="CZ42" t="s">
        <v>1309</v>
      </c>
      <c r="DA42" t="s">
        <v>1309</v>
      </c>
      <c r="DB42" t="s">
        <v>1309</v>
      </c>
      <c r="DC42" t="s">
        <v>1309</v>
      </c>
      <c r="DD42" t="s">
        <v>1309</v>
      </c>
      <c r="DE42" t="s">
        <v>1309</v>
      </c>
      <c r="DF42" t="s">
        <v>1309</v>
      </c>
      <c r="DG42" t="s">
        <v>1309</v>
      </c>
      <c r="DH42" t="s">
        <v>1309</v>
      </c>
      <c r="DI42" t="s">
        <v>1309</v>
      </c>
      <c r="DJ42" t="s">
        <v>1310</v>
      </c>
      <c r="DK42" t="s">
        <v>1309</v>
      </c>
      <c r="DM42" t="s">
        <v>4434</v>
      </c>
      <c r="DO42" t="s">
        <v>1357</v>
      </c>
      <c r="DP42" t="s">
        <v>1309</v>
      </c>
      <c r="DQ42" t="s">
        <v>1309</v>
      </c>
      <c r="DR42" t="s">
        <v>1309</v>
      </c>
      <c r="DS42" t="s">
        <v>1309</v>
      </c>
      <c r="DT42" t="s">
        <v>1310</v>
      </c>
      <c r="DU42" t="s">
        <v>1309</v>
      </c>
      <c r="DV42" t="s">
        <v>1309</v>
      </c>
      <c r="DX42" t="s">
        <v>1358</v>
      </c>
      <c r="DZ42">
        <v>2500</v>
      </c>
      <c r="EB42">
        <v>400</v>
      </c>
      <c r="EC42" t="s">
        <v>1358</v>
      </c>
      <c r="ED42">
        <v>3000</v>
      </c>
      <c r="EF42">
        <v>500</v>
      </c>
      <c r="EG42" t="s">
        <v>2949</v>
      </c>
      <c r="EH42" t="s">
        <v>1310</v>
      </c>
      <c r="EI42" t="s">
        <v>1310</v>
      </c>
      <c r="EJ42" t="s">
        <v>1309</v>
      </c>
      <c r="EK42" t="s">
        <v>1309</v>
      </c>
      <c r="EL42" t="s">
        <v>1309</v>
      </c>
      <c r="EM42" t="s">
        <v>1309</v>
      </c>
      <c r="EN42" t="s">
        <v>1309</v>
      </c>
      <c r="EO42" t="s">
        <v>1309</v>
      </c>
      <c r="EQ42" t="s">
        <v>1307</v>
      </c>
      <c r="ER42" t="s">
        <v>1307</v>
      </c>
      <c r="ES42" t="s">
        <v>1319</v>
      </c>
      <c r="ET42" t="s">
        <v>1319</v>
      </c>
      <c r="EU42" t="s">
        <v>1323</v>
      </c>
      <c r="EV42" t="s">
        <v>1310</v>
      </c>
      <c r="EW42" t="s">
        <v>1309</v>
      </c>
      <c r="EX42" t="s">
        <v>1309</v>
      </c>
      <c r="EY42" t="s">
        <v>1309</v>
      </c>
      <c r="EZ42" t="s">
        <v>1309</v>
      </c>
      <c r="FA42" t="s">
        <v>1309</v>
      </c>
      <c r="FB42" t="s">
        <v>1309</v>
      </c>
      <c r="FC42" t="s">
        <v>1309</v>
      </c>
      <c r="FD42" t="s">
        <v>1309</v>
      </c>
      <c r="FE42" t="s">
        <v>1309</v>
      </c>
      <c r="FF42" t="s">
        <v>1309</v>
      </c>
      <c r="FG42" t="s">
        <v>1309</v>
      </c>
      <c r="FH42" t="s">
        <v>1309</v>
      </c>
      <c r="FI42" t="s">
        <v>1309</v>
      </c>
      <c r="FJ42" t="s">
        <v>1309</v>
      </c>
      <c r="FK42" t="s">
        <v>1309</v>
      </c>
      <c r="FL42" t="s">
        <v>1309</v>
      </c>
      <c r="FN42" t="s">
        <v>1307</v>
      </c>
      <c r="GC42" t="s">
        <v>1324</v>
      </c>
      <c r="GD42" t="s">
        <v>1324</v>
      </c>
      <c r="GN42" t="s">
        <v>1364</v>
      </c>
      <c r="HB42" t="s">
        <v>1414</v>
      </c>
      <c r="HR42" t="s">
        <v>1414</v>
      </c>
      <c r="HS42" t="s">
        <v>1309</v>
      </c>
      <c r="HT42" t="s">
        <v>1309</v>
      </c>
      <c r="HU42" t="s">
        <v>1309</v>
      </c>
      <c r="HV42" t="s">
        <v>1309</v>
      </c>
      <c r="HW42" t="s">
        <v>1309</v>
      </c>
      <c r="HX42" t="s">
        <v>1309</v>
      </c>
      <c r="HY42" t="s">
        <v>1310</v>
      </c>
      <c r="HZ42" t="s">
        <v>1309</v>
      </c>
      <c r="IB42" s="92" t="s">
        <v>1711</v>
      </c>
      <c r="IC42" s="92" t="s">
        <v>1712</v>
      </c>
      <c r="ID42" s="92">
        <v>32</v>
      </c>
      <c r="IE42" s="92" t="s">
        <v>1307</v>
      </c>
      <c r="IF42" s="92" t="s">
        <v>4396</v>
      </c>
      <c r="IG42" s="92" t="s">
        <v>1368</v>
      </c>
      <c r="IH42" s="92" t="s">
        <v>1296</v>
      </c>
      <c r="II42" s="92" t="s">
        <v>71</v>
      </c>
      <c r="IJ42" s="92" t="s">
        <v>5549</v>
      </c>
      <c r="IK42" s="92" t="s">
        <v>1398</v>
      </c>
      <c r="IL42" s="92" t="s">
        <v>4845</v>
      </c>
      <c r="IM42" s="92" t="s">
        <v>1415</v>
      </c>
      <c r="IN42" s="92" t="s">
        <v>109</v>
      </c>
      <c r="IO42" s="92" t="s">
        <v>4847</v>
      </c>
      <c r="IP42" s="92" t="s">
        <v>1340</v>
      </c>
      <c r="IQ42" s="92">
        <v>2900</v>
      </c>
      <c r="IR42" s="92" t="s">
        <v>1340</v>
      </c>
      <c r="IS42" s="92" t="s">
        <v>192</v>
      </c>
      <c r="IT42" s="92" t="s">
        <v>109</v>
      </c>
      <c r="IU42" s="92" t="s">
        <v>192</v>
      </c>
      <c r="IV42" s="92" t="s">
        <v>109</v>
      </c>
      <c r="IW42" s="92" t="s">
        <v>1425</v>
      </c>
      <c r="IX42" s="92">
        <v>3500</v>
      </c>
      <c r="IY42" s="92" t="s">
        <v>1340</v>
      </c>
      <c r="IZ42" s="92" t="s">
        <v>1341</v>
      </c>
      <c r="JA42" s="92" t="s">
        <v>1375</v>
      </c>
      <c r="JB42" s="92" t="s">
        <v>192</v>
      </c>
      <c r="JC42" s="92" t="s">
        <v>5795</v>
      </c>
      <c r="JD42" s="92" t="s">
        <v>109</v>
      </c>
      <c r="JE42" s="92" t="s">
        <v>109</v>
      </c>
      <c r="JF42" s="92" t="s">
        <v>1340</v>
      </c>
      <c r="JG42" s="92" t="s">
        <v>1340</v>
      </c>
      <c r="JH42" s="92"/>
      <c r="JI42" s="92"/>
    </row>
    <row r="43" spans="1:269" x14ac:dyDescent="0.25">
      <c r="A43" t="s">
        <v>3015</v>
      </c>
      <c r="B43" t="s">
        <v>3016</v>
      </c>
      <c r="C43" t="s">
        <v>1305</v>
      </c>
      <c r="D43" t="s">
        <v>1381</v>
      </c>
      <c r="F43" t="s">
        <v>1319</v>
      </c>
      <c r="G43" t="s">
        <v>1319</v>
      </c>
      <c r="H43">
        <v>3</v>
      </c>
      <c r="I43" t="s">
        <v>1358</v>
      </c>
      <c r="J43" t="s">
        <v>2250</v>
      </c>
      <c r="K43" t="s">
        <v>1309</v>
      </c>
      <c r="L43" t="s">
        <v>1310</v>
      </c>
      <c r="M43" t="s">
        <v>1310</v>
      </c>
      <c r="N43" t="s">
        <v>1310</v>
      </c>
      <c r="O43" t="s">
        <v>1310</v>
      </c>
      <c r="P43" t="s">
        <v>1310</v>
      </c>
      <c r="Q43" t="s">
        <v>1309</v>
      </c>
      <c r="R43" t="s">
        <v>1309</v>
      </c>
      <c r="S43">
        <v>1</v>
      </c>
      <c r="T43">
        <v>1</v>
      </c>
      <c r="U43" t="s">
        <v>1312</v>
      </c>
      <c r="V43" t="s">
        <v>1312</v>
      </c>
      <c r="W43" t="s">
        <v>1312</v>
      </c>
      <c r="X43" t="s">
        <v>1312</v>
      </c>
      <c r="Y43" t="s">
        <v>1312</v>
      </c>
      <c r="Z43" t="s">
        <v>1312</v>
      </c>
      <c r="AA43">
        <v>0</v>
      </c>
      <c r="AC43">
        <v>2</v>
      </c>
      <c r="AD43">
        <v>5000</v>
      </c>
      <c r="AE43">
        <v>3000</v>
      </c>
      <c r="AF43" t="s">
        <v>1313</v>
      </c>
      <c r="AH43" t="s">
        <v>1319</v>
      </c>
      <c r="AI43" t="s">
        <v>4876</v>
      </c>
      <c r="AK43" t="s">
        <v>1319</v>
      </c>
      <c r="AL43" t="s">
        <v>1315</v>
      </c>
      <c r="AN43" t="s">
        <v>1331</v>
      </c>
      <c r="BU43" t="s">
        <v>1414</v>
      </c>
      <c r="BV43" t="s">
        <v>1309</v>
      </c>
      <c r="BW43" t="s">
        <v>1309</v>
      </c>
      <c r="BX43" t="s">
        <v>1309</v>
      </c>
      <c r="BY43" t="s">
        <v>1309</v>
      </c>
      <c r="BZ43" t="s">
        <v>1309</v>
      </c>
      <c r="CA43" t="s">
        <v>1309</v>
      </c>
      <c r="CB43" t="s">
        <v>1309</v>
      </c>
      <c r="CC43" t="s">
        <v>1309</v>
      </c>
      <c r="CD43" t="s">
        <v>1310</v>
      </c>
      <c r="CE43" t="s">
        <v>1309</v>
      </c>
      <c r="CX43" t="s">
        <v>2889</v>
      </c>
      <c r="CY43" t="s">
        <v>1309</v>
      </c>
      <c r="CZ43" t="s">
        <v>1309</v>
      </c>
      <c r="DA43" t="s">
        <v>1309</v>
      </c>
      <c r="DB43" t="s">
        <v>1310</v>
      </c>
      <c r="DC43" t="s">
        <v>1310</v>
      </c>
      <c r="DD43" t="s">
        <v>1309</v>
      </c>
      <c r="DE43" t="s">
        <v>1309</v>
      </c>
      <c r="DF43" t="s">
        <v>1309</v>
      </c>
      <c r="DG43" t="s">
        <v>1309</v>
      </c>
      <c r="DH43" t="s">
        <v>1309</v>
      </c>
      <c r="DI43" t="s">
        <v>1309</v>
      </c>
      <c r="DJ43" t="s">
        <v>1309</v>
      </c>
      <c r="DK43" t="s">
        <v>1309</v>
      </c>
      <c r="DM43" t="s">
        <v>4433</v>
      </c>
      <c r="DO43" t="s">
        <v>1308</v>
      </c>
      <c r="DP43" t="s">
        <v>1310</v>
      </c>
      <c r="DQ43" t="s">
        <v>1309</v>
      </c>
      <c r="DR43" t="s">
        <v>1309</v>
      </c>
      <c r="DS43" t="s">
        <v>1309</v>
      </c>
      <c r="DT43" t="s">
        <v>1309</v>
      </c>
      <c r="DU43" t="s">
        <v>1309</v>
      </c>
      <c r="DV43" t="s">
        <v>1309</v>
      </c>
      <c r="DX43" t="s">
        <v>1307</v>
      </c>
      <c r="DY43" t="s">
        <v>1319</v>
      </c>
      <c r="DZ43">
        <v>450</v>
      </c>
      <c r="EB43">
        <v>500</v>
      </c>
      <c r="EC43" t="s">
        <v>1307</v>
      </c>
      <c r="EQ43" t="s">
        <v>1307</v>
      </c>
      <c r="ER43" t="s">
        <v>1319</v>
      </c>
      <c r="ES43" t="s">
        <v>1319</v>
      </c>
      <c r="EU43" t="s">
        <v>3017</v>
      </c>
      <c r="EV43" t="s">
        <v>1309</v>
      </c>
      <c r="EW43" t="s">
        <v>1310</v>
      </c>
      <c r="EX43" t="s">
        <v>1310</v>
      </c>
      <c r="EY43" t="s">
        <v>1310</v>
      </c>
      <c r="EZ43" t="s">
        <v>1309</v>
      </c>
      <c r="FA43" t="s">
        <v>1309</v>
      </c>
      <c r="FB43" t="s">
        <v>1309</v>
      </c>
      <c r="FC43" t="s">
        <v>1310</v>
      </c>
      <c r="FD43" t="s">
        <v>1310</v>
      </c>
      <c r="FE43" t="s">
        <v>1310</v>
      </c>
      <c r="FF43" t="s">
        <v>1309</v>
      </c>
      <c r="FG43" t="s">
        <v>1309</v>
      </c>
      <c r="FH43" t="s">
        <v>1310</v>
      </c>
      <c r="FI43" t="s">
        <v>1309</v>
      </c>
      <c r="FJ43" t="s">
        <v>1309</v>
      </c>
      <c r="FK43" t="s">
        <v>1309</v>
      </c>
      <c r="FL43" t="s">
        <v>1309</v>
      </c>
      <c r="FN43" t="s">
        <v>1319</v>
      </c>
      <c r="FO43" t="s">
        <v>3018</v>
      </c>
      <c r="FP43" t="s">
        <v>1310</v>
      </c>
      <c r="FQ43" t="s">
        <v>1309</v>
      </c>
      <c r="FR43" t="s">
        <v>1309</v>
      </c>
      <c r="FS43" t="s">
        <v>1309</v>
      </c>
      <c r="FT43" t="s">
        <v>1309</v>
      </c>
      <c r="FU43" t="s">
        <v>1310</v>
      </c>
      <c r="FV43" t="s">
        <v>1309</v>
      </c>
      <c r="FW43" t="s">
        <v>1310</v>
      </c>
      <c r="FX43" t="s">
        <v>1309</v>
      </c>
      <c r="FY43" t="s">
        <v>1309</v>
      </c>
      <c r="FZ43" t="s">
        <v>1309</v>
      </c>
      <c r="GA43" t="s">
        <v>1309</v>
      </c>
      <c r="GC43" t="s">
        <v>1436</v>
      </c>
      <c r="GD43" t="s">
        <v>1436</v>
      </c>
      <c r="GE43" t="s">
        <v>1319</v>
      </c>
      <c r="GF43" t="s">
        <v>1619</v>
      </c>
      <c r="GG43" t="s">
        <v>1310</v>
      </c>
      <c r="GH43" t="s">
        <v>1309</v>
      </c>
      <c r="GI43" t="s">
        <v>1309</v>
      </c>
      <c r="GJ43" t="s">
        <v>1309</v>
      </c>
      <c r="GK43" t="s">
        <v>1309</v>
      </c>
      <c r="GL43" t="s">
        <v>1309</v>
      </c>
      <c r="GN43" t="s">
        <v>1364</v>
      </c>
      <c r="HB43" t="s">
        <v>1307</v>
      </c>
      <c r="HR43" t="s">
        <v>1414</v>
      </c>
      <c r="HS43" t="s">
        <v>1309</v>
      </c>
      <c r="HT43" t="s">
        <v>1309</v>
      </c>
      <c r="HU43" t="s">
        <v>1309</v>
      </c>
      <c r="HV43" t="s">
        <v>1309</v>
      </c>
      <c r="HW43" t="s">
        <v>1309</v>
      </c>
      <c r="HX43" t="s">
        <v>1309</v>
      </c>
      <c r="HY43" t="s">
        <v>1310</v>
      </c>
      <c r="HZ43" t="s">
        <v>1309</v>
      </c>
      <c r="IB43" s="92" t="s">
        <v>1516</v>
      </c>
      <c r="IC43" s="92" t="s">
        <v>2916</v>
      </c>
      <c r="ID43" s="92">
        <v>34</v>
      </c>
      <c r="IE43" s="92" t="s">
        <v>1307</v>
      </c>
      <c r="IF43" s="92" t="s">
        <v>4398</v>
      </c>
      <c r="IG43" s="92" t="s">
        <v>1336</v>
      </c>
      <c r="IH43" s="92" t="s">
        <v>1296</v>
      </c>
      <c r="II43" s="92" t="s">
        <v>70</v>
      </c>
      <c r="IJ43" s="92" t="s">
        <v>1397</v>
      </c>
      <c r="IK43" s="92" t="s">
        <v>1398</v>
      </c>
      <c r="IL43" s="92" t="s">
        <v>4845</v>
      </c>
      <c r="IM43" s="92" t="s">
        <v>1370</v>
      </c>
      <c r="IN43" s="92" t="s">
        <v>109</v>
      </c>
      <c r="IO43" s="92" t="s">
        <v>4847</v>
      </c>
      <c r="IP43" s="92" t="s">
        <v>5560</v>
      </c>
      <c r="IQ43" s="92">
        <v>950</v>
      </c>
      <c r="IR43" s="92" t="s">
        <v>4438</v>
      </c>
      <c r="IS43" s="92" t="s">
        <v>192</v>
      </c>
      <c r="IT43" s="92" t="s">
        <v>109</v>
      </c>
      <c r="IU43" s="92" t="s">
        <v>109</v>
      </c>
      <c r="IV43" s="92" t="s">
        <v>109</v>
      </c>
      <c r="IW43" s="92" t="s">
        <v>1374</v>
      </c>
      <c r="IX43" s="92">
        <v>0</v>
      </c>
      <c r="IY43" s="92" t="s">
        <v>1372</v>
      </c>
      <c r="IZ43" s="92" t="s">
        <v>1373</v>
      </c>
      <c r="JA43" s="92" t="s">
        <v>1561</v>
      </c>
      <c r="JB43" s="92" t="s">
        <v>192</v>
      </c>
      <c r="JC43" s="92" t="s">
        <v>1403</v>
      </c>
      <c r="JD43" s="92" t="s">
        <v>109</v>
      </c>
      <c r="JE43" s="92" t="s">
        <v>109</v>
      </c>
      <c r="JF43" s="92" t="s">
        <v>4438</v>
      </c>
      <c r="JG43" s="92" t="s">
        <v>1372</v>
      </c>
      <c r="JH43" s="92" t="s">
        <v>109</v>
      </c>
      <c r="JI43" s="92" t="s">
        <v>109</v>
      </c>
    </row>
    <row r="44" spans="1:269" x14ac:dyDescent="0.25">
      <c r="A44" t="s">
        <v>3019</v>
      </c>
      <c r="B44" t="s">
        <v>3020</v>
      </c>
      <c r="C44" t="s">
        <v>1305</v>
      </c>
      <c r="D44" t="s">
        <v>1306</v>
      </c>
      <c r="F44" t="s">
        <v>1307</v>
      </c>
      <c r="G44" t="s">
        <v>1319</v>
      </c>
      <c r="H44">
        <v>3</v>
      </c>
      <c r="I44" t="s">
        <v>1307</v>
      </c>
      <c r="J44" t="s">
        <v>1406</v>
      </c>
      <c r="K44" t="s">
        <v>1309</v>
      </c>
      <c r="L44" t="s">
        <v>1310</v>
      </c>
      <c r="M44" t="s">
        <v>1309</v>
      </c>
      <c r="N44" t="s">
        <v>1309</v>
      </c>
      <c r="O44" t="s">
        <v>1309</v>
      </c>
      <c r="P44" t="s">
        <v>1309</v>
      </c>
      <c r="Q44" t="s">
        <v>1309</v>
      </c>
      <c r="R44" t="s">
        <v>1309</v>
      </c>
      <c r="S44">
        <v>1</v>
      </c>
      <c r="U44" t="s">
        <v>1312</v>
      </c>
      <c r="V44" t="s">
        <v>1312</v>
      </c>
      <c r="W44" t="s">
        <v>1312</v>
      </c>
      <c r="X44" t="s">
        <v>1312</v>
      </c>
      <c r="Y44" t="s">
        <v>1312</v>
      </c>
      <c r="Z44" t="s">
        <v>1312</v>
      </c>
      <c r="AC44">
        <v>2</v>
      </c>
      <c r="AF44" t="s">
        <v>1351</v>
      </c>
      <c r="AH44" t="s">
        <v>1319</v>
      </c>
      <c r="AI44" t="s">
        <v>4879</v>
      </c>
      <c r="AK44" t="s">
        <v>1307</v>
      </c>
      <c r="CG44" t="s">
        <v>2853</v>
      </c>
      <c r="CH44" t="s">
        <v>1309</v>
      </c>
      <c r="CI44" t="s">
        <v>1309</v>
      </c>
      <c r="CJ44" t="s">
        <v>1309</v>
      </c>
      <c r="CK44" t="s">
        <v>1310</v>
      </c>
      <c r="CL44" t="s">
        <v>1309</v>
      </c>
      <c r="CM44" t="s">
        <v>1309</v>
      </c>
      <c r="CN44" t="s">
        <v>1309</v>
      </c>
      <c r="CO44" t="s">
        <v>1309</v>
      </c>
      <c r="CP44" t="s">
        <v>1309</v>
      </c>
      <c r="CQ44" t="s">
        <v>1309</v>
      </c>
      <c r="CR44" t="s">
        <v>1309</v>
      </c>
      <c r="CS44" t="s">
        <v>1309</v>
      </c>
      <c r="CT44" t="s">
        <v>1309</v>
      </c>
      <c r="CU44" t="s">
        <v>1309</v>
      </c>
      <c r="CV44" t="s">
        <v>1309</v>
      </c>
      <c r="CX44" t="s">
        <v>2135</v>
      </c>
      <c r="CY44" t="s">
        <v>1309</v>
      </c>
      <c r="CZ44" t="s">
        <v>1309</v>
      </c>
      <c r="DA44" t="s">
        <v>1309</v>
      </c>
      <c r="DB44" t="s">
        <v>1309</v>
      </c>
      <c r="DC44" t="s">
        <v>1309</v>
      </c>
      <c r="DD44" t="s">
        <v>1310</v>
      </c>
      <c r="DE44" t="s">
        <v>1309</v>
      </c>
      <c r="DF44" t="s">
        <v>1309</v>
      </c>
      <c r="DG44" t="s">
        <v>1309</v>
      </c>
      <c r="DH44" t="s">
        <v>1309</v>
      </c>
      <c r="DI44" t="s">
        <v>1309</v>
      </c>
      <c r="DJ44" t="s">
        <v>1309</v>
      </c>
      <c r="DK44" t="s">
        <v>1309</v>
      </c>
      <c r="DM44" t="s">
        <v>4434</v>
      </c>
      <c r="DO44" t="s">
        <v>1308</v>
      </c>
      <c r="DP44" t="s">
        <v>1310</v>
      </c>
      <c r="DQ44" t="s">
        <v>1309</v>
      </c>
      <c r="DR44" t="s">
        <v>1309</v>
      </c>
      <c r="DS44" t="s">
        <v>1309</v>
      </c>
      <c r="DT44" t="s">
        <v>1309</v>
      </c>
      <c r="DU44" t="s">
        <v>1309</v>
      </c>
      <c r="DV44" t="s">
        <v>1309</v>
      </c>
      <c r="DX44" t="s">
        <v>1358</v>
      </c>
      <c r="DZ44">
        <v>3000</v>
      </c>
      <c r="EB44">
        <v>1000</v>
      </c>
      <c r="EC44" t="s">
        <v>1358</v>
      </c>
      <c r="ED44">
        <v>3200</v>
      </c>
      <c r="EF44">
        <v>1200</v>
      </c>
      <c r="EG44" t="s">
        <v>2911</v>
      </c>
      <c r="EH44" t="s">
        <v>1310</v>
      </c>
      <c r="EI44" t="s">
        <v>1309</v>
      </c>
      <c r="EJ44" t="s">
        <v>1309</v>
      </c>
      <c r="EK44" t="s">
        <v>1310</v>
      </c>
      <c r="EL44" t="s">
        <v>1309</v>
      </c>
      <c r="EM44" t="s">
        <v>1309</v>
      </c>
      <c r="EN44" t="s">
        <v>1309</v>
      </c>
      <c r="EO44" t="s">
        <v>1309</v>
      </c>
      <c r="EQ44" t="s">
        <v>1319</v>
      </c>
      <c r="ER44" t="s">
        <v>1307</v>
      </c>
      <c r="ES44" t="s">
        <v>1307</v>
      </c>
      <c r="FN44" t="s">
        <v>1307</v>
      </c>
      <c r="GC44" t="s">
        <v>1324</v>
      </c>
      <c r="GD44" t="s">
        <v>1324</v>
      </c>
      <c r="GN44" t="s">
        <v>1364</v>
      </c>
      <c r="HB44" t="s">
        <v>1319</v>
      </c>
      <c r="HC44" t="s">
        <v>1639</v>
      </c>
      <c r="HD44" t="s">
        <v>1309</v>
      </c>
      <c r="HE44" t="s">
        <v>1309</v>
      </c>
      <c r="HF44" t="s">
        <v>1309</v>
      </c>
      <c r="HG44" t="s">
        <v>1309</v>
      </c>
      <c r="HH44" t="s">
        <v>1309</v>
      </c>
      <c r="HI44" t="s">
        <v>1309</v>
      </c>
      <c r="HJ44" t="s">
        <v>1309</v>
      </c>
      <c r="HK44" t="s">
        <v>1310</v>
      </c>
      <c r="HL44" t="s">
        <v>1309</v>
      </c>
      <c r="HM44" t="s">
        <v>1309</v>
      </c>
      <c r="HN44" t="s">
        <v>1309</v>
      </c>
      <c r="HO44" t="s">
        <v>1309</v>
      </c>
      <c r="HP44" t="s">
        <v>1309</v>
      </c>
      <c r="HR44" t="s">
        <v>1639</v>
      </c>
      <c r="HS44" t="s">
        <v>1309</v>
      </c>
      <c r="HT44" t="s">
        <v>1310</v>
      </c>
      <c r="HU44" t="s">
        <v>1309</v>
      </c>
      <c r="HV44" t="s">
        <v>1309</v>
      </c>
      <c r="HW44" t="s">
        <v>1309</v>
      </c>
      <c r="HX44" t="s">
        <v>1309</v>
      </c>
      <c r="HY44" t="s">
        <v>1309</v>
      </c>
      <c r="HZ44" t="s">
        <v>1309</v>
      </c>
      <c r="IB44" s="92" t="s">
        <v>1757</v>
      </c>
      <c r="IC44" s="92" t="s">
        <v>1971</v>
      </c>
      <c r="ID44" s="92">
        <v>23</v>
      </c>
      <c r="IE44" s="92" t="s">
        <v>1307</v>
      </c>
      <c r="IF44" s="92" t="s">
        <v>4396</v>
      </c>
      <c r="IG44" s="92" t="s">
        <v>1526</v>
      </c>
      <c r="IH44" s="92" t="s">
        <v>1296</v>
      </c>
      <c r="II44" s="92" t="s">
        <v>70</v>
      </c>
      <c r="IJ44" s="92" t="s">
        <v>5549</v>
      </c>
      <c r="IK44" s="92" t="s">
        <v>1398</v>
      </c>
      <c r="IL44" s="92" t="s">
        <v>4845</v>
      </c>
      <c r="IM44" s="92" t="s">
        <v>1415</v>
      </c>
      <c r="IN44" s="92" t="s">
        <v>109</v>
      </c>
      <c r="IO44" s="92" t="s">
        <v>4847</v>
      </c>
      <c r="IP44" s="92" t="s">
        <v>1340</v>
      </c>
      <c r="IQ44" s="92">
        <v>4000</v>
      </c>
      <c r="IR44" s="92" t="s">
        <v>1340</v>
      </c>
      <c r="IS44" s="92" t="s">
        <v>192</v>
      </c>
      <c r="IT44" s="92" t="s">
        <v>109</v>
      </c>
      <c r="IU44" s="92" t="s">
        <v>192</v>
      </c>
      <c r="IV44" s="92" t="s">
        <v>109</v>
      </c>
      <c r="IW44" s="92" t="s">
        <v>1341</v>
      </c>
      <c r="IX44" s="92">
        <v>4400</v>
      </c>
      <c r="IY44" s="92" t="s">
        <v>1340</v>
      </c>
      <c r="IZ44" s="92" t="s">
        <v>1341</v>
      </c>
      <c r="JA44" s="92" t="s">
        <v>1460</v>
      </c>
      <c r="JB44" s="92" t="s">
        <v>192</v>
      </c>
      <c r="JC44" s="92" t="s">
        <v>5795</v>
      </c>
      <c r="JD44" s="92" t="s">
        <v>109</v>
      </c>
      <c r="JE44" s="92" t="s">
        <v>109</v>
      </c>
      <c r="JF44" s="92" t="s">
        <v>1340</v>
      </c>
      <c r="JG44" s="92" t="s">
        <v>1340</v>
      </c>
      <c r="JH44" s="92"/>
      <c r="JI44" s="92"/>
    </row>
    <row r="45" spans="1:269" x14ac:dyDescent="0.25">
      <c r="A45" t="s">
        <v>3021</v>
      </c>
      <c r="B45" t="s">
        <v>3022</v>
      </c>
      <c r="C45" t="s">
        <v>1305</v>
      </c>
      <c r="D45" t="s">
        <v>1381</v>
      </c>
      <c r="F45" t="s">
        <v>1319</v>
      </c>
      <c r="G45" t="s">
        <v>1319</v>
      </c>
      <c r="H45">
        <v>4</v>
      </c>
      <c r="I45" t="s">
        <v>1358</v>
      </c>
      <c r="J45" t="s">
        <v>1715</v>
      </c>
      <c r="K45" t="s">
        <v>1309</v>
      </c>
      <c r="L45" t="s">
        <v>1310</v>
      </c>
      <c r="M45" t="s">
        <v>1309</v>
      </c>
      <c r="N45" t="s">
        <v>1309</v>
      </c>
      <c r="O45" t="s">
        <v>1310</v>
      </c>
      <c r="P45" t="s">
        <v>1309</v>
      </c>
      <c r="Q45" t="s">
        <v>1309</v>
      </c>
      <c r="R45" t="s">
        <v>1309</v>
      </c>
      <c r="S45">
        <v>2</v>
      </c>
      <c r="U45" t="s">
        <v>1312</v>
      </c>
      <c r="V45" t="s">
        <v>1311</v>
      </c>
      <c r="W45" t="s">
        <v>1312</v>
      </c>
      <c r="X45" t="s">
        <v>1311</v>
      </c>
      <c r="Y45" t="s">
        <v>1311</v>
      </c>
      <c r="Z45" t="s">
        <v>1311</v>
      </c>
      <c r="AC45">
        <v>1</v>
      </c>
      <c r="AD45">
        <v>2000</v>
      </c>
      <c r="AE45">
        <v>3500</v>
      </c>
      <c r="AF45" t="s">
        <v>1313</v>
      </c>
      <c r="AH45" t="s">
        <v>1319</v>
      </c>
      <c r="AI45" t="s">
        <v>4879</v>
      </c>
      <c r="AK45" t="s">
        <v>1307</v>
      </c>
      <c r="CG45" t="s">
        <v>2892</v>
      </c>
      <c r="CH45" t="s">
        <v>1309</v>
      </c>
      <c r="CI45" t="s">
        <v>1309</v>
      </c>
      <c r="CJ45" t="s">
        <v>1310</v>
      </c>
      <c r="CK45" t="s">
        <v>1309</v>
      </c>
      <c r="CL45" t="s">
        <v>1309</v>
      </c>
      <c r="CM45" t="s">
        <v>1309</v>
      </c>
      <c r="CN45" t="s">
        <v>1309</v>
      </c>
      <c r="CO45" t="s">
        <v>1309</v>
      </c>
      <c r="CP45" t="s">
        <v>1309</v>
      </c>
      <c r="CQ45" t="s">
        <v>1309</v>
      </c>
      <c r="CR45" t="s">
        <v>1309</v>
      </c>
      <c r="CS45" t="s">
        <v>1309</v>
      </c>
      <c r="CT45" t="s">
        <v>1309</v>
      </c>
      <c r="CU45" t="s">
        <v>1309</v>
      </c>
      <c r="CV45" t="s">
        <v>1309</v>
      </c>
      <c r="CX45" t="s">
        <v>1597</v>
      </c>
      <c r="CY45" t="s">
        <v>1309</v>
      </c>
      <c r="CZ45" t="s">
        <v>1309</v>
      </c>
      <c r="DA45" t="s">
        <v>1309</v>
      </c>
      <c r="DB45" t="s">
        <v>1309</v>
      </c>
      <c r="DC45" t="s">
        <v>1309</v>
      </c>
      <c r="DD45" t="s">
        <v>1309</v>
      </c>
      <c r="DE45" t="s">
        <v>1310</v>
      </c>
      <c r="DF45" t="s">
        <v>1309</v>
      </c>
      <c r="DG45" t="s">
        <v>1309</v>
      </c>
      <c r="DH45" t="s">
        <v>1309</v>
      </c>
      <c r="DI45" t="s">
        <v>1309</v>
      </c>
      <c r="DJ45" t="s">
        <v>1309</v>
      </c>
      <c r="DK45" t="s">
        <v>1309</v>
      </c>
      <c r="DM45" t="s">
        <v>4434</v>
      </c>
      <c r="DO45" t="s">
        <v>1308</v>
      </c>
      <c r="DP45" t="s">
        <v>1310</v>
      </c>
      <c r="DQ45" t="s">
        <v>1309</v>
      </c>
      <c r="DR45" t="s">
        <v>1309</v>
      </c>
      <c r="DS45" t="s">
        <v>1309</v>
      </c>
      <c r="DT45" t="s">
        <v>1309</v>
      </c>
      <c r="DU45" t="s">
        <v>1309</v>
      </c>
      <c r="DV45" t="s">
        <v>1309</v>
      </c>
      <c r="DX45" t="s">
        <v>1358</v>
      </c>
      <c r="DZ45">
        <v>1300</v>
      </c>
      <c r="EB45">
        <v>250</v>
      </c>
      <c r="EC45" t="s">
        <v>1358</v>
      </c>
      <c r="ED45">
        <v>1300</v>
      </c>
      <c r="EF45">
        <v>250</v>
      </c>
      <c r="EG45" t="s">
        <v>2966</v>
      </c>
      <c r="EH45" t="s">
        <v>1309</v>
      </c>
      <c r="EI45" t="s">
        <v>1310</v>
      </c>
      <c r="EJ45" t="s">
        <v>1309</v>
      </c>
      <c r="EK45" t="s">
        <v>1310</v>
      </c>
      <c r="EL45" t="s">
        <v>1309</v>
      </c>
      <c r="EM45" t="s">
        <v>1309</v>
      </c>
      <c r="EN45" t="s">
        <v>1309</v>
      </c>
      <c r="EO45" t="s">
        <v>1309</v>
      </c>
      <c r="EQ45" t="s">
        <v>1307</v>
      </c>
      <c r="ER45" t="s">
        <v>1319</v>
      </c>
      <c r="ES45" t="s">
        <v>1319</v>
      </c>
      <c r="EU45" t="s">
        <v>3023</v>
      </c>
      <c r="EV45" t="s">
        <v>1310</v>
      </c>
      <c r="EW45" t="s">
        <v>1309</v>
      </c>
      <c r="EX45" t="s">
        <v>1310</v>
      </c>
      <c r="EY45" t="s">
        <v>1310</v>
      </c>
      <c r="EZ45" t="s">
        <v>1309</v>
      </c>
      <c r="FA45" t="s">
        <v>1309</v>
      </c>
      <c r="FB45" t="s">
        <v>1309</v>
      </c>
      <c r="FC45" t="s">
        <v>1310</v>
      </c>
      <c r="FD45" t="s">
        <v>1310</v>
      </c>
      <c r="FE45" t="s">
        <v>1310</v>
      </c>
      <c r="FF45" t="s">
        <v>1309</v>
      </c>
      <c r="FG45" t="s">
        <v>1309</v>
      </c>
      <c r="FH45" t="s">
        <v>1309</v>
      </c>
      <c r="FI45" t="s">
        <v>1309</v>
      </c>
      <c r="FJ45" t="s">
        <v>1309</v>
      </c>
      <c r="FK45" t="s">
        <v>1309</v>
      </c>
      <c r="FL45" t="s">
        <v>1309</v>
      </c>
      <c r="FN45" t="s">
        <v>1319</v>
      </c>
      <c r="FO45" t="s">
        <v>1435</v>
      </c>
      <c r="FP45" t="s">
        <v>1310</v>
      </c>
      <c r="FQ45" t="s">
        <v>1309</v>
      </c>
      <c r="FR45" t="s">
        <v>1309</v>
      </c>
      <c r="FS45" t="s">
        <v>1309</v>
      </c>
      <c r="FT45" t="s">
        <v>1309</v>
      </c>
      <c r="FU45" t="s">
        <v>1309</v>
      </c>
      <c r="FV45" t="s">
        <v>1309</v>
      </c>
      <c r="FW45" t="s">
        <v>1309</v>
      </c>
      <c r="FX45" t="s">
        <v>1309</v>
      </c>
      <c r="FY45" t="s">
        <v>1309</v>
      </c>
      <c r="FZ45" t="s">
        <v>1309</v>
      </c>
      <c r="GA45" t="s">
        <v>1309</v>
      </c>
      <c r="GC45" t="s">
        <v>1324</v>
      </c>
      <c r="GD45" t="s">
        <v>1324</v>
      </c>
      <c r="GN45" t="s">
        <v>1692</v>
      </c>
      <c r="GO45" t="s">
        <v>3024</v>
      </c>
      <c r="GP45" t="s">
        <v>1309</v>
      </c>
      <c r="GQ45" t="s">
        <v>1310</v>
      </c>
      <c r="GR45" t="s">
        <v>1309</v>
      </c>
      <c r="GS45" t="s">
        <v>1309</v>
      </c>
      <c r="GT45" t="s">
        <v>1309</v>
      </c>
      <c r="GU45" t="s">
        <v>1309</v>
      </c>
      <c r="GV45" t="s">
        <v>1309</v>
      </c>
      <c r="GW45" t="s">
        <v>1310</v>
      </c>
      <c r="GX45" t="s">
        <v>1309</v>
      </c>
      <c r="GY45" t="s">
        <v>1309</v>
      </c>
      <c r="GZ45" t="s">
        <v>1309</v>
      </c>
      <c r="HB45" t="s">
        <v>1319</v>
      </c>
      <c r="HC45" t="s">
        <v>1423</v>
      </c>
      <c r="HD45" t="s">
        <v>1309</v>
      </c>
      <c r="HE45" t="s">
        <v>1309</v>
      </c>
      <c r="HF45" t="s">
        <v>1309</v>
      </c>
      <c r="HG45" t="s">
        <v>1309</v>
      </c>
      <c r="HH45" t="s">
        <v>1310</v>
      </c>
      <c r="HI45" t="s">
        <v>1309</v>
      </c>
      <c r="HJ45" t="s">
        <v>1309</v>
      </c>
      <c r="HK45" t="s">
        <v>1309</v>
      </c>
      <c r="HL45" t="s">
        <v>1309</v>
      </c>
      <c r="HM45" t="s">
        <v>1309</v>
      </c>
      <c r="HN45" t="s">
        <v>1309</v>
      </c>
      <c r="HO45" t="s">
        <v>1309</v>
      </c>
      <c r="HP45" t="s">
        <v>1309</v>
      </c>
      <c r="HR45" t="s">
        <v>1451</v>
      </c>
      <c r="HS45" t="s">
        <v>1310</v>
      </c>
      <c r="HT45" t="s">
        <v>1309</v>
      </c>
      <c r="HU45" t="s">
        <v>1309</v>
      </c>
      <c r="HV45" t="s">
        <v>1310</v>
      </c>
      <c r="HW45" t="s">
        <v>1309</v>
      </c>
      <c r="HX45" t="s">
        <v>1309</v>
      </c>
      <c r="HY45" t="s">
        <v>1309</v>
      </c>
      <c r="HZ45" t="s">
        <v>1309</v>
      </c>
      <c r="IB45" s="92" t="s">
        <v>1567</v>
      </c>
      <c r="IC45" s="92" t="s">
        <v>1568</v>
      </c>
      <c r="ID45" s="92">
        <v>58</v>
      </c>
      <c r="IE45" s="92" t="s">
        <v>1307</v>
      </c>
      <c r="IF45" s="92" t="s">
        <v>4395</v>
      </c>
      <c r="IG45" s="92" t="s">
        <v>1336</v>
      </c>
      <c r="IH45" s="92" t="s">
        <v>1296</v>
      </c>
      <c r="II45" s="92" t="s">
        <v>71</v>
      </c>
      <c r="IJ45" s="92" t="s">
        <v>1397</v>
      </c>
      <c r="IK45" s="92" t="s">
        <v>1337</v>
      </c>
      <c r="IL45" s="92" t="s">
        <v>4845</v>
      </c>
      <c r="IM45" s="92" t="s">
        <v>1415</v>
      </c>
      <c r="IN45" s="92" t="s">
        <v>109</v>
      </c>
      <c r="IO45" s="92" t="s">
        <v>4844</v>
      </c>
      <c r="IP45" s="92" t="s">
        <v>5561</v>
      </c>
      <c r="IQ45" s="92">
        <v>1550</v>
      </c>
      <c r="IR45" s="92" t="s">
        <v>1426</v>
      </c>
      <c r="IS45" s="92" t="s">
        <v>192</v>
      </c>
      <c r="IT45" s="92" t="s">
        <v>109</v>
      </c>
      <c r="IU45" s="92" t="s">
        <v>192</v>
      </c>
      <c r="IV45" s="92" t="s">
        <v>109</v>
      </c>
      <c r="IW45" s="92" t="s">
        <v>1440</v>
      </c>
      <c r="IX45" s="92">
        <v>1550</v>
      </c>
      <c r="IY45" s="92" t="s">
        <v>1426</v>
      </c>
      <c r="IZ45" s="92" t="s">
        <v>1440</v>
      </c>
      <c r="JA45" s="92" t="s">
        <v>1460</v>
      </c>
      <c r="JB45" s="92" t="s">
        <v>192</v>
      </c>
      <c r="JC45" s="92" t="s">
        <v>1403</v>
      </c>
      <c r="JD45" s="92" t="s">
        <v>109</v>
      </c>
      <c r="JE45" s="92" t="s">
        <v>109</v>
      </c>
      <c r="JF45" s="92" t="s">
        <v>4439</v>
      </c>
      <c r="JG45" s="92" t="s">
        <v>4439</v>
      </c>
      <c r="JH45" s="92" t="s">
        <v>192</v>
      </c>
      <c r="JI45" s="92" t="s">
        <v>192</v>
      </c>
    </row>
    <row r="46" spans="1:269" x14ac:dyDescent="0.25">
      <c r="A46" t="s">
        <v>3025</v>
      </c>
      <c r="B46" t="s">
        <v>3026</v>
      </c>
      <c r="C46" t="s">
        <v>1305</v>
      </c>
      <c r="D46" t="s">
        <v>1306</v>
      </c>
      <c r="F46" t="s">
        <v>1307</v>
      </c>
      <c r="G46" t="s">
        <v>1319</v>
      </c>
      <c r="H46">
        <v>3</v>
      </c>
      <c r="I46" t="s">
        <v>1307</v>
      </c>
      <c r="J46" t="s">
        <v>1406</v>
      </c>
      <c r="K46" t="s">
        <v>1309</v>
      </c>
      <c r="L46" t="s">
        <v>1310</v>
      </c>
      <c r="M46" t="s">
        <v>1309</v>
      </c>
      <c r="N46" t="s">
        <v>1309</v>
      </c>
      <c r="O46" t="s">
        <v>1309</v>
      </c>
      <c r="P46" t="s">
        <v>1309</v>
      </c>
      <c r="Q46" t="s">
        <v>1309</v>
      </c>
      <c r="R46" t="s">
        <v>1309</v>
      </c>
      <c r="S46">
        <v>1</v>
      </c>
      <c r="U46" t="s">
        <v>1312</v>
      </c>
      <c r="V46" t="s">
        <v>1312</v>
      </c>
      <c r="W46" t="s">
        <v>1312</v>
      </c>
      <c r="X46" t="s">
        <v>1312</v>
      </c>
      <c r="Y46" t="s">
        <v>1312</v>
      </c>
      <c r="Z46" t="s">
        <v>1312</v>
      </c>
      <c r="AC46">
        <v>2</v>
      </c>
      <c r="AE46">
        <v>20000</v>
      </c>
      <c r="AF46" t="s">
        <v>1313</v>
      </c>
      <c r="AH46" t="s">
        <v>1319</v>
      </c>
      <c r="AI46" t="s">
        <v>4879</v>
      </c>
      <c r="AK46" t="s">
        <v>1307</v>
      </c>
      <c r="CG46" t="s">
        <v>3027</v>
      </c>
      <c r="CH46" t="s">
        <v>1309</v>
      </c>
      <c r="CI46" t="s">
        <v>1309</v>
      </c>
      <c r="CJ46" t="s">
        <v>1309</v>
      </c>
      <c r="CK46" t="s">
        <v>1309</v>
      </c>
      <c r="CL46" t="s">
        <v>1309</v>
      </c>
      <c r="CM46" t="s">
        <v>1309</v>
      </c>
      <c r="CN46" t="s">
        <v>1309</v>
      </c>
      <c r="CO46" t="s">
        <v>1309</v>
      </c>
      <c r="CP46" t="s">
        <v>1310</v>
      </c>
      <c r="CQ46" t="s">
        <v>1309</v>
      </c>
      <c r="CR46" t="s">
        <v>1309</v>
      </c>
      <c r="CS46" t="s">
        <v>1309</v>
      </c>
      <c r="CT46" t="s">
        <v>1309</v>
      </c>
      <c r="CU46" t="s">
        <v>1309</v>
      </c>
      <c r="CV46" t="s">
        <v>1309</v>
      </c>
      <c r="CX46" t="s">
        <v>2135</v>
      </c>
      <c r="CY46" t="s">
        <v>1309</v>
      </c>
      <c r="CZ46" t="s">
        <v>1309</v>
      </c>
      <c r="DA46" t="s">
        <v>1309</v>
      </c>
      <c r="DB46" t="s">
        <v>1309</v>
      </c>
      <c r="DC46" t="s">
        <v>1309</v>
      </c>
      <c r="DD46" t="s">
        <v>1310</v>
      </c>
      <c r="DE46" t="s">
        <v>1309</v>
      </c>
      <c r="DF46" t="s">
        <v>1309</v>
      </c>
      <c r="DG46" t="s">
        <v>1309</v>
      </c>
      <c r="DH46" t="s">
        <v>1309</v>
      </c>
      <c r="DI46" t="s">
        <v>1309</v>
      </c>
      <c r="DJ46" t="s">
        <v>1309</v>
      </c>
      <c r="DK46" t="s">
        <v>1309</v>
      </c>
      <c r="DM46" t="s">
        <v>4434</v>
      </c>
      <c r="DO46" t="s">
        <v>1357</v>
      </c>
      <c r="DP46" t="s">
        <v>1309</v>
      </c>
      <c r="DQ46" t="s">
        <v>1309</v>
      </c>
      <c r="DR46" t="s">
        <v>1309</v>
      </c>
      <c r="DS46" t="s">
        <v>1309</v>
      </c>
      <c r="DT46" t="s">
        <v>1310</v>
      </c>
      <c r="DU46" t="s">
        <v>1309</v>
      </c>
      <c r="DV46" t="s">
        <v>1309</v>
      </c>
      <c r="DX46" t="s">
        <v>1358</v>
      </c>
      <c r="DZ46">
        <v>2500</v>
      </c>
      <c r="EB46">
        <v>500</v>
      </c>
      <c r="EC46" t="s">
        <v>1358</v>
      </c>
      <c r="ED46">
        <v>3100</v>
      </c>
      <c r="EF46">
        <v>700</v>
      </c>
      <c r="EG46" t="s">
        <v>1703</v>
      </c>
      <c r="EH46" t="s">
        <v>1310</v>
      </c>
      <c r="EI46" t="s">
        <v>1309</v>
      </c>
      <c r="EJ46" t="s">
        <v>1309</v>
      </c>
      <c r="EK46" t="s">
        <v>1309</v>
      </c>
      <c r="EL46" t="s">
        <v>1309</v>
      </c>
      <c r="EM46" t="s">
        <v>1309</v>
      </c>
      <c r="EN46" t="s">
        <v>1309</v>
      </c>
      <c r="EO46" t="s">
        <v>1309</v>
      </c>
      <c r="EQ46" t="s">
        <v>1319</v>
      </c>
      <c r="ER46" t="s">
        <v>1319</v>
      </c>
      <c r="ES46" t="s">
        <v>1307</v>
      </c>
      <c r="EU46" t="s">
        <v>3028</v>
      </c>
      <c r="EV46" t="s">
        <v>1309</v>
      </c>
      <c r="EW46" t="s">
        <v>1309</v>
      </c>
      <c r="EX46" t="s">
        <v>1309</v>
      </c>
      <c r="EY46" t="s">
        <v>1309</v>
      </c>
      <c r="EZ46" t="s">
        <v>1309</v>
      </c>
      <c r="FA46" t="s">
        <v>1310</v>
      </c>
      <c r="FB46" t="s">
        <v>1309</v>
      </c>
      <c r="FC46" t="s">
        <v>1309</v>
      </c>
      <c r="FD46" t="s">
        <v>1309</v>
      </c>
      <c r="FE46" t="s">
        <v>1309</v>
      </c>
      <c r="FF46" t="s">
        <v>1310</v>
      </c>
      <c r="FG46" t="s">
        <v>1310</v>
      </c>
      <c r="FH46" t="s">
        <v>1310</v>
      </c>
      <c r="FI46" t="s">
        <v>1309</v>
      </c>
      <c r="FJ46" t="s">
        <v>1309</v>
      </c>
      <c r="FK46" t="s">
        <v>1309</v>
      </c>
      <c r="FL46" t="s">
        <v>1309</v>
      </c>
      <c r="FN46" t="s">
        <v>1307</v>
      </c>
      <c r="GC46" t="s">
        <v>1448</v>
      </c>
      <c r="GD46" t="s">
        <v>1448</v>
      </c>
      <c r="GN46" t="s">
        <v>1364</v>
      </c>
      <c r="HB46" t="s">
        <v>1319</v>
      </c>
      <c r="HC46" t="s">
        <v>3029</v>
      </c>
      <c r="HD46" t="s">
        <v>1309</v>
      </c>
      <c r="HE46" t="s">
        <v>1310</v>
      </c>
      <c r="HF46" t="s">
        <v>1309</v>
      </c>
      <c r="HG46" t="s">
        <v>1309</v>
      </c>
      <c r="HH46" t="s">
        <v>1310</v>
      </c>
      <c r="HI46" t="s">
        <v>1309</v>
      </c>
      <c r="HJ46" t="s">
        <v>1309</v>
      </c>
      <c r="HK46" t="s">
        <v>1309</v>
      </c>
      <c r="HL46" t="s">
        <v>1310</v>
      </c>
      <c r="HM46" t="s">
        <v>1309</v>
      </c>
      <c r="HN46" t="s">
        <v>1309</v>
      </c>
      <c r="HO46" t="s">
        <v>1309</v>
      </c>
      <c r="HP46" t="s">
        <v>1309</v>
      </c>
      <c r="HR46" t="s">
        <v>3030</v>
      </c>
      <c r="HS46" t="s">
        <v>1310</v>
      </c>
      <c r="HT46" t="s">
        <v>1310</v>
      </c>
      <c r="HU46" t="s">
        <v>1310</v>
      </c>
      <c r="HV46" t="s">
        <v>1310</v>
      </c>
      <c r="HW46" t="s">
        <v>1309</v>
      </c>
      <c r="HX46" t="s">
        <v>1309</v>
      </c>
      <c r="HY46" t="s">
        <v>1309</v>
      </c>
      <c r="HZ46" t="s">
        <v>1309</v>
      </c>
      <c r="IB46" s="92" t="s">
        <v>1711</v>
      </c>
      <c r="IC46" s="92" t="s">
        <v>1712</v>
      </c>
      <c r="ID46" s="92">
        <v>32</v>
      </c>
      <c r="IE46" s="92" t="s">
        <v>1307</v>
      </c>
      <c r="IF46" s="92" t="s">
        <v>4396</v>
      </c>
      <c r="IG46" s="92" t="s">
        <v>1368</v>
      </c>
      <c r="IH46" s="92" t="s">
        <v>1296</v>
      </c>
      <c r="II46" s="92" t="s">
        <v>71</v>
      </c>
      <c r="IJ46" s="92" t="s">
        <v>5549</v>
      </c>
      <c r="IK46" s="92" t="s">
        <v>1398</v>
      </c>
      <c r="IL46" s="92" t="s">
        <v>4845</v>
      </c>
      <c r="IM46" s="92" t="s">
        <v>1415</v>
      </c>
      <c r="IN46" s="92" t="s">
        <v>109</v>
      </c>
      <c r="IO46" s="92" t="s">
        <v>4847</v>
      </c>
      <c r="IP46" s="92" t="s">
        <v>1340</v>
      </c>
      <c r="IQ46" s="92">
        <v>3000</v>
      </c>
      <c r="IR46" s="92" t="s">
        <v>1340</v>
      </c>
      <c r="IS46" s="92" t="s">
        <v>192</v>
      </c>
      <c r="IT46" s="92" t="s">
        <v>109</v>
      </c>
      <c r="IU46" s="92" t="s">
        <v>192</v>
      </c>
      <c r="IV46" s="92" t="s">
        <v>109</v>
      </c>
      <c r="IW46" s="92" t="s">
        <v>1425</v>
      </c>
      <c r="IX46" s="92">
        <v>3800</v>
      </c>
      <c r="IY46" s="92" t="s">
        <v>1340</v>
      </c>
      <c r="IZ46" s="92" t="s">
        <v>1341</v>
      </c>
      <c r="JA46" s="92" t="s">
        <v>1375</v>
      </c>
      <c r="JB46" s="92" t="s">
        <v>192</v>
      </c>
      <c r="JC46" s="92" t="s">
        <v>5795</v>
      </c>
      <c r="JD46" s="92" t="s">
        <v>109</v>
      </c>
      <c r="JE46" s="92" t="s">
        <v>109</v>
      </c>
      <c r="JF46" s="92" t="s">
        <v>1340</v>
      </c>
      <c r="JG46" s="92" t="s">
        <v>1340</v>
      </c>
      <c r="JH46" s="92"/>
      <c r="JI46" s="92"/>
    </row>
    <row r="47" spans="1:269" x14ac:dyDescent="0.25">
      <c r="A47" t="s">
        <v>3031</v>
      </c>
      <c r="B47" t="s">
        <v>3032</v>
      </c>
      <c r="C47" t="s">
        <v>1305</v>
      </c>
      <c r="D47" t="s">
        <v>1381</v>
      </c>
      <c r="F47" t="s">
        <v>1319</v>
      </c>
      <c r="G47" t="s">
        <v>1319</v>
      </c>
      <c r="H47">
        <v>1</v>
      </c>
      <c r="J47" t="s">
        <v>1479</v>
      </c>
      <c r="K47" t="s">
        <v>1309</v>
      </c>
      <c r="L47" t="s">
        <v>1309</v>
      </c>
      <c r="M47" t="s">
        <v>1309</v>
      </c>
      <c r="N47" t="s">
        <v>1309</v>
      </c>
      <c r="O47" t="s">
        <v>1310</v>
      </c>
      <c r="P47" t="s">
        <v>1309</v>
      </c>
      <c r="Q47" t="s">
        <v>1309</v>
      </c>
      <c r="R47" t="s">
        <v>1309</v>
      </c>
      <c r="U47" t="s">
        <v>1311</v>
      </c>
      <c r="V47" t="s">
        <v>1312</v>
      </c>
      <c r="W47" t="s">
        <v>1311</v>
      </c>
      <c r="X47" t="s">
        <v>1312</v>
      </c>
      <c r="Y47" t="s">
        <v>1312</v>
      </c>
      <c r="Z47" t="s">
        <v>1312</v>
      </c>
      <c r="AC47">
        <v>1</v>
      </c>
      <c r="AD47">
        <v>3000</v>
      </c>
      <c r="AE47">
        <v>2500</v>
      </c>
      <c r="AF47" t="s">
        <v>2222</v>
      </c>
      <c r="AH47" t="s">
        <v>1319</v>
      </c>
      <c r="AI47" t="s">
        <v>4876</v>
      </c>
      <c r="AK47" t="s">
        <v>1307</v>
      </c>
      <c r="CG47" t="s">
        <v>1414</v>
      </c>
      <c r="CH47" t="s">
        <v>1309</v>
      </c>
      <c r="CI47" t="s">
        <v>1309</v>
      </c>
      <c r="CJ47" t="s">
        <v>1309</v>
      </c>
      <c r="CK47" t="s">
        <v>1309</v>
      </c>
      <c r="CL47" t="s">
        <v>1309</v>
      </c>
      <c r="CM47" t="s">
        <v>1309</v>
      </c>
      <c r="CN47" t="s">
        <v>1309</v>
      </c>
      <c r="CO47" t="s">
        <v>1309</v>
      </c>
      <c r="CP47" t="s">
        <v>1309</v>
      </c>
      <c r="CQ47" t="s">
        <v>1309</v>
      </c>
      <c r="CR47" t="s">
        <v>1309</v>
      </c>
      <c r="CS47" t="s">
        <v>1309</v>
      </c>
      <c r="CT47" t="s">
        <v>1309</v>
      </c>
      <c r="CU47" t="s">
        <v>1310</v>
      </c>
      <c r="CV47" t="s">
        <v>1309</v>
      </c>
      <c r="CX47" t="s">
        <v>1414</v>
      </c>
      <c r="CY47" t="s">
        <v>1309</v>
      </c>
      <c r="CZ47" t="s">
        <v>1309</v>
      </c>
      <c r="DA47" t="s">
        <v>1309</v>
      </c>
      <c r="DB47" t="s">
        <v>1309</v>
      </c>
      <c r="DC47" t="s">
        <v>1309</v>
      </c>
      <c r="DD47" t="s">
        <v>1309</v>
      </c>
      <c r="DE47" t="s">
        <v>1309</v>
      </c>
      <c r="DF47" t="s">
        <v>1309</v>
      </c>
      <c r="DG47" t="s">
        <v>1309</v>
      </c>
      <c r="DH47" t="s">
        <v>1309</v>
      </c>
      <c r="DI47" t="s">
        <v>1309</v>
      </c>
      <c r="DJ47" t="s">
        <v>1310</v>
      </c>
      <c r="DK47" t="s">
        <v>1309</v>
      </c>
      <c r="DM47" t="s">
        <v>4436</v>
      </c>
      <c r="DO47" t="s">
        <v>1357</v>
      </c>
      <c r="DP47" t="s">
        <v>1309</v>
      </c>
      <c r="DQ47" t="s">
        <v>1309</v>
      </c>
      <c r="DR47" t="s">
        <v>1309</v>
      </c>
      <c r="DS47" t="s">
        <v>1309</v>
      </c>
      <c r="DT47" t="s">
        <v>1310</v>
      </c>
      <c r="DU47" t="s">
        <v>1309</v>
      </c>
      <c r="DV47" t="s">
        <v>1309</v>
      </c>
      <c r="DX47" t="s">
        <v>1358</v>
      </c>
      <c r="DY47" t="s">
        <v>1319</v>
      </c>
      <c r="DZ47">
        <v>650</v>
      </c>
      <c r="EA47">
        <v>8500</v>
      </c>
      <c r="EB47">
        <v>700</v>
      </c>
      <c r="EC47" t="s">
        <v>1358</v>
      </c>
      <c r="EF47">
        <v>650</v>
      </c>
      <c r="EG47" t="s">
        <v>2930</v>
      </c>
      <c r="EH47" t="s">
        <v>1309</v>
      </c>
      <c r="EI47" t="s">
        <v>1309</v>
      </c>
      <c r="EJ47" t="s">
        <v>1309</v>
      </c>
      <c r="EK47" t="s">
        <v>1309</v>
      </c>
      <c r="EL47" t="s">
        <v>1310</v>
      </c>
      <c r="EM47" t="s">
        <v>1309</v>
      </c>
      <c r="EN47" t="s">
        <v>1309</v>
      </c>
      <c r="EO47" t="s">
        <v>1309</v>
      </c>
      <c r="EQ47" t="s">
        <v>1307</v>
      </c>
      <c r="ER47" t="s">
        <v>1319</v>
      </c>
      <c r="ES47" t="s">
        <v>1319</v>
      </c>
      <c r="EU47" t="s">
        <v>2203</v>
      </c>
      <c r="EV47" t="s">
        <v>1309</v>
      </c>
      <c r="EW47" t="s">
        <v>1309</v>
      </c>
      <c r="EX47" t="s">
        <v>1309</v>
      </c>
      <c r="EY47" t="s">
        <v>1310</v>
      </c>
      <c r="EZ47" t="s">
        <v>1309</v>
      </c>
      <c r="FA47" t="s">
        <v>1309</v>
      </c>
      <c r="FB47" t="s">
        <v>1309</v>
      </c>
      <c r="FC47" t="s">
        <v>1310</v>
      </c>
      <c r="FD47" t="s">
        <v>1309</v>
      </c>
      <c r="FE47" t="s">
        <v>1310</v>
      </c>
      <c r="FF47" t="s">
        <v>1309</v>
      </c>
      <c r="FG47" t="s">
        <v>1309</v>
      </c>
      <c r="FH47" t="s">
        <v>1309</v>
      </c>
      <c r="FI47" t="s">
        <v>1309</v>
      </c>
      <c r="FJ47" t="s">
        <v>1309</v>
      </c>
      <c r="FK47" t="s">
        <v>1309</v>
      </c>
      <c r="FL47" t="s">
        <v>1309</v>
      </c>
      <c r="FN47" t="s">
        <v>1319</v>
      </c>
      <c r="FO47" t="s">
        <v>1389</v>
      </c>
      <c r="FP47" t="s">
        <v>1310</v>
      </c>
      <c r="FQ47" t="s">
        <v>1310</v>
      </c>
      <c r="FR47" t="s">
        <v>1309</v>
      </c>
      <c r="FS47" t="s">
        <v>1309</v>
      </c>
      <c r="FT47" t="s">
        <v>1309</v>
      </c>
      <c r="FU47" t="s">
        <v>1310</v>
      </c>
      <c r="FV47" t="s">
        <v>1309</v>
      </c>
      <c r="FW47" t="s">
        <v>1309</v>
      </c>
      <c r="FX47" t="s">
        <v>1309</v>
      </c>
      <c r="FY47" t="s">
        <v>1309</v>
      </c>
      <c r="FZ47" t="s">
        <v>1309</v>
      </c>
      <c r="GA47" t="s">
        <v>1309</v>
      </c>
      <c r="GC47" t="s">
        <v>1436</v>
      </c>
      <c r="GD47" t="s">
        <v>1436</v>
      </c>
      <c r="GE47" t="s">
        <v>1307</v>
      </c>
      <c r="GN47" t="s">
        <v>1364</v>
      </c>
      <c r="HB47" t="s">
        <v>1307</v>
      </c>
      <c r="HR47" t="s">
        <v>1332</v>
      </c>
      <c r="HS47" t="s">
        <v>1309</v>
      </c>
      <c r="HT47" t="s">
        <v>1309</v>
      </c>
      <c r="HU47" t="s">
        <v>1309</v>
      </c>
      <c r="HV47" t="s">
        <v>1309</v>
      </c>
      <c r="HW47" t="s">
        <v>1310</v>
      </c>
      <c r="HX47" t="s">
        <v>1309</v>
      </c>
      <c r="HY47" t="s">
        <v>1309</v>
      </c>
      <c r="HZ47" t="s">
        <v>1309</v>
      </c>
      <c r="IB47" s="92" t="s">
        <v>2230</v>
      </c>
      <c r="IC47" s="92" t="s">
        <v>3033</v>
      </c>
      <c r="ID47" s="92">
        <v>58</v>
      </c>
      <c r="IE47" s="92" t="s">
        <v>1307</v>
      </c>
      <c r="IF47" s="92" t="s">
        <v>4395</v>
      </c>
      <c r="IG47" s="92" t="s">
        <v>1526</v>
      </c>
      <c r="IH47" s="92" t="s">
        <v>1296</v>
      </c>
      <c r="II47" s="92" t="s">
        <v>70</v>
      </c>
      <c r="IJ47" s="92" t="s">
        <v>1397</v>
      </c>
      <c r="IK47" s="92" t="s">
        <v>1337</v>
      </c>
      <c r="IL47" s="92" t="s">
        <v>4844</v>
      </c>
      <c r="IM47" s="92" t="s">
        <v>1338</v>
      </c>
      <c r="IN47" s="92" t="s">
        <v>109</v>
      </c>
      <c r="IO47" s="92" t="s">
        <v>4844</v>
      </c>
      <c r="IP47" s="92" t="s">
        <v>5560</v>
      </c>
      <c r="IQ47" s="92">
        <v>9850</v>
      </c>
      <c r="IR47" s="92" t="s">
        <v>1426</v>
      </c>
      <c r="IS47" s="92" t="s">
        <v>192</v>
      </c>
      <c r="IT47" s="92" t="s">
        <v>192</v>
      </c>
      <c r="IU47" s="92" t="s">
        <v>109</v>
      </c>
      <c r="IV47" s="92" t="s">
        <v>109</v>
      </c>
      <c r="IW47" s="92" t="s">
        <v>1341</v>
      </c>
      <c r="IX47" s="92">
        <v>650</v>
      </c>
      <c r="IY47" s="92" t="s">
        <v>4438</v>
      </c>
      <c r="IZ47" s="92" t="s">
        <v>1374</v>
      </c>
      <c r="JA47" s="92" t="s">
        <v>1375</v>
      </c>
      <c r="JB47" s="92" t="s">
        <v>192</v>
      </c>
      <c r="JC47" s="92" t="s">
        <v>1403</v>
      </c>
      <c r="JD47" s="92" t="s">
        <v>109</v>
      </c>
      <c r="JE47" s="92" t="s">
        <v>109</v>
      </c>
      <c r="JF47" s="92" t="s">
        <v>1426</v>
      </c>
      <c r="JG47" s="92" t="s">
        <v>4438</v>
      </c>
      <c r="JH47" s="92" t="s">
        <v>192</v>
      </c>
      <c r="JI47" s="92" t="s">
        <v>192</v>
      </c>
    </row>
    <row r="48" spans="1:269" x14ac:dyDescent="0.25">
      <c r="A48" t="s">
        <v>3034</v>
      </c>
      <c r="B48" t="s">
        <v>3035</v>
      </c>
      <c r="C48" t="s">
        <v>1305</v>
      </c>
      <c r="D48" t="s">
        <v>1381</v>
      </c>
      <c r="F48" t="s">
        <v>1319</v>
      </c>
      <c r="G48" t="s">
        <v>1319</v>
      </c>
      <c r="H48">
        <v>3</v>
      </c>
      <c r="I48" t="s">
        <v>1358</v>
      </c>
      <c r="J48" t="s">
        <v>2035</v>
      </c>
      <c r="K48" t="s">
        <v>1309</v>
      </c>
      <c r="L48" t="s">
        <v>1310</v>
      </c>
      <c r="M48" t="s">
        <v>1309</v>
      </c>
      <c r="N48" t="s">
        <v>1310</v>
      </c>
      <c r="O48" t="s">
        <v>1310</v>
      </c>
      <c r="P48" t="s">
        <v>1309</v>
      </c>
      <c r="Q48" t="s">
        <v>1309</v>
      </c>
      <c r="R48" t="s">
        <v>1309</v>
      </c>
      <c r="S48">
        <v>1</v>
      </c>
      <c r="U48" t="s">
        <v>1311</v>
      </c>
      <c r="V48" t="s">
        <v>1312</v>
      </c>
      <c r="W48" t="s">
        <v>1312</v>
      </c>
      <c r="X48" t="s">
        <v>1312</v>
      </c>
      <c r="Y48" t="s">
        <v>1312</v>
      </c>
      <c r="Z48" t="s">
        <v>1312</v>
      </c>
      <c r="AA48">
        <v>0</v>
      </c>
      <c r="AC48">
        <v>1</v>
      </c>
      <c r="AD48">
        <v>1000</v>
      </c>
      <c r="AE48">
        <v>20000</v>
      </c>
      <c r="AF48" t="s">
        <v>1313</v>
      </c>
      <c r="AH48" t="s">
        <v>1319</v>
      </c>
      <c r="AI48" t="s">
        <v>4879</v>
      </c>
      <c r="AK48" t="s">
        <v>1307</v>
      </c>
      <c r="CG48" t="s">
        <v>1414</v>
      </c>
      <c r="CH48" t="s">
        <v>1309</v>
      </c>
      <c r="CI48" t="s">
        <v>1309</v>
      </c>
      <c r="CJ48" t="s">
        <v>1309</v>
      </c>
      <c r="CK48" t="s">
        <v>1309</v>
      </c>
      <c r="CL48" t="s">
        <v>1309</v>
      </c>
      <c r="CM48" t="s">
        <v>1309</v>
      </c>
      <c r="CN48" t="s">
        <v>1309</v>
      </c>
      <c r="CO48" t="s">
        <v>1309</v>
      </c>
      <c r="CP48" t="s">
        <v>1309</v>
      </c>
      <c r="CQ48" t="s">
        <v>1309</v>
      </c>
      <c r="CR48" t="s">
        <v>1309</v>
      </c>
      <c r="CS48" t="s">
        <v>1309</v>
      </c>
      <c r="CT48" t="s">
        <v>1309</v>
      </c>
      <c r="CU48" t="s">
        <v>1310</v>
      </c>
      <c r="CV48" t="s">
        <v>1309</v>
      </c>
      <c r="CX48" t="s">
        <v>3036</v>
      </c>
      <c r="CY48" t="s">
        <v>1310</v>
      </c>
      <c r="CZ48" t="s">
        <v>1309</v>
      </c>
      <c r="DA48" t="s">
        <v>1309</v>
      </c>
      <c r="DB48" t="s">
        <v>1310</v>
      </c>
      <c r="DC48" t="s">
        <v>1310</v>
      </c>
      <c r="DD48" t="s">
        <v>1309</v>
      </c>
      <c r="DE48" t="s">
        <v>1309</v>
      </c>
      <c r="DF48" t="s">
        <v>1309</v>
      </c>
      <c r="DG48" t="s">
        <v>1309</v>
      </c>
      <c r="DH48" t="s">
        <v>1309</v>
      </c>
      <c r="DI48" t="s">
        <v>1309</v>
      </c>
      <c r="DJ48" t="s">
        <v>1309</v>
      </c>
      <c r="DK48" t="s">
        <v>1309</v>
      </c>
      <c r="DM48" t="s">
        <v>4434</v>
      </c>
      <c r="DO48" t="s">
        <v>1308</v>
      </c>
      <c r="DP48" t="s">
        <v>1310</v>
      </c>
      <c r="DQ48" t="s">
        <v>1309</v>
      </c>
      <c r="DR48" t="s">
        <v>1309</v>
      </c>
      <c r="DS48" t="s">
        <v>1309</v>
      </c>
      <c r="DT48" t="s">
        <v>1309</v>
      </c>
      <c r="DU48" t="s">
        <v>1309</v>
      </c>
      <c r="DV48" t="s">
        <v>1309</v>
      </c>
      <c r="DX48" t="s">
        <v>1307</v>
      </c>
      <c r="EC48" t="s">
        <v>1307</v>
      </c>
      <c r="EQ48" t="s">
        <v>1307</v>
      </c>
      <c r="ER48" t="s">
        <v>1307</v>
      </c>
      <c r="ES48" t="s">
        <v>1307</v>
      </c>
      <c r="FN48" t="s">
        <v>1307</v>
      </c>
      <c r="GC48" t="s">
        <v>1436</v>
      </c>
      <c r="GD48" t="s">
        <v>1436</v>
      </c>
      <c r="GE48" t="s">
        <v>1307</v>
      </c>
      <c r="GN48" t="s">
        <v>1364</v>
      </c>
      <c r="HB48" t="s">
        <v>1307</v>
      </c>
      <c r="HR48" t="s">
        <v>1414</v>
      </c>
      <c r="HS48" t="s">
        <v>1309</v>
      </c>
      <c r="HT48" t="s">
        <v>1309</v>
      </c>
      <c r="HU48" t="s">
        <v>1309</v>
      </c>
      <c r="HV48" t="s">
        <v>1309</v>
      </c>
      <c r="HW48" t="s">
        <v>1309</v>
      </c>
      <c r="HX48" t="s">
        <v>1309</v>
      </c>
      <c r="HY48" t="s">
        <v>1310</v>
      </c>
      <c r="HZ48" t="s">
        <v>1309</v>
      </c>
      <c r="IB48" s="92" t="s">
        <v>1333</v>
      </c>
      <c r="IC48" s="92" t="s">
        <v>1334</v>
      </c>
      <c r="ID48" s="92">
        <v>44</v>
      </c>
      <c r="IE48" s="92" t="s">
        <v>1307</v>
      </c>
      <c r="IF48" s="92" t="s">
        <v>4398</v>
      </c>
      <c r="IG48" s="92" t="s">
        <v>1336</v>
      </c>
      <c r="IH48" s="92" t="s">
        <v>1296</v>
      </c>
      <c r="II48" s="92" t="s">
        <v>71</v>
      </c>
      <c r="IJ48" s="92" t="s">
        <v>1397</v>
      </c>
      <c r="IK48" s="92" t="s">
        <v>1337</v>
      </c>
      <c r="IL48" s="92" t="s">
        <v>4845</v>
      </c>
      <c r="IM48" s="92" t="s">
        <v>1415</v>
      </c>
      <c r="IN48" s="92" t="s">
        <v>109</v>
      </c>
      <c r="IO48" s="92" t="s">
        <v>4844</v>
      </c>
      <c r="IP48" s="92" t="s">
        <v>5561</v>
      </c>
      <c r="IQ48" s="92">
        <v>0</v>
      </c>
      <c r="IR48" s="92" t="s">
        <v>1372</v>
      </c>
      <c r="IS48" s="92" t="s">
        <v>109</v>
      </c>
      <c r="IT48" s="92" t="s">
        <v>109</v>
      </c>
      <c r="IU48" s="92" t="s">
        <v>109</v>
      </c>
      <c r="IV48" s="92" t="s">
        <v>109</v>
      </c>
      <c r="IW48" s="92" t="s">
        <v>1373</v>
      </c>
      <c r="IX48" s="92">
        <v>0</v>
      </c>
      <c r="IY48" s="92" t="s">
        <v>1372</v>
      </c>
      <c r="IZ48" s="92" t="s">
        <v>1373</v>
      </c>
      <c r="JA48" s="92" t="s">
        <v>1460</v>
      </c>
      <c r="JB48" s="92" t="s">
        <v>192</v>
      </c>
      <c r="JC48" s="92" t="s">
        <v>1403</v>
      </c>
      <c r="JD48" s="92" t="s">
        <v>109</v>
      </c>
      <c r="JE48" s="92" t="s">
        <v>109</v>
      </c>
      <c r="JF48" s="92" t="s">
        <v>1372</v>
      </c>
      <c r="JG48" s="92" t="s">
        <v>1372</v>
      </c>
      <c r="JH48" s="92" t="s">
        <v>192</v>
      </c>
      <c r="JI48" s="92" t="s">
        <v>192</v>
      </c>
    </row>
    <row r="49" spans="1:269" x14ac:dyDescent="0.25">
      <c r="A49" t="s">
        <v>3037</v>
      </c>
      <c r="B49" t="s">
        <v>3038</v>
      </c>
      <c r="C49" t="s">
        <v>1305</v>
      </c>
      <c r="D49" t="s">
        <v>1306</v>
      </c>
      <c r="F49" t="s">
        <v>1307</v>
      </c>
      <c r="G49" t="s">
        <v>1319</v>
      </c>
      <c r="H49">
        <v>5</v>
      </c>
      <c r="I49" t="s">
        <v>1307</v>
      </c>
      <c r="J49" t="s">
        <v>1663</v>
      </c>
      <c r="K49" t="s">
        <v>1309</v>
      </c>
      <c r="L49" t="s">
        <v>1310</v>
      </c>
      <c r="M49" t="s">
        <v>1310</v>
      </c>
      <c r="N49" t="s">
        <v>1309</v>
      </c>
      <c r="O49" t="s">
        <v>1309</v>
      </c>
      <c r="P49" t="s">
        <v>1309</v>
      </c>
      <c r="Q49" t="s">
        <v>1309</v>
      </c>
      <c r="R49" t="s">
        <v>1309</v>
      </c>
      <c r="S49">
        <v>1</v>
      </c>
      <c r="T49">
        <v>2</v>
      </c>
      <c r="U49" t="s">
        <v>1311</v>
      </c>
      <c r="V49" t="s">
        <v>1312</v>
      </c>
      <c r="W49" t="s">
        <v>1312</v>
      </c>
      <c r="X49" t="s">
        <v>1312</v>
      </c>
      <c r="Y49" t="s">
        <v>1312</v>
      </c>
      <c r="Z49" t="s">
        <v>1312</v>
      </c>
      <c r="AC49">
        <v>4</v>
      </c>
      <c r="AF49" t="s">
        <v>1351</v>
      </c>
      <c r="AH49" t="s">
        <v>1319</v>
      </c>
      <c r="AI49" t="s">
        <v>4879</v>
      </c>
      <c r="AK49" t="s">
        <v>1319</v>
      </c>
      <c r="AL49" t="s">
        <v>1315</v>
      </c>
      <c r="AN49" t="s">
        <v>1316</v>
      </c>
      <c r="BU49" t="s">
        <v>2853</v>
      </c>
      <c r="BV49" t="s">
        <v>1310</v>
      </c>
      <c r="BW49" t="s">
        <v>1309</v>
      </c>
      <c r="BX49" t="s">
        <v>1309</v>
      </c>
      <c r="BY49" t="s">
        <v>1309</v>
      </c>
      <c r="BZ49" t="s">
        <v>1309</v>
      </c>
      <c r="CA49" t="s">
        <v>1309</v>
      </c>
      <c r="CB49" t="s">
        <v>1309</v>
      </c>
      <c r="CC49" t="s">
        <v>1309</v>
      </c>
      <c r="CD49" t="s">
        <v>1309</v>
      </c>
      <c r="CE49" t="s">
        <v>1309</v>
      </c>
      <c r="CX49" t="s">
        <v>2948</v>
      </c>
      <c r="CY49" t="s">
        <v>1310</v>
      </c>
      <c r="CZ49" t="s">
        <v>1309</v>
      </c>
      <c r="DA49" t="s">
        <v>1309</v>
      </c>
      <c r="DB49" t="s">
        <v>1309</v>
      </c>
      <c r="DC49" t="s">
        <v>1309</v>
      </c>
      <c r="DD49" t="s">
        <v>1310</v>
      </c>
      <c r="DE49" t="s">
        <v>1309</v>
      </c>
      <c r="DF49" t="s">
        <v>1309</v>
      </c>
      <c r="DG49" t="s">
        <v>1309</v>
      </c>
      <c r="DH49" t="s">
        <v>1309</v>
      </c>
      <c r="DI49" t="s">
        <v>1309</v>
      </c>
      <c r="DJ49" t="s">
        <v>1309</v>
      </c>
      <c r="DK49" t="s">
        <v>1309</v>
      </c>
      <c r="DM49" t="s">
        <v>4436</v>
      </c>
      <c r="DO49" t="s">
        <v>1308</v>
      </c>
      <c r="DP49" t="s">
        <v>1310</v>
      </c>
      <c r="DQ49" t="s">
        <v>1309</v>
      </c>
      <c r="DR49" t="s">
        <v>1309</v>
      </c>
      <c r="DS49" t="s">
        <v>1309</v>
      </c>
      <c r="DT49" t="s">
        <v>1309</v>
      </c>
      <c r="DU49" t="s">
        <v>1309</v>
      </c>
      <c r="DV49" t="s">
        <v>1309</v>
      </c>
      <c r="DX49" t="s">
        <v>1358</v>
      </c>
      <c r="DY49" t="s">
        <v>1319</v>
      </c>
      <c r="DZ49">
        <v>300</v>
      </c>
      <c r="EB49">
        <v>800</v>
      </c>
      <c r="EC49" t="s">
        <v>1358</v>
      </c>
      <c r="ED49">
        <v>250</v>
      </c>
      <c r="EF49">
        <v>900</v>
      </c>
      <c r="EG49" t="s">
        <v>1703</v>
      </c>
      <c r="EH49" t="s">
        <v>1310</v>
      </c>
      <c r="EI49" t="s">
        <v>1309</v>
      </c>
      <c r="EJ49" t="s">
        <v>1309</v>
      </c>
      <c r="EK49" t="s">
        <v>1309</v>
      </c>
      <c r="EL49" t="s">
        <v>1309</v>
      </c>
      <c r="EM49" t="s">
        <v>1309</v>
      </c>
      <c r="EN49" t="s">
        <v>1309</v>
      </c>
      <c r="EO49" t="s">
        <v>1309</v>
      </c>
      <c r="EQ49" t="s">
        <v>1307</v>
      </c>
      <c r="ER49" t="s">
        <v>1319</v>
      </c>
      <c r="ES49" t="s">
        <v>1319</v>
      </c>
      <c r="EU49" t="s">
        <v>3039</v>
      </c>
      <c r="EV49" t="s">
        <v>1309</v>
      </c>
      <c r="EW49" t="s">
        <v>1309</v>
      </c>
      <c r="EX49" t="s">
        <v>1310</v>
      </c>
      <c r="EY49" t="s">
        <v>1309</v>
      </c>
      <c r="EZ49" t="s">
        <v>1309</v>
      </c>
      <c r="FA49" t="s">
        <v>1309</v>
      </c>
      <c r="FB49" t="s">
        <v>1309</v>
      </c>
      <c r="FC49" t="s">
        <v>1310</v>
      </c>
      <c r="FD49" t="s">
        <v>1309</v>
      </c>
      <c r="FE49" t="s">
        <v>1309</v>
      </c>
      <c r="FF49" t="s">
        <v>1309</v>
      </c>
      <c r="FG49" t="s">
        <v>1309</v>
      </c>
      <c r="FH49" t="s">
        <v>1310</v>
      </c>
      <c r="FI49" t="s">
        <v>1309</v>
      </c>
      <c r="FJ49" t="s">
        <v>1309</v>
      </c>
      <c r="FK49" t="s">
        <v>1309</v>
      </c>
      <c r="FL49" t="s">
        <v>1309</v>
      </c>
      <c r="FN49" t="s">
        <v>1307</v>
      </c>
      <c r="GC49" t="s">
        <v>1324</v>
      </c>
      <c r="GD49" t="s">
        <v>1324</v>
      </c>
      <c r="GN49" t="s">
        <v>1328</v>
      </c>
      <c r="GO49" t="s">
        <v>1592</v>
      </c>
      <c r="GP49" t="s">
        <v>1309</v>
      </c>
      <c r="GQ49" t="s">
        <v>1309</v>
      </c>
      <c r="GR49" t="s">
        <v>1310</v>
      </c>
      <c r="GS49" t="s">
        <v>1309</v>
      </c>
      <c r="GT49" t="s">
        <v>1309</v>
      </c>
      <c r="GU49" t="s">
        <v>1309</v>
      </c>
      <c r="GV49" t="s">
        <v>1309</v>
      </c>
      <c r="GW49" t="s">
        <v>1309</v>
      </c>
      <c r="GX49" t="s">
        <v>1309</v>
      </c>
      <c r="GY49" t="s">
        <v>1309</v>
      </c>
      <c r="GZ49" t="s">
        <v>1309</v>
      </c>
      <c r="HB49" t="s">
        <v>1319</v>
      </c>
      <c r="HC49" t="s">
        <v>3040</v>
      </c>
      <c r="HD49" t="s">
        <v>1310</v>
      </c>
      <c r="HE49" t="s">
        <v>1309</v>
      </c>
      <c r="HF49" t="s">
        <v>1309</v>
      </c>
      <c r="HG49" t="s">
        <v>1310</v>
      </c>
      <c r="HH49" t="s">
        <v>1310</v>
      </c>
      <c r="HI49" t="s">
        <v>1309</v>
      </c>
      <c r="HJ49" t="s">
        <v>1310</v>
      </c>
      <c r="HK49" t="s">
        <v>1309</v>
      </c>
      <c r="HL49" t="s">
        <v>1309</v>
      </c>
      <c r="HM49" t="s">
        <v>1310</v>
      </c>
      <c r="HN49" t="s">
        <v>1309</v>
      </c>
      <c r="HO49" t="s">
        <v>1309</v>
      </c>
      <c r="HP49" t="s">
        <v>1309</v>
      </c>
      <c r="HR49" t="s">
        <v>2088</v>
      </c>
      <c r="HS49" t="s">
        <v>1310</v>
      </c>
      <c r="HT49" t="s">
        <v>1309</v>
      </c>
      <c r="HU49" t="s">
        <v>1309</v>
      </c>
      <c r="HV49" t="s">
        <v>1310</v>
      </c>
      <c r="HW49" t="s">
        <v>1310</v>
      </c>
      <c r="HX49" t="s">
        <v>1309</v>
      </c>
      <c r="HY49" t="s">
        <v>1309</v>
      </c>
      <c r="HZ49" t="s">
        <v>1309</v>
      </c>
      <c r="IB49" s="92" t="s">
        <v>1333</v>
      </c>
      <c r="IC49" s="92" t="s">
        <v>3041</v>
      </c>
      <c r="ID49" s="92">
        <v>38</v>
      </c>
      <c r="IE49" s="92" t="s">
        <v>1307</v>
      </c>
      <c r="IF49" s="92" t="s">
        <v>4396</v>
      </c>
      <c r="IG49" s="92" t="s">
        <v>1336</v>
      </c>
      <c r="IH49" s="92" t="s">
        <v>1296</v>
      </c>
      <c r="II49" s="92" t="s">
        <v>71</v>
      </c>
      <c r="IJ49" s="92" t="s">
        <v>5549</v>
      </c>
      <c r="IK49" s="92" t="s">
        <v>1337</v>
      </c>
      <c r="IL49" s="92" t="s">
        <v>4846</v>
      </c>
      <c r="IM49" s="92" t="s">
        <v>1370</v>
      </c>
      <c r="IN49" s="92" t="s">
        <v>109</v>
      </c>
      <c r="IO49" s="92" t="s">
        <v>4848</v>
      </c>
      <c r="IP49" s="92" t="s">
        <v>1340</v>
      </c>
      <c r="IQ49" s="92">
        <v>1100</v>
      </c>
      <c r="IR49" s="92" t="s">
        <v>1340</v>
      </c>
      <c r="IS49" s="92" t="s">
        <v>192</v>
      </c>
      <c r="IT49" s="92" t="s">
        <v>109</v>
      </c>
      <c r="IU49" s="92" t="s">
        <v>192</v>
      </c>
      <c r="IV49" s="92" t="s">
        <v>109</v>
      </c>
      <c r="IW49" s="92" t="s">
        <v>1440</v>
      </c>
      <c r="IX49" s="92">
        <v>1150</v>
      </c>
      <c r="IY49" s="92" t="s">
        <v>1340</v>
      </c>
      <c r="IZ49" s="92" t="s">
        <v>1440</v>
      </c>
      <c r="JA49" s="92" t="s">
        <v>1401</v>
      </c>
      <c r="JB49" s="92" t="s">
        <v>192</v>
      </c>
      <c r="JC49" s="92" t="s">
        <v>5795</v>
      </c>
      <c r="JD49" s="92" t="s">
        <v>109</v>
      </c>
      <c r="JE49" s="92" t="s">
        <v>109</v>
      </c>
      <c r="JF49" s="92" t="s">
        <v>1340</v>
      </c>
      <c r="JG49" s="92" t="s">
        <v>1340</v>
      </c>
      <c r="JH49" s="92"/>
      <c r="JI49" s="92"/>
    </row>
    <row r="50" spans="1:269" x14ac:dyDescent="0.25">
      <c r="A50" t="s">
        <v>3042</v>
      </c>
      <c r="B50" t="s">
        <v>3043</v>
      </c>
      <c r="C50" t="s">
        <v>1429</v>
      </c>
      <c r="D50" t="s">
        <v>1306</v>
      </c>
      <c r="F50" t="s">
        <v>1307</v>
      </c>
      <c r="G50" t="s">
        <v>1319</v>
      </c>
      <c r="H50">
        <v>2</v>
      </c>
      <c r="I50" t="s">
        <v>1307</v>
      </c>
      <c r="J50" t="s">
        <v>1308</v>
      </c>
      <c r="K50" t="s">
        <v>1309</v>
      </c>
      <c r="L50" t="s">
        <v>1309</v>
      </c>
      <c r="M50" t="s">
        <v>1309</v>
      </c>
      <c r="N50" t="s">
        <v>1309</v>
      </c>
      <c r="O50" t="s">
        <v>1309</v>
      </c>
      <c r="P50" t="s">
        <v>1309</v>
      </c>
      <c r="Q50" t="s">
        <v>1310</v>
      </c>
      <c r="R50" t="s">
        <v>1309</v>
      </c>
      <c r="U50" t="s">
        <v>1311</v>
      </c>
      <c r="V50" t="s">
        <v>1312</v>
      </c>
      <c r="W50" t="s">
        <v>1312</v>
      </c>
      <c r="X50" t="s">
        <v>1312</v>
      </c>
      <c r="Y50" t="s">
        <v>1312</v>
      </c>
      <c r="Z50" t="s">
        <v>1312</v>
      </c>
      <c r="AC50">
        <v>2</v>
      </c>
      <c r="AD50">
        <v>36000</v>
      </c>
      <c r="AF50" t="s">
        <v>1313</v>
      </c>
      <c r="AH50" t="s">
        <v>1319</v>
      </c>
      <c r="AI50" t="s">
        <v>4876</v>
      </c>
      <c r="AK50" t="s">
        <v>1307</v>
      </c>
      <c r="CG50" t="s">
        <v>2849</v>
      </c>
      <c r="CH50" t="s">
        <v>1309</v>
      </c>
      <c r="CI50" t="s">
        <v>1309</v>
      </c>
      <c r="CJ50" t="s">
        <v>1309</v>
      </c>
      <c r="CK50" t="s">
        <v>1310</v>
      </c>
      <c r="CL50" t="s">
        <v>1309</v>
      </c>
      <c r="CM50" t="s">
        <v>1309</v>
      </c>
      <c r="CN50" t="s">
        <v>1309</v>
      </c>
      <c r="CO50" t="s">
        <v>1309</v>
      </c>
      <c r="CP50" t="s">
        <v>1310</v>
      </c>
      <c r="CQ50" t="s">
        <v>1309</v>
      </c>
      <c r="CR50" t="s">
        <v>1309</v>
      </c>
      <c r="CS50" t="s">
        <v>1309</v>
      </c>
      <c r="CT50" t="s">
        <v>1309</v>
      </c>
      <c r="CU50" t="s">
        <v>1309</v>
      </c>
      <c r="CV50" t="s">
        <v>1309</v>
      </c>
      <c r="CX50" t="s">
        <v>3044</v>
      </c>
      <c r="CY50" t="s">
        <v>1310</v>
      </c>
      <c r="CZ50" t="s">
        <v>1309</v>
      </c>
      <c r="DA50" t="s">
        <v>1309</v>
      </c>
      <c r="DB50" t="s">
        <v>1309</v>
      </c>
      <c r="DC50" t="s">
        <v>1309</v>
      </c>
      <c r="DD50" t="s">
        <v>1310</v>
      </c>
      <c r="DE50" t="s">
        <v>1309</v>
      </c>
      <c r="DF50" t="s">
        <v>1310</v>
      </c>
      <c r="DG50" t="s">
        <v>1309</v>
      </c>
      <c r="DH50" t="s">
        <v>1310</v>
      </c>
      <c r="DI50" t="s">
        <v>1309</v>
      </c>
      <c r="DJ50" t="s">
        <v>1309</v>
      </c>
      <c r="DK50" t="s">
        <v>1309</v>
      </c>
      <c r="DM50" t="s">
        <v>4435</v>
      </c>
      <c r="DO50" t="s">
        <v>1308</v>
      </c>
      <c r="DP50" t="s">
        <v>1310</v>
      </c>
      <c r="DQ50" t="s">
        <v>1309</v>
      </c>
      <c r="DR50" t="s">
        <v>1309</v>
      </c>
      <c r="DS50" t="s">
        <v>1309</v>
      </c>
      <c r="DT50" t="s">
        <v>1309</v>
      </c>
      <c r="DU50" t="s">
        <v>1309</v>
      </c>
      <c r="DV50" t="s">
        <v>1309</v>
      </c>
      <c r="DX50" t="s">
        <v>1358</v>
      </c>
      <c r="DY50" t="s">
        <v>1319</v>
      </c>
      <c r="EA50">
        <v>800</v>
      </c>
      <c r="EB50">
        <v>300</v>
      </c>
      <c r="EC50" t="s">
        <v>1358</v>
      </c>
      <c r="EE50">
        <v>2500</v>
      </c>
      <c r="EF50">
        <v>450</v>
      </c>
      <c r="EG50" t="s">
        <v>1703</v>
      </c>
      <c r="EH50" t="s">
        <v>1310</v>
      </c>
      <c r="EI50" t="s">
        <v>1309</v>
      </c>
      <c r="EJ50" t="s">
        <v>1309</v>
      </c>
      <c r="EK50" t="s">
        <v>1309</v>
      </c>
      <c r="EL50" t="s">
        <v>1309</v>
      </c>
      <c r="EM50" t="s">
        <v>1309</v>
      </c>
      <c r="EN50" t="s">
        <v>1309</v>
      </c>
      <c r="EO50" t="s">
        <v>1309</v>
      </c>
      <c r="EQ50" t="s">
        <v>1307</v>
      </c>
      <c r="ER50" t="s">
        <v>1307</v>
      </c>
      <c r="ES50" t="s">
        <v>1307</v>
      </c>
      <c r="FN50" t="s">
        <v>1307</v>
      </c>
      <c r="GC50" t="s">
        <v>1324</v>
      </c>
      <c r="GD50" t="s">
        <v>1324</v>
      </c>
      <c r="GN50" t="s">
        <v>1364</v>
      </c>
      <c r="HB50" t="s">
        <v>1307</v>
      </c>
      <c r="HR50" t="s">
        <v>1451</v>
      </c>
      <c r="HS50" t="s">
        <v>1310</v>
      </c>
      <c r="HT50" t="s">
        <v>1309</v>
      </c>
      <c r="HU50" t="s">
        <v>1309</v>
      </c>
      <c r="HV50" t="s">
        <v>1310</v>
      </c>
      <c r="HW50" t="s">
        <v>1309</v>
      </c>
      <c r="HX50" t="s">
        <v>1309</v>
      </c>
      <c r="HY50" t="s">
        <v>1309</v>
      </c>
      <c r="HZ50" t="s">
        <v>1309</v>
      </c>
      <c r="IB50" s="92" t="s">
        <v>1333</v>
      </c>
      <c r="IC50" s="92" t="s">
        <v>1334</v>
      </c>
      <c r="ID50" s="92">
        <v>23</v>
      </c>
      <c r="IE50" s="92" t="s">
        <v>1307</v>
      </c>
      <c r="IF50" s="92" t="s">
        <v>4398</v>
      </c>
      <c r="IG50" s="92" t="s">
        <v>1336</v>
      </c>
      <c r="IH50" s="92" t="s">
        <v>1296</v>
      </c>
      <c r="II50" s="92" t="s">
        <v>71</v>
      </c>
      <c r="IJ50" s="92" t="s">
        <v>5549</v>
      </c>
      <c r="IK50" s="92" t="s">
        <v>1398</v>
      </c>
      <c r="IL50" s="92" t="s">
        <v>4845</v>
      </c>
      <c r="IM50" s="92" t="s">
        <v>1338</v>
      </c>
      <c r="IN50" s="92" t="s">
        <v>109</v>
      </c>
      <c r="IO50" s="92" t="s">
        <v>4847</v>
      </c>
      <c r="IP50" s="92" t="s">
        <v>1416</v>
      </c>
      <c r="IQ50" s="92">
        <v>1100</v>
      </c>
      <c r="IR50" s="92" t="s">
        <v>1372</v>
      </c>
      <c r="IS50" s="92" t="s">
        <v>109</v>
      </c>
      <c r="IT50" s="92" t="s">
        <v>192</v>
      </c>
      <c r="IU50" s="92" t="s">
        <v>109</v>
      </c>
      <c r="IV50" s="92" t="s">
        <v>192</v>
      </c>
      <c r="IW50" s="92" t="s">
        <v>1440</v>
      </c>
      <c r="IX50" s="92">
        <v>2950</v>
      </c>
      <c r="IY50" s="92" t="s">
        <v>1372</v>
      </c>
      <c r="IZ50" s="92" t="s">
        <v>1425</v>
      </c>
      <c r="JA50" s="92" t="s">
        <v>1342</v>
      </c>
      <c r="JB50" s="92" t="s">
        <v>192</v>
      </c>
      <c r="JC50" s="92" t="s">
        <v>5795</v>
      </c>
      <c r="JD50" s="92" t="s">
        <v>109</v>
      </c>
      <c r="JE50" s="92" t="s">
        <v>109</v>
      </c>
      <c r="JF50" s="92" t="s">
        <v>1340</v>
      </c>
      <c r="JG50" s="92" t="s">
        <v>1340</v>
      </c>
      <c r="JH50" s="92"/>
      <c r="JI50" s="92"/>
    </row>
    <row r="51" spans="1:269" x14ac:dyDescent="0.25">
      <c r="A51" t="s">
        <v>3045</v>
      </c>
      <c r="B51" t="s">
        <v>3046</v>
      </c>
      <c r="C51" t="s">
        <v>1429</v>
      </c>
      <c r="D51" t="s">
        <v>1306</v>
      </c>
      <c r="F51" t="s">
        <v>1307</v>
      </c>
      <c r="G51" t="s">
        <v>1319</v>
      </c>
      <c r="H51">
        <v>1</v>
      </c>
      <c r="J51" t="s">
        <v>1308</v>
      </c>
      <c r="K51" t="s">
        <v>1309</v>
      </c>
      <c r="L51" t="s">
        <v>1309</v>
      </c>
      <c r="M51" t="s">
        <v>1309</v>
      </c>
      <c r="N51" t="s">
        <v>1309</v>
      </c>
      <c r="O51" t="s">
        <v>1309</v>
      </c>
      <c r="P51" t="s">
        <v>1309</v>
      </c>
      <c r="Q51" t="s">
        <v>1310</v>
      </c>
      <c r="R51" t="s">
        <v>1309</v>
      </c>
      <c r="U51" t="s">
        <v>1312</v>
      </c>
      <c r="V51" t="s">
        <v>1312</v>
      </c>
      <c r="W51" t="s">
        <v>1312</v>
      </c>
      <c r="X51" t="s">
        <v>1312</v>
      </c>
      <c r="Y51" t="s">
        <v>1312</v>
      </c>
      <c r="Z51" t="s">
        <v>1312</v>
      </c>
      <c r="AC51">
        <v>1</v>
      </c>
      <c r="AD51">
        <v>40000</v>
      </c>
      <c r="AE51">
        <v>20000</v>
      </c>
      <c r="AF51" t="s">
        <v>1351</v>
      </c>
      <c r="AH51" t="s">
        <v>1307</v>
      </c>
      <c r="AI51" t="s">
        <v>4876</v>
      </c>
      <c r="AK51" t="s">
        <v>1307</v>
      </c>
      <c r="CG51" t="s">
        <v>2892</v>
      </c>
      <c r="CH51" t="s">
        <v>1309</v>
      </c>
      <c r="CI51" t="s">
        <v>1309</v>
      </c>
      <c r="CJ51" t="s">
        <v>1310</v>
      </c>
      <c r="CK51" t="s">
        <v>1309</v>
      </c>
      <c r="CL51" t="s">
        <v>1309</v>
      </c>
      <c r="CM51" t="s">
        <v>1309</v>
      </c>
      <c r="CN51" t="s">
        <v>1309</v>
      </c>
      <c r="CO51" t="s">
        <v>1309</v>
      </c>
      <c r="CP51" t="s">
        <v>1309</v>
      </c>
      <c r="CQ51" t="s">
        <v>1309</v>
      </c>
      <c r="CR51" t="s">
        <v>1309</v>
      </c>
      <c r="CS51" t="s">
        <v>1309</v>
      </c>
      <c r="CT51" t="s">
        <v>1309</v>
      </c>
      <c r="CU51" t="s">
        <v>1309</v>
      </c>
      <c r="CV51" t="s">
        <v>1309</v>
      </c>
      <c r="CX51" t="s">
        <v>2948</v>
      </c>
      <c r="CY51" t="s">
        <v>1310</v>
      </c>
      <c r="CZ51" t="s">
        <v>1309</v>
      </c>
      <c r="DA51" t="s">
        <v>1309</v>
      </c>
      <c r="DB51" t="s">
        <v>1309</v>
      </c>
      <c r="DC51" t="s">
        <v>1309</v>
      </c>
      <c r="DD51" t="s">
        <v>1310</v>
      </c>
      <c r="DE51" t="s">
        <v>1309</v>
      </c>
      <c r="DF51" t="s">
        <v>1309</v>
      </c>
      <c r="DG51" t="s">
        <v>1309</v>
      </c>
      <c r="DH51" t="s">
        <v>1309</v>
      </c>
      <c r="DI51" t="s">
        <v>1309</v>
      </c>
      <c r="DJ51" t="s">
        <v>1309</v>
      </c>
      <c r="DK51" t="s">
        <v>1309</v>
      </c>
      <c r="DM51" t="s">
        <v>4435</v>
      </c>
      <c r="DO51" t="s">
        <v>1308</v>
      </c>
      <c r="DP51" t="s">
        <v>1310</v>
      </c>
      <c r="DQ51" t="s">
        <v>1309</v>
      </c>
      <c r="DR51" t="s">
        <v>1309</v>
      </c>
      <c r="DS51" t="s">
        <v>1309</v>
      </c>
      <c r="DT51" t="s">
        <v>1309</v>
      </c>
      <c r="DU51" t="s">
        <v>1309</v>
      </c>
      <c r="DV51" t="s">
        <v>1309</v>
      </c>
      <c r="DX51" t="s">
        <v>1358</v>
      </c>
      <c r="DY51" t="s">
        <v>1319</v>
      </c>
      <c r="DZ51">
        <v>150</v>
      </c>
      <c r="EA51">
        <v>700</v>
      </c>
      <c r="EB51">
        <v>250</v>
      </c>
      <c r="EC51" t="s">
        <v>1358</v>
      </c>
      <c r="ED51">
        <v>200</v>
      </c>
      <c r="EE51">
        <v>1000</v>
      </c>
      <c r="EF51">
        <v>150</v>
      </c>
      <c r="EG51" t="s">
        <v>1703</v>
      </c>
      <c r="EH51" t="s">
        <v>1310</v>
      </c>
      <c r="EI51" t="s">
        <v>1309</v>
      </c>
      <c r="EJ51" t="s">
        <v>1309</v>
      </c>
      <c r="EK51" t="s">
        <v>1309</v>
      </c>
      <c r="EL51" t="s">
        <v>1309</v>
      </c>
      <c r="EM51" t="s">
        <v>1309</v>
      </c>
      <c r="EN51" t="s">
        <v>1309</v>
      </c>
      <c r="EO51" t="s">
        <v>1309</v>
      </c>
      <c r="EQ51" t="s">
        <v>1307</v>
      </c>
      <c r="ER51" t="s">
        <v>1307</v>
      </c>
      <c r="ES51" t="s">
        <v>1307</v>
      </c>
      <c r="FN51" t="s">
        <v>1307</v>
      </c>
      <c r="GC51" t="s">
        <v>1324</v>
      </c>
      <c r="GD51" t="s">
        <v>1324</v>
      </c>
      <c r="GN51" t="s">
        <v>1364</v>
      </c>
      <c r="HB51" t="s">
        <v>1307</v>
      </c>
      <c r="HR51" t="s">
        <v>1451</v>
      </c>
      <c r="HS51" t="s">
        <v>1310</v>
      </c>
      <c r="HT51" t="s">
        <v>1309</v>
      </c>
      <c r="HU51" t="s">
        <v>1309</v>
      </c>
      <c r="HV51" t="s">
        <v>1310</v>
      </c>
      <c r="HW51" t="s">
        <v>1309</v>
      </c>
      <c r="HX51" t="s">
        <v>1309</v>
      </c>
      <c r="HY51" t="s">
        <v>1309</v>
      </c>
      <c r="HZ51" t="s">
        <v>1309</v>
      </c>
      <c r="IB51" s="92" t="s">
        <v>1333</v>
      </c>
      <c r="IC51" s="92" t="s">
        <v>1334</v>
      </c>
      <c r="ID51" s="92">
        <v>43</v>
      </c>
      <c r="IE51" s="92" t="s">
        <v>1307</v>
      </c>
      <c r="IF51" s="92" t="s">
        <v>4396</v>
      </c>
      <c r="IG51" s="92" t="s">
        <v>1336</v>
      </c>
      <c r="IH51" s="92" t="s">
        <v>1296</v>
      </c>
      <c r="II51" s="92" t="s">
        <v>71</v>
      </c>
      <c r="IJ51" s="92" t="s">
        <v>5549</v>
      </c>
      <c r="IK51" s="92" t="s">
        <v>1337</v>
      </c>
      <c r="IL51" s="92" t="s">
        <v>4844</v>
      </c>
      <c r="IM51" s="92" t="s">
        <v>1338</v>
      </c>
      <c r="IN51" s="92" t="s">
        <v>109</v>
      </c>
      <c r="IO51" s="92" t="s">
        <v>4844</v>
      </c>
      <c r="IP51" s="92" t="s">
        <v>1416</v>
      </c>
      <c r="IQ51" s="92">
        <v>1100</v>
      </c>
      <c r="IR51" s="92" t="s">
        <v>1372</v>
      </c>
      <c r="IS51" s="92" t="s">
        <v>192</v>
      </c>
      <c r="IT51" s="92" t="s">
        <v>192</v>
      </c>
      <c r="IU51" s="92" t="s">
        <v>192</v>
      </c>
      <c r="IV51" s="92" t="s">
        <v>192</v>
      </c>
      <c r="IW51" s="92" t="s">
        <v>1440</v>
      </c>
      <c r="IX51" s="92">
        <v>1350</v>
      </c>
      <c r="IY51" s="92" t="s">
        <v>1372</v>
      </c>
      <c r="IZ51" s="92" t="s">
        <v>1440</v>
      </c>
      <c r="JA51" s="92" t="s">
        <v>1342</v>
      </c>
      <c r="JB51" s="92" t="s">
        <v>192</v>
      </c>
      <c r="JC51" s="92" t="s">
        <v>5795</v>
      </c>
      <c r="JD51" s="92" t="s">
        <v>109</v>
      </c>
      <c r="JE51" s="92" t="s">
        <v>109</v>
      </c>
      <c r="JF51" s="92" t="s">
        <v>1372</v>
      </c>
      <c r="JG51" s="92" t="s">
        <v>1372</v>
      </c>
      <c r="JH51" s="92" t="s">
        <v>109</v>
      </c>
      <c r="JI51" s="92" t="s">
        <v>109</v>
      </c>
    </row>
    <row r="52" spans="1:269" x14ac:dyDescent="0.25">
      <c r="A52" t="s">
        <v>3047</v>
      </c>
      <c r="B52" t="s">
        <v>3048</v>
      </c>
      <c r="C52" t="s">
        <v>1305</v>
      </c>
      <c r="D52" t="s">
        <v>1381</v>
      </c>
      <c r="F52" t="s">
        <v>1319</v>
      </c>
      <c r="G52" t="s">
        <v>1319</v>
      </c>
      <c r="H52">
        <v>2</v>
      </c>
      <c r="I52" t="s">
        <v>1358</v>
      </c>
      <c r="J52" t="s">
        <v>1663</v>
      </c>
      <c r="K52" t="s">
        <v>1309</v>
      </c>
      <c r="L52" t="s">
        <v>1310</v>
      </c>
      <c r="M52" t="s">
        <v>1310</v>
      </c>
      <c r="N52" t="s">
        <v>1309</v>
      </c>
      <c r="O52" t="s">
        <v>1309</v>
      </c>
      <c r="P52" t="s">
        <v>1309</v>
      </c>
      <c r="Q52" t="s">
        <v>1309</v>
      </c>
      <c r="R52" t="s">
        <v>1309</v>
      </c>
      <c r="S52">
        <v>1</v>
      </c>
      <c r="T52">
        <v>1</v>
      </c>
      <c r="U52" t="s">
        <v>1312</v>
      </c>
      <c r="V52" t="s">
        <v>1312</v>
      </c>
      <c r="W52" t="s">
        <v>1312</v>
      </c>
      <c r="X52" t="s">
        <v>1312</v>
      </c>
      <c r="Y52" t="s">
        <v>1312</v>
      </c>
      <c r="Z52" t="s">
        <v>1312</v>
      </c>
      <c r="AC52">
        <v>2</v>
      </c>
      <c r="AD52">
        <v>4500</v>
      </c>
      <c r="AE52">
        <v>4500</v>
      </c>
      <c r="AF52" t="s">
        <v>1351</v>
      </c>
      <c r="AH52" t="s">
        <v>1319</v>
      </c>
      <c r="AI52" t="s">
        <v>4875</v>
      </c>
      <c r="AK52" t="s">
        <v>1319</v>
      </c>
      <c r="AL52" t="s">
        <v>1353</v>
      </c>
      <c r="AN52" t="s">
        <v>1354</v>
      </c>
      <c r="BC52" t="s">
        <v>1354</v>
      </c>
      <c r="BU52" t="s">
        <v>1414</v>
      </c>
      <c r="BV52" t="s">
        <v>1309</v>
      </c>
      <c r="BW52" t="s">
        <v>1309</v>
      </c>
      <c r="BX52" t="s">
        <v>1309</v>
      </c>
      <c r="BY52" t="s">
        <v>1309</v>
      </c>
      <c r="BZ52" t="s">
        <v>1309</v>
      </c>
      <c r="CA52" t="s">
        <v>1309</v>
      </c>
      <c r="CB52" t="s">
        <v>1309</v>
      </c>
      <c r="CC52" t="s">
        <v>1309</v>
      </c>
      <c r="CD52" t="s">
        <v>1310</v>
      </c>
      <c r="CE52" t="s">
        <v>1309</v>
      </c>
      <c r="CX52" t="s">
        <v>2317</v>
      </c>
      <c r="CY52" t="s">
        <v>1310</v>
      </c>
      <c r="CZ52" t="s">
        <v>1309</v>
      </c>
      <c r="DA52" t="s">
        <v>1309</v>
      </c>
      <c r="DB52" t="s">
        <v>1310</v>
      </c>
      <c r="DC52" t="s">
        <v>1310</v>
      </c>
      <c r="DD52" t="s">
        <v>1309</v>
      </c>
      <c r="DE52" t="s">
        <v>1309</v>
      </c>
      <c r="DF52" t="s">
        <v>1309</v>
      </c>
      <c r="DG52" t="s">
        <v>1310</v>
      </c>
      <c r="DH52" t="s">
        <v>1309</v>
      </c>
      <c r="DI52" t="s">
        <v>1309</v>
      </c>
      <c r="DJ52" t="s">
        <v>1309</v>
      </c>
      <c r="DK52" t="s">
        <v>1309</v>
      </c>
      <c r="DM52" t="s">
        <v>4434</v>
      </c>
      <c r="DO52" t="s">
        <v>1308</v>
      </c>
      <c r="DP52" t="s">
        <v>1310</v>
      </c>
      <c r="DQ52" t="s">
        <v>1309</v>
      </c>
      <c r="DR52" t="s">
        <v>1309</v>
      </c>
      <c r="DS52" t="s">
        <v>1309</v>
      </c>
      <c r="DT52" t="s">
        <v>1309</v>
      </c>
      <c r="DU52" t="s">
        <v>1309</v>
      </c>
      <c r="DV52" t="s">
        <v>1309</v>
      </c>
      <c r="DX52" t="s">
        <v>1358</v>
      </c>
      <c r="EC52" t="s">
        <v>1358</v>
      </c>
      <c r="EG52" t="s">
        <v>2857</v>
      </c>
      <c r="EH52" t="s">
        <v>1310</v>
      </c>
      <c r="EI52" t="s">
        <v>1309</v>
      </c>
      <c r="EJ52" t="s">
        <v>1309</v>
      </c>
      <c r="EK52" t="s">
        <v>1309</v>
      </c>
      <c r="EL52" t="s">
        <v>1310</v>
      </c>
      <c r="EM52" t="s">
        <v>1309</v>
      </c>
      <c r="EN52" t="s">
        <v>1309</v>
      </c>
      <c r="EO52" t="s">
        <v>1309</v>
      </c>
      <c r="EQ52" t="s">
        <v>1307</v>
      </c>
      <c r="ER52" t="s">
        <v>1307</v>
      </c>
      <c r="ES52" t="s">
        <v>1307</v>
      </c>
      <c r="FN52" t="s">
        <v>1307</v>
      </c>
      <c r="GC52" t="s">
        <v>1448</v>
      </c>
      <c r="GD52" t="s">
        <v>1448</v>
      </c>
      <c r="GN52" t="s">
        <v>1364</v>
      </c>
      <c r="HB52" t="s">
        <v>1307</v>
      </c>
      <c r="HR52" t="s">
        <v>1523</v>
      </c>
      <c r="HS52" t="s">
        <v>1309</v>
      </c>
      <c r="HT52" t="s">
        <v>1309</v>
      </c>
      <c r="HU52" t="s">
        <v>1309</v>
      </c>
      <c r="HV52" t="s">
        <v>1310</v>
      </c>
      <c r="HW52" t="s">
        <v>1309</v>
      </c>
      <c r="HX52" t="s">
        <v>1309</v>
      </c>
      <c r="HY52" t="s">
        <v>1309</v>
      </c>
      <c r="HZ52" t="s">
        <v>1309</v>
      </c>
      <c r="IB52" s="92" t="s">
        <v>1394</v>
      </c>
      <c r="IC52" s="92" t="s">
        <v>2009</v>
      </c>
      <c r="ID52" s="92">
        <v>67</v>
      </c>
      <c r="IE52" s="92" t="s">
        <v>1307</v>
      </c>
      <c r="IF52" s="92" t="s">
        <v>4398</v>
      </c>
      <c r="IG52" s="92" t="s">
        <v>1336</v>
      </c>
      <c r="IH52" s="92" t="s">
        <v>1296</v>
      </c>
      <c r="II52" s="92" t="s">
        <v>70</v>
      </c>
      <c r="IJ52" s="92" t="s">
        <v>1397</v>
      </c>
      <c r="IK52" s="92" t="s">
        <v>1369</v>
      </c>
      <c r="IL52" s="92" t="s">
        <v>4845</v>
      </c>
      <c r="IM52" s="92" t="s">
        <v>5476</v>
      </c>
      <c r="IN52" s="92" t="s">
        <v>109</v>
      </c>
      <c r="IO52" s="92" t="s">
        <v>4847</v>
      </c>
      <c r="IP52" s="92" t="s">
        <v>5560</v>
      </c>
      <c r="IQ52" s="92">
        <v>0</v>
      </c>
      <c r="IR52" s="92" t="s">
        <v>1372</v>
      </c>
      <c r="IS52" s="92" t="s">
        <v>109</v>
      </c>
      <c r="IT52" s="92" t="s">
        <v>109</v>
      </c>
      <c r="IU52" s="92" t="s">
        <v>109</v>
      </c>
      <c r="IV52" s="92" t="s">
        <v>109</v>
      </c>
      <c r="IW52" s="92" t="s">
        <v>1373</v>
      </c>
      <c r="IX52" s="92">
        <v>0</v>
      </c>
      <c r="IY52" s="92" t="s">
        <v>1372</v>
      </c>
      <c r="IZ52" s="92" t="s">
        <v>1373</v>
      </c>
      <c r="JA52" s="92" t="s">
        <v>1460</v>
      </c>
      <c r="JB52" s="92" t="s">
        <v>192</v>
      </c>
      <c r="JC52" s="92" t="s">
        <v>1403</v>
      </c>
      <c r="JD52" s="92" t="s">
        <v>109</v>
      </c>
      <c r="JE52" s="92" t="s">
        <v>109</v>
      </c>
      <c r="JF52" s="92" t="s">
        <v>1372</v>
      </c>
      <c r="JG52" s="92" t="s">
        <v>1372</v>
      </c>
      <c r="JH52" s="92" t="s">
        <v>109</v>
      </c>
      <c r="JI52" s="92" t="s">
        <v>109</v>
      </c>
    </row>
    <row r="53" spans="1:269" x14ac:dyDescent="0.25">
      <c r="A53" t="s">
        <v>3049</v>
      </c>
      <c r="B53" t="s">
        <v>3050</v>
      </c>
      <c r="C53" t="s">
        <v>1305</v>
      </c>
      <c r="D53" t="s">
        <v>1381</v>
      </c>
      <c r="F53" t="s">
        <v>1319</v>
      </c>
      <c r="G53" t="s">
        <v>1319</v>
      </c>
      <c r="H53">
        <v>2</v>
      </c>
      <c r="I53" t="s">
        <v>1358</v>
      </c>
      <c r="J53" t="s">
        <v>1813</v>
      </c>
      <c r="K53" t="s">
        <v>1309</v>
      </c>
      <c r="L53" t="s">
        <v>1310</v>
      </c>
      <c r="M53" t="s">
        <v>1309</v>
      </c>
      <c r="N53" t="s">
        <v>1309</v>
      </c>
      <c r="O53" t="s">
        <v>1310</v>
      </c>
      <c r="P53" t="s">
        <v>1310</v>
      </c>
      <c r="Q53" t="s">
        <v>1309</v>
      </c>
      <c r="R53" t="s">
        <v>1309</v>
      </c>
      <c r="S53">
        <v>1</v>
      </c>
      <c r="U53" t="s">
        <v>1312</v>
      </c>
      <c r="V53" t="s">
        <v>1312</v>
      </c>
      <c r="W53" t="s">
        <v>1312</v>
      </c>
      <c r="X53" t="s">
        <v>1312</v>
      </c>
      <c r="Y53" t="s">
        <v>1312</v>
      </c>
      <c r="Z53" t="s">
        <v>1312</v>
      </c>
      <c r="AC53">
        <v>1</v>
      </c>
      <c r="AD53">
        <v>12000</v>
      </c>
      <c r="AE53">
        <v>7000</v>
      </c>
      <c r="AF53" t="s">
        <v>1313</v>
      </c>
      <c r="AH53" t="s">
        <v>1307</v>
      </c>
      <c r="AI53" t="s">
        <v>4877</v>
      </c>
      <c r="AK53" t="s">
        <v>1319</v>
      </c>
      <c r="AL53" t="s">
        <v>1353</v>
      </c>
      <c r="AN53" t="s">
        <v>1316</v>
      </c>
      <c r="BC53" t="s">
        <v>1316</v>
      </c>
      <c r="BU53" t="s">
        <v>2853</v>
      </c>
      <c r="BV53" t="s">
        <v>1310</v>
      </c>
      <c r="BW53" t="s">
        <v>1309</v>
      </c>
      <c r="BX53" t="s">
        <v>1309</v>
      </c>
      <c r="BY53" t="s">
        <v>1309</v>
      </c>
      <c r="BZ53" t="s">
        <v>1309</v>
      </c>
      <c r="CA53" t="s">
        <v>1309</v>
      </c>
      <c r="CB53" t="s">
        <v>1309</v>
      </c>
      <c r="CC53" t="s">
        <v>1309</v>
      </c>
      <c r="CD53" t="s">
        <v>1309</v>
      </c>
      <c r="CE53" t="s">
        <v>1309</v>
      </c>
      <c r="CX53" t="s">
        <v>3051</v>
      </c>
      <c r="CY53" t="s">
        <v>1310</v>
      </c>
      <c r="CZ53" t="s">
        <v>1309</v>
      </c>
      <c r="DA53" t="s">
        <v>1309</v>
      </c>
      <c r="DB53" t="s">
        <v>1310</v>
      </c>
      <c r="DC53" t="s">
        <v>1310</v>
      </c>
      <c r="DD53" t="s">
        <v>1310</v>
      </c>
      <c r="DE53" t="s">
        <v>1309</v>
      </c>
      <c r="DF53" t="s">
        <v>1309</v>
      </c>
      <c r="DG53" t="s">
        <v>1309</v>
      </c>
      <c r="DH53" t="s">
        <v>1309</v>
      </c>
      <c r="DI53" t="s">
        <v>1309</v>
      </c>
      <c r="DJ53" t="s">
        <v>1309</v>
      </c>
      <c r="DK53" t="s">
        <v>1309</v>
      </c>
      <c r="DM53" t="s">
        <v>4434</v>
      </c>
      <c r="DO53" t="s">
        <v>1308</v>
      </c>
      <c r="DP53" t="s">
        <v>1310</v>
      </c>
      <c r="DQ53" t="s">
        <v>1309</v>
      </c>
      <c r="DR53" t="s">
        <v>1309</v>
      </c>
      <c r="DS53" t="s">
        <v>1309</v>
      </c>
      <c r="DT53" t="s">
        <v>1309</v>
      </c>
      <c r="DU53" t="s">
        <v>1309</v>
      </c>
      <c r="DV53" t="s">
        <v>1309</v>
      </c>
      <c r="DX53" t="s">
        <v>1358</v>
      </c>
      <c r="DZ53">
        <v>2000</v>
      </c>
      <c r="EB53">
        <v>250</v>
      </c>
      <c r="EC53" t="s">
        <v>1358</v>
      </c>
      <c r="ED53">
        <v>2000</v>
      </c>
      <c r="EF53">
        <v>250</v>
      </c>
      <c r="EG53" t="s">
        <v>1703</v>
      </c>
      <c r="EH53" t="s">
        <v>1310</v>
      </c>
      <c r="EI53" t="s">
        <v>1309</v>
      </c>
      <c r="EJ53" t="s">
        <v>1309</v>
      </c>
      <c r="EK53" t="s">
        <v>1309</v>
      </c>
      <c r="EL53" t="s">
        <v>1309</v>
      </c>
      <c r="EM53" t="s">
        <v>1309</v>
      </c>
      <c r="EN53" t="s">
        <v>1309</v>
      </c>
      <c r="EO53" t="s">
        <v>1309</v>
      </c>
      <c r="EQ53" t="s">
        <v>1307</v>
      </c>
      <c r="ER53" t="s">
        <v>1319</v>
      </c>
      <c r="ES53" t="s">
        <v>1319</v>
      </c>
      <c r="EU53" t="s">
        <v>2002</v>
      </c>
      <c r="EV53" t="s">
        <v>1309</v>
      </c>
      <c r="EW53" t="s">
        <v>1309</v>
      </c>
      <c r="EX53" t="s">
        <v>1310</v>
      </c>
      <c r="EY53" t="s">
        <v>1310</v>
      </c>
      <c r="EZ53" t="s">
        <v>1309</v>
      </c>
      <c r="FA53" t="s">
        <v>1309</v>
      </c>
      <c r="FB53" t="s">
        <v>1309</v>
      </c>
      <c r="FC53" t="s">
        <v>1310</v>
      </c>
      <c r="FD53" t="s">
        <v>1309</v>
      </c>
      <c r="FE53" t="s">
        <v>1309</v>
      </c>
      <c r="FF53" t="s">
        <v>1309</v>
      </c>
      <c r="FG53" t="s">
        <v>1309</v>
      </c>
      <c r="FH53" t="s">
        <v>1309</v>
      </c>
      <c r="FI53" t="s">
        <v>1309</v>
      </c>
      <c r="FJ53" t="s">
        <v>1309</v>
      </c>
      <c r="FK53" t="s">
        <v>1309</v>
      </c>
      <c r="FL53" t="s">
        <v>1309</v>
      </c>
      <c r="FN53" t="s">
        <v>1319</v>
      </c>
      <c r="FO53" t="s">
        <v>1435</v>
      </c>
      <c r="FP53" t="s">
        <v>1310</v>
      </c>
      <c r="FQ53" t="s">
        <v>1309</v>
      </c>
      <c r="FR53" t="s">
        <v>1309</v>
      </c>
      <c r="FS53" t="s">
        <v>1309</v>
      </c>
      <c r="FT53" t="s">
        <v>1309</v>
      </c>
      <c r="FU53" t="s">
        <v>1309</v>
      </c>
      <c r="FV53" t="s">
        <v>1309</v>
      </c>
      <c r="FW53" t="s">
        <v>1309</v>
      </c>
      <c r="FX53" t="s">
        <v>1309</v>
      </c>
      <c r="FY53" t="s">
        <v>1309</v>
      </c>
      <c r="FZ53" t="s">
        <v>1309</v>
      </c>
      <c r="GA53" t="s">
        <v>1309</v>
      </c>
      <c r="GC53" t="s">
        <v>1324</v>
      </c>
      <c r="GD53" t="s">
        <v>1324</v>
      </c>
      <c r="GN53" t="s">
        <v>1364</v>
      </c>
      <c r="HB53" t="s">
        <v>1307</v>
      </c>
      <c r="HR53" t="s">
        <v>1393</v>
      </c>
      <c r="HS53" t="s">
        <v>1310</v>
      </c>
      <c r="HT53" t="s">
        <v>1309</v>
      </c>
      <c r="HU53" t="s">
        <v>1309</v>
      </c>
      <c r="HV53" t="s">
        <v>1309</v>
      </c>
      <c r="HW53" t="s">
        <v>1309</v>
      </c>
      <c r="HX53" t="s">
        <v>1309</v>
      </c>
      <c r="HY53" t="s">
        <v>1309</v>
      </c>
      <c r="HZ53" t="s">
        <v>1309</v>
      </c>
      <c r="IB53" s="92" t="s">
        <v>1333</v>
      </c>
      <c r="IC53" s="92" t="s">
        <v>1334</v>
      </c>
      <c r="ID53" s="92">
        <v>42</v>
      </c>
      <c r="IE53" s="92" t="s">
        <v>1307</v>
      </c>
      <c r="IF53" s="92" t="s">
        <v>4398</v>
      </c>
      <c r="IG53" s="92" t="s">
        <v>1336</v>
      </c>
      <c r="IH53" s="92" t="s">
        <v>1296</v>
      </c>
      <c r="II53" s="92" t="s">
        <v>71</v>
      </c>
      <c r="IJ53" s="92" t="s">
        <v>1397</v>
      </c>
      <c r="IK53" s="92" t="s">
        <v>1337</v>
      </c>
      <c r="IL53" s="92" t="s">
        <v>4845</v>
      </c>
      <c r="IM53" s="92" t="s">
        <v>1399</v>
      </c>
      <c r="IN53" s="92" t="s">
        <v>109</v>
      </c>
      <c r="IO53" s="92" t="s">
        <v>4844</v>
      </c>
      <c r="IP53" s="92" t="s">
        <v>1371</v>
      </c>
      <c r="IQ53" s="92">
        <v>2250</v>
      </c>
      <c r="IR53" s="92" t="s">
        <v>4438</v>
      </c>
      <c r="IS53" s="92" t="s">
        <v>192</v>
      </c>
      <c r="IT53" s="92" t="s">
        <v>109</v>
      </c>
      <c r="IU53" s="92" t="s">
        <v>192</v>
      </c>
      <c r="IV53" s="92" t="s">
        <v>109</v>
      </c>
      <c r="IW53" s="92" t="s">
        <v>1425</v>
      </c>
      <c r="IX53" s="92">
        <v>2250</v>
      </c>
      <c r="IY53" s="92" t="s">
        <v>4438</v>
      </c>
      <c r="IZ53" s="92" t="s">
        <v>1425</v>
      </c>
      <c r="JA53" s="92" t="s">
        <v>1460</v>
      </c>
      <c r="JB53" s="92" t="s">
        <v>192</v>
      </c>
      <c r="JC53" s="92" t="s">
        <v>1403</v>
      </c>
      <c r="JD53" s="92" t="s">
        <v>109</v>
      </c>
      <c r="JE53" s="92" t="s">
        <v>109</v>
      </c>
      <c r="JF53" s="92" t="s">
        <v>4438</v>
      </c>
      <c r="JG53" s="92" t="s">
        <v>4438</v>
      </c>
      <c r="JH53" s="92" t="s">
        <v>109</v>
      </c>
      <c r="JI53" s="92" t="s">
        <v>109</v>
      </c>
    </row>
    <row r="54" spans="1:269" x14ac:dyDescent="0.25">
      <c r="A54" t="s">
        <v>3052</v>
      </c>
      <c r="B54" t="s">
        <v>3053</v>
      </c>
      <c r="C54" t="s">
        <v>1305</v>
      </c>
      <c r="D54" t="s">
        <v>1306</v>
      </c>
      <c r="F54" t="s">
        <v>1307</v>
      </c>
      <c r="G54" t="s">
        <v>1319</v>
      </c>
      <c r="H54">
        <v>2</v>
      </c>
      <c r="I54" t="s">
        <v>1307</v>
      </c>
      <c r="J54" t="s">
        <v>1308</v>
      </c>
      <c r="K54" t="s">
        <v>1309</v>
      </c>
      <c r="L54" t="s">
        <v>1309</v>
      </c>
      <c r="M54" t="s">
        <v>1309</v>
      </c>
      <c r="N54" t="s">
        <v>1309</v>
      </c>
      <c r="O54" t="s">
        <v>1309</v>
      </c>
      <c r="P54" t="s">
        <v>1309</v>
      </c>
      <c r="Q54" t="s">
        <v>1310</v>
      </c>
      <c r="R54" t="s">
        <v>1309</v>
      </c>
      <c r="U54" t="s">
        <v>1312</v>
      </c>
      <c r="V54" t="s">
        <v>1312</v>
      </c>
      <c r="W54" t="s">
        <v>1312</v>
      </c>
      <c r="X54" t="s">
        <v>1312</v>
      </c>
      <c r="Y54" t="s">
        <v>1312</v>
      </c>
      <c r="Z54" t="s">
        <v>1312</v>
      </c>
      <c r="AC54">
        <v>2</v>
      </c>
      <c r="AD54">
        <v>35000</v>
      </c>
      <c r="AE54">
        <v>8000</v>
      </c>
      <c r="AF54" t="s">
        <v>1351</v>
      </c>
      <c r="AH54" t="s">
        <v>1319</v>
      </c>
      <c r="AI54" t="s">
        <v>4876</v>
      </c>
      <c r="AK54" t="s">
        <v>1307</v>
      </c>
      <c r="CG54" t="s">
        <v>3054</v>
      </c>
      <c r="CH54" t="s">
        <v>1309</v>
      </c>
      <c r="CI54" t="s">
        <v>1309</v>
      </c>
      <c r="CJ54" t="s">
        <v>1309</v>
      </c>
      <c r="CK54" t="s">
        <v>1309</v>
      </c>
      <c r="CL54" t="s">
        <v>1309</v>
      </c>
      <c r="CM54" t="s">
        <v>1309</v>
      </c>
      <c r="CN54" t="s">
        <v>1309</v>
      </c>
      <c r="CO54" t="s">
        <v>1309</v>
      </c>
      <c r="CP54" t="s">
        <v>1309</v>
      </c>
      <c r="CQ54" t="s">
        <v>1309</v>
      </c>
      <c r="CR54" t="s">
        <v>1309</v>
      </c>
      <c r="CS54" t="s">
        <v>1310</v>
      </c>
      <c r="CT54" t="s">
        <v>1309</v>
      </c>
      <c r="CU54" t="s">
        <v>1309</v>
      </c>
      <c r="CV54" t="s">
        <v>1309</v>
      </c>
      <c r="CX54" t="s">
        <v>1414</v>
      </c>
      <c r="CY54" t="s">
        <v>1309</v>
      </c>
      <c r="CZ54" t="s">
        <v>1309</v>
      </c>
      <c r="DA54" t="s">
        <v>1309</v>
      </c>
      <c r="DB54" t="s">
        <v>1309</v>
      </c>
      <c r="DC54" t="s">
        <v>1309</v>
      </c>
      <c r="DD54" t="s">
        <v>1309</v>
      </c>
      <c r="DE54" t="s">
        <v>1309</v>
      </c>
      <c r="DF54" t="s">
        <v>1309</v>
      </c>
      <c r="DG54" t="s">
        <v>1309</v>
      </c>
      <c r="DH54" t="s">
        <v>1309</v>
      </c>
      <c r="DI54" t="s">
        <v>1309</v>
      </c>
      <c r="DJ54" t="s">
        <v>1310</v>
      </c>
      <c r="DK54" t="s">
        <v>1309</v>
      </c>
      <c r="DM54" t="s">
        <v>4434</v>
      </c>
      <c r="DO54" t="s">
        <v>1308</v>
      </c>
      <c r="DP54" t="s">
        <v>1310</v>
      </c>
      <c r="DQ54" t="s">
        <v>1309</v>
      </c>
      <c r="DR54" t="s">
        <v>1309</v>
      </c>
      <c r="DS54" t="s">
        <v>1309</v>
      </c>
      <c r="DT54" t="s">
        <v>1309</v>
      </c>
      <c r="DU54" t="s">
        <v>1309</v>
      </c>
      <c r="DV54" t="s">
        <v>1309</v>
      </c>
      <c r="DX54" t="s">
        <v>1358</v>
      </c>
      <c r="DZ54">
        <v>1500</v>
      </c>
      <c r="EB54">
        <v>300</v>
      </c>
      <c r="EC54" t="s">
        <v>1358</v>
      </c>
      <c r="ED54">
        <v>2000</v>
      </c>
      <c r="EF54">
        <v>600</v>
      </c>
      <c r="EG54" t="s">
        <v>1703</v>
      </c>
      <c r="EH54" t="s">
        <v>1310</v>
      </c>
      <c r="EI54" t="s">
        <v>1309</v>
      </c>
      <c r="EJ54" t="s">
        <v>1309</v>
      </c>
      <c r="EK54" t="s">
        <v>1309</v>
      </c>
      <c r="EL54" t="s">
        <v>1309</v>
      </c>
      <c r="EM54" t="s">
        <v>1309</v>
      </c>
      <c r="EN54" t="s">
        <v>1309</v>
      </c>
      <c r="EO54" t="s">
        <v>1309</v>
      </c>
      <c r="EQ54" t="s">
        <v>1307</v>
      </c>
      <c r="ER54" t="s">
        <v>1307</v>
      </c>
      <c r="ES54" t="s">
        <v>1307</v>
      </c>
      <c r="FN54" t="s">
        <v>1307</v>
      </c>
      <c r="GC54" t="s">
        <v>1324</v>
      </c>
      <c r="GD54" t="s">
        <v>1324</v>
      </c>
      <c r="GN54" t="s">
        <v>1364</v>
      </c>
      <c r="HB54" t="s">
        <v>1307</v>
      </c>
      <c r="HR54" t="s">
        <v>1414</v>
      </c>
      <c r="HS54" t="s">
        <v>1309</v>
      </c>
      <c r="HT54" t="s">
        <v>1309</v>
      </c>
      <c r="HU54" t="s">
        <v>1309</v>
      </c>
      <c r="HV54" t="s">
        <v>1309</v>
      </c>
      <c r="HW54" t="s">
        <v>1309</v>
      </c>
      <c r="HX54" t="s">
        <v>1309</v>
      </c>
      <c r="HY54" t="s">
        <v>1310</v>
      </c>
      <c r="HZ54" t="s">
        <v>1309</v>
      </c>
      <c r="IB54" s="92" t="s">
        <v>1711</v>
      </c>
      <c r="IC54" s="92" t="s">
        <v>2030</v>
      </c>
      <c r="ID54" s="92">
        <v>32</v>
      </c>
      <c r="IE54" s="92" t="s">
        <v>1307</v>
      </c>
      <c r="IF54" s="92" t="s">
        <v>4396</v>
      </c>
      <c r="IG54" s="92" t="s">
        <v>1368</v>
      </c>
      <c r="IH54" s="92" t="s">
        <v>1296</v>
      </c>
      <c r="II54" s="92" t="s">
        <v>70</v>
      </c>
      <c r="IJ54" s="92" t="s">
        <v>5549</v>
      </c>
      <c r="IK54" s="92" t="s">
        <v>1398</v>
      </c>
      <c r="IL54" s="92" t="s">
        <v>4845</v>
      </c>
      <c r="IM54" s="92" t="s">
        <v>1338</v>
      </c>
      <c r="IN54" s="92" t="s">
        <v>109</v>
      </c>
      <c r="IO54" s="92" t="s">
        <v>4847</v>
      </c>
      <c r="IP54" s="92" t="s">
        <v>1416</v>
      </c>
      <c r="IQ54" s="92">
        <v>1800</v>
      </c>
      <c r="IR54" s="92" t="s">
        <v>1372</v>
      </c>
      <c r="IS54" s="92" t="s">
        <v>192</v>
      </c>
      <c r="IT54" s="92" t="s">
        <v>109</v>
      </c>
      <c r="IU54" s="92" t="s">
        <v>192</v>
      </c>
      <c r="IV54" s="92" t="s">
        <v>109</v>
      </c>
      <c r="IW54" s="92" t="s">
        <v>1440</v>
      </c>
      <c r="IX54" s="92">
        <v>2600</v>
      </c>
      <c r="IY54" s="92" t="s">
        <v>1372</v>
      </c>
      <c r="IZ54" s="92" t="s">
        <v>1425</v>
      </c>
      <c r="JA54" s="92" t="s">
        <v>1460</v>
      </c>
      <c r="JB54" s="92" t="s">
        <v>192</v>
      </c>
      <c r="JC54" s="92" t="s">
        <v>5795</v>
      </c>
      <c r="JD54" s="92" t="s">
        <v>109</v>
      </c>
      <c r="JE54" s="92" t="s">
        <v>109</v>
      </c>
      <c r="JF54" s="92" t="s">
        <v>4438</v>
      </c>
      <c r="JG54" s="92" t="s">
        <v>4438</v>
      </c>
      <c r="JH54" s="92" t="s">
        <v>109</v>
      </c>
      <c r="JI54" s="92" t="s">
        <v>109</v>
      </c>
    </row>
    <row r="55" spans="1:269" x14ac:dyDescent="0.25">
      <c r="A55" t="s">
        <v>3055</v>
      </c>
      <c r="B55" t="s">
        <v>3056</v>
      </c>
      <c r="C55" t="s">
        <v>1305</v>
      </c>
      <c r="D55" t="s">
        <v>1381</v>
      </c>
      <c r="F55" t="s">
        <v>1319</v>
      </c>
      <c r="G55" t="s">
        <v>1319</v>
      </c>
      <c r="H55">
        <v>4</v>
      </c>
      <c r="I55" t="s">
        <v>1358</v>
      </c>
      <c r="J55" t="s">
        <v>1382</v>
      </c>
      <c r="K55" t="s">
        <v>1309</v>
      </c>
      <c r="L55" t="s">
        <v>1310</v>
      </c>
      <c r="M55" t="s">
        <v>1309</v>
      </c>
      <c r="N55" t="s">
        <v>1309</v>
      </c>
      <c r="O55" t="s">
        <v>1309</v>
      </c>
      <c r="P55" t="s">
        <v>1310</v>
      </c>
      <c r="Q55" t="s">
        <v>1309</v>
      </c>
      <c r="R55" t="s">
        <v>1309</v>
      </c>
      <c r="S55">
        <v>3</v>
      </c>
      <c r="U55" t="s">
        <v>1311</v>
      </c>
      <c r="V55" t="s">
        <v>1312</v>
      </c>
      <c r="W55" t="s">
        <v>1312</v>
      </c>
      <c r="X55" t="s">
        <v>1312</v>
      </c>
      <c r="Y55" t="s">
        <v>1312</v>
      </c>
      <c r="Z55" t="s">
        <v>1311</v>
      </c>
      <c r="AC55">
        <v>4</v>
      </c>
      <c r="AD55">
        <v>9000</v>
      </c>
      <c r="AE55">
        <v>7000</v>
      </c>
      <c r="AF55" t="s">
        <v>1313</v>
      </c>
      <c r="AH55" t="s">
        <v>1319</v>
      </c>
      <c r="AI55" t="s">
        <v>4879</v>
      </c>
      <c r="AK55" t="s">
        <v>1319</v>
      </c>
      <c r="AL55" t="s">
        <v>1315</v>
      </c>
      <c r="AN55" t="s">
        <v>1354</v>
      </c>
      <c r="BU55" t="s">
        <v>1698</v>
      </c>
      <c r="BV55" t="s">
        <v>1309</v>
      </c>
      <c r="BW55" t="s">
        <v>1309</v>
      </c>
      <c r="BX55" t="s">
        <v>1309</v>
      </c>
      <c r="BY55" t="s">
        <v>1309</v>
      </c>
      <c r="BZ55" t="s">
        <v>1309</v>
      </c>
      <c r="CA55" t="s">
        <v>1309</v>
      </c>
      <c r="CB55" t="s">
        <v>1309</v>
      </c>
      <c r="CC55" t="s">
        <v>1310</v>
      </c>
      <c r="CD55" t="s">
        <v>1309</v>
      </c>
      <c r="CE55" t="s">
        <v>1309</v>
      </c>
      <c r="CF55" t="s">
        <v>3057</v>
      </c>
      <c r="CX55" t="s">
        <v>1414</v>
      </c>
      <c r="CY55" t="s">
        <v>1309</v>
      </c>
      <c r="CZ55" t="s">
        <v>1309</v>
      </c>
      <c r="DA55" t="s">
        <v>1309</v>
      </c>
      <c r="DB55" t="s">
        <v>1309</v>
      </c>
      <c r="DC55" t="s">
        <v>1309</v>
      </c>
      <c r="DD55" t="s">
        <v>1309</v>
      </c>
      <c r="DE55" t="s">
        <v>1309</v>
      </c>
      <c r="DF55" t="s">
        <v>1309</v>
      </c>
      <c r="DG55" t="s">
        <v>1309</v>
      </c>
      <c r="DH55" t="s">
        <v>1309</v>
      </c>
      <c r="DI55" t="s">
        <v>1309</v>
      </c>
      <c r="DJ55" t="s">
        <v>1310</v>
      </c>
      <c r="DK55" t="s">
        <v>1309</v>
      </c>
      <c r="DM55" t="s">
        <v>4435</v>
      </c>
      <c r="DO55" t="s">
        <v>1308</v>
      </c>
      <c r="DP55" t="s">
        <v>1310</v>
      </c>
      <c r="DQ55" t="s">
        <v>1309</v>
      </c>
      <c r="DR55" t="s">
        <v>1309</v>
      </c>
      <c r="DS55" t="s">
        <v>1309</v>
      </c>
      <c r="DT55" t="s">
        <v>1309</v>
      </c>
      <c r="DU55" t="s">
        <v>1309</v>
      </c>
      <c r="DV55" t="s">
        <v>1309</v>
      </c>
      <c r="DX55" t="s">
        <v>1358</v>
      </c>
      <c r="DY55" t="s">
        <v>1319</v>
      </c>
      <c r="DZ55">
        <v>300</v>
      </c>
      <c r="EA55">
        <v>1500</v>
      </c>
      <c r="EB55">
        <v>200</v>
      </c>
      <c r="EC55" t="s">
        <v>1358</v>
      </c>
      <c r="ED55">
        <v>300</v>
      </c>
      <c r="EE55">
        <v>1500</v>
      </c>
      <c r="EF55">
        <v>200</v>
      </c>
      <c r="EG55" t="s">
        <v>2930</v>
      </c>
      <c r="EH55" t="s">
        <v>1309</v>
      </c>
      <c r="EI55" t="s">
        <v>1309</v>
      </c>
      <c r="EJ55" t="s">
        <v>1309</v>
      </c>
      <c r="EK55" t="s">
        <v>1309</v>
      </c>
      <c r="EL55" t="s">
        <v>1310</v>
      </c>
      <c r="EM55" t="s">
        <v>1309</v>
      </c>
      <c r="EN55" t="s">
        <v>1309</v>
      </c>
      <c r="EO55" t="s">
        <v>1309</v>
      </c>
      <c r="EQ55" t="s">
        <v>1319</v>
      </c>
      <c r="ER55" t="s">
        <v>1307</v>
      </c>
      <c r="ES55" t="s">
        <v>1307</v>
      </c>
      <c r="FN55" t="s">
        <v>1307</v>
      </c>
      <c r="GC55" t="s">
        <v>1324</v>
      </c>
      <c r="GD55" t="s">
        <v>1324</v>
      </c>
      <c r="GN55" t="s">
        <v>1364</v>
      </c>
      <c r="HB55" t="s">
        <v>1307</v>
      </c>
      <c r="HR55" t="s">
        <v>1414</v>
      </c>
      <c r="HS55" t="s">
        <v>1309</v>
      </c>
      <c r="HT55" t="s">
        <v>1309</v>
      </c>
      <c r="HU55" t="s">
        <v>1309</v>
      </c>
      <c r="HV55" t="s">
        <v>1309</v>
      </c>
      <c r="HW55" t="s">
        <v>1309</v>
      </c>
      <c r="HX55" t="s">
        <v>1309</v>
      </c>
      <c r="HY55" t="s">
        <v>1310</v>
      </c>
      <c r="HZ55" t="s">
        <v>1309</v>
      </c>
      <c r="IB55" s="92" t="s">
        <v>1567</v>
      </c>
      <c r="IC55" s="92" t="s">
        <v>1568</v>
      </c>
      <c r="ID55" s="92">
        <v>36</v>
      </c>
      <c r="IE55" s="92" t="s">
        <v>1307</v>
      </c>
      <c r="IF55" s="92" t="s">
        <v>4398</v>
      </c>
      <c r="IG55" s="92" t="s">
        <v>1336</v>
      </c>
      <c r="IH55" s="92" t="s">
        <v>1296</v>
      </c>
      <c r="II55" s="92" t="s">
        <v>71</v>
      </c>
      <c r="IJ55" s="92" t="s">
        <v>1397</v>
      </c>
      <c r="IK55" s="92" t="s">
        <v>1337</v>
      </c>
      <c r="IL55" s="92" t="s">
        <v>4845</v>
      </c>
      <c r="IM55" s="92" t="s">
        <v>1399</v>
      </c>
      <c r="IN55" s="92" t="s">
        <v>109</v>
      </c>
      <c r="IO55" s="92" t="s">
        <v>4848</v>
      </c>
      <c r="IP55" s="92" t="s">
        <v>1424</v>
      </c>
      <c r="IQ55" s="92">
        <v>2000</v>
      </c>
      <c r="IR55" s="92" t="s">
        <v>4438</v>
      </c>
      <c r="IS55" s="92" t="s">
        <v>192</v>
      </c>
      <c r="IT55" s="92" t="s">
        <v>192</v>
      </c>
      <c r="IU55" s="92" t="s">
        <v>192</v>
      </c>
      <c r="IV55" s="92" t="s">
        <v>192</v>
      </c>
      <c r="IW55" s="92" t="s">
        <v>1440</v>
      </c>
      <c r="IX55" s="92">
        <v>2000</v>
      </c>
      <c r="IY55" s="92" t="s">
        <v>4438</v>
      </c>
      <c r="IZ55" s="92" t="s">
        <v>1440</v>
      </c>
      <c r="JA55" s="92" t="s">
        <v>1342</v>
      </c>
      <c r="JB55" s="92" t="s">
        <v>192</v>
      </c>
      <c r="JC55" s="92" t="s">
        <v>1403</v>
      </c>
      <c r="JD55" s="92" t="s">
        <v>109</v>
      </c>
      <c r="JE55" s="92" t="s">
        <v>109</v>
      </c>
      <c r="JF55" s="92" t="s">
        <v>4438</v>
      </c>
      <c r="JG55" s="92" t="s">
        <v>4438</v>
      </c>
      <c r="JH55" s="92" t="s">
        <v>109</v>
      </c>
      <c r="JI55" s="92" t="s">
        <v>109</v>
      </c>
    </row>
    <row r="56" spans="1:269" x14ac:dyDescent="0.25">
      <c r="A56" t="s">
        <v>3058</v>
      </c>
      <c r="B56" t="s">
        <v>3059</v>
      </c>
      <c r="C56" t="s">
        <v>1429</v>
      </c>
      <c r="D56" t="s">
        <v>1381</v>
      </c>
      <c r="F56" t="s">
        <v>1319</v>
      </c>
      <c r="G56" t="s">
        <v>1319</v>
      </c>
      <c r="H56">
        <v>5</v>
      </c>
      <c r="I56" t="s">
        <v>1358</v>
      </c>
      <c r="J56" t="s">
        <v>1406</v>
      </c>
      <c r="K56" t="s">
        <v>1309</v>
      </c>
      <c r="L56" t="s">
        <v>1310</v>
      </c>
      <c r="M56" t="s">
        <v>1309</v>
      </c>
      <c r="N56" t="s">
        <v>1309</v>
      </c>
      <c r="O56" t="s">
        <v>1309</v>
      </c>
      <c r="P56" t="s">
        <v>1309</v>
      </c>
      <c r="Q56" t="s">
        <v>1309</v>
      </c>
      <c r="R56" t="s">
        <v>1309</v>
      </c>
      <c r="S56">
        <v>3</v>
      </c>
      <c r="U56" t="s">
        <v>1312</v>
      </c>
      <c r="V56" t="s">
        <v>1312</v>
      </c>
      <c r="W56" t="s">
        <v>1312</v>
      </c>
      <c r="X56" t="s">
        <v>1312</v>
      </c>
      <c r="Y56" t="s">
        <v>1312</v>
      </c>
      <c r="Z56" t="s">
        <v>1312</v>
      </c>
      <c r="AC56">
        <v>1</v>
      </c>
      <c r="AD56">
        <v>8000</v>
      </c>
      <c r="AE56">
        <v>5000</v>
      </c>
      <c r="AF56" t="s">
        <v>1313</v>
      </c>
      <c r="AH56" t="s">
        <v>1319</v>
      </c>
      <c r="AI56" t="s">
        <v>4879</v>
      </c>
      <c r="AK56" t="s">
        <v>1307</v>
      </c>
      <c r="CG56" t="s">
        <v>3060</v>
      </c>
      <c r="CH56" t="s">
        <v>1309</v>
      </c>
      <c r="CI56" t="s">
        <v>1309</v>
      </c>
      <c r="CJ56" t="s">
        <v>1310</v>
      </c>
      <c r="CK56" t="s">
        <v>1310</v>
      </c>
      <c r="CL56" t="s">
        <v>1309</v>
      </c>
      <c r="CM56" t="s">
        <v>1309</v>
      </c>
      <c r="CN56" t="s">
        <v>1309</v>
      </c>
      <c r="CO56" t="s">
        <v>1309</v>
      </c>
      <c r="CP56" t="s">
        <v>1310</v>
      </c>
      <c r="CQ56" t="s">
        <v>1309</v>
      </c>
      <c r="CR56" t="s">
        <v>1309</v>
      </c>
      <c r="CS56" t="s">
        <v>1309</v>
      </c>
      <c r="CT56" t="s">
        <v>1309</v>
      </c>
      <c r="CU56" t="s">
        <v>1309</v>
      </c>
      <c r="CV56" t="s">
        <v>1309</v>
      </c>
      <c r="CX56" t="s">
        <v>3036</v>
      </c>
      <c r="CY56" t="s">
        <v>1310</v>
      </c>
      <c r="CZ56" t="s">
        <v>1309</v>
      </c>
      <c r="DA56" t="s">
        <v>1309</v>
      </c>
      <c r="DB56" t="s">
        <v>1310</v>
      </c>
      <c r="DC56" t="s">
        <v>1310</v>
      </c>
      <c r="DD56" t="s">
        <v>1309</v>
      </c>
      <c r="DE56" t="s">
        <v>1309</v>
      </c>
      <c r="DF56" t="s">
        <v>1309</v>
      </c>
      <c r="DG56" t="s">
        <v>1309</v>
      </c>
      <c r="DH56" t="s">
        <v>1309</v>
      </c>
      <c r="DI56" t="s">
        <v>1309</v>
      </c>
      <c r="DJ56" t="s">
        <v>1309</v>
      </c>
      <c r="DK56" t="s">
        <v>1309</v>
      </c>
      <c r="DM56" t="s">
        <v>4434</v>
      </c>
      <c r="DO56" t="s">
        <v>1357</v>
      </c>
      <c r="DP56" t="s">
        <v>1309</v>
      </c>
      <c r="DQ56" t="s">
        <v>1309</v>
      </c>
      <c r="DR56" t="s">
        <v>1309</v>
      </c>
      <c r="DS56" t="s">
        <v>1309</v>
      </c>
      <c r="DT56" t="s">
        <v>1310</v>
      </c>
      <c r="DU56" t="s">
        <v>1309</v>
      </c>
      <c r="DV56" t="s">
        <v>1309</v>
      </c>
      <c r="DX56" t="s">
        <v>1358</v>
      </c>
      <c r="DZ56">
        <v>2000</v>
      </c>
      <c r="EB56">
        <v>500</v>
      </c>
      <c r="EC56" t="s">
        <v>1358</v>
      </c>
      <c r="ED56">
        <v>2200</v>
      </c>
      <c r="EF56">
        <v>500</v>
      </c>
      <c r="EG56" t="s">
        <v>1698</v>
      </c>
      <c r="EH56" t="s">
        <v>1309</v>
      </c>
      <c r="EI56" t="s">
        <v>1309</v>
      </c>
      <c r="EJ56" t="s">
        <v>1309</v>
      </c>
      <c r="EK56" t="s">
        <v>1309</v>
      </c>
      <c r="EL56" t="s">
        <v>1309</v>
      </c>
      <c r="EM56" t="s">
        <v>1310</v>
      </c>
      <c r="EN56" t="s">
        <v>1309</v>
      </c>
      <c r="EO56" t="s">
        <v>1309</v>
      </c>
      <c r="EP56" t="s">
        <v>3061</v>
      </c>
      <c r="EQ56" t="s">
        <v>1307</v>
      </c>
      <c r="ER56" t="s">
        <v>1307</v>
      </c>
      <c r="ES56" t="s">
        <v>1307</v>
      </c>
      <c r="FN56" t="s">
        <v>1307</v>
      </c>
      <c r="GC56" t="s">
        <v>1324</v>
      </c>
      <c r="GD56" t="s">
        <v>1324</v>
      </c>
      <c r="GN56" t="s">
        <v>1364</v>
      </c>
      <c r="HB56" t="s">
        <v>1307</v>
      </c>
      <c r="HR56" t="s">
        <v>1414</v>
      </c>
      <c r="HS56" t="s">
        <v>1309</v>
      </c>
      <c r="HT56" t="s">
        <v>1309</v>
      </c>
      <c r="HU56" t="s">
        <v>1309</v>
      </c>
      <c r="HV56" t="s">
        <v>1309</v>
      </c>
      <c r="HW56" t="s">
        <v>1309</v>
      </c>
      <c r="HX56" t="s">
        <v>1309</v>
      </c>
      <c r="HY56" t="s">
        <v>1310</v>
      </c>
      <c r="HZ56" t="s">
        <v>1309</v>
      </c>
      <c r="IB56" s="92" t="s">
        <v>1333</v>
      </c>
      <c r="IC56" s="92" t="s">
        <v>1334</v>
      </c>
      <c r="ID56" s="92">
        <v>45</v>
      </c>
      <c r="IE56" s="92" t="s">
        <v>1307</v>
      </c>
      <c r="IF56" s="92" t="s">
        <v>4395</v>
      </c>
      <c r="IG56" s="92" t="s">
        <v>1336</v>
      </c>
      <c r="IH56" s="92" t="s">
        <v>1296</v>
      </c>
      <c r="II56" s="92" t="s">
        <v>71</v>
      </c>
      <c r="IJ56" s="92" t="s">
        <v>1397</v>
      </c>
      <c r="IK56" s="92" t="s">
        <v>1337</v>
      </c>
      <c r="IL56" s="92" t="s">
        <v>4846</v>
      </c>
      <c r="IM56" s="92" t="s">
        <v>1415</v>
      </c>
      <c r="IN56" s="92" t="s">
        <v>109</v>
      </c>
      <c r="IO56" s="92" t="s">
        <v>4844</v>
      </c>
      <c r="IP56" s="92" t="s">
        <v>1424</v>
      </c>
      <c r="IQ56" s="92">
        <v>2500</v>
      </c>
      <c r="IR56" s="92" t="s">
        <v>4439</v>
      </c>
      <c r="IS56" s="92" t="s">
        <v>192</v>
      </c>
      <c r="IT56" s="92" t="s">
        <v>109</v>
      </c>
      <c r="IU56" s="92" t="s">
        <v>192</v>
      </c>
      <c r="IV56" s="92" t="s">
        <v>109</v>
      </c>
      <c r="IW56" s="92" t="s">
        <v>1425</v>
      </c>
      <c r="IX56" s="92">
        <v>2700</v>
      </c>
      <c r="IY56" s="92" t="s">
        <v>4439</v>
      </c>
      <c r="IZ56" s="92" t="s">
        <v>1425</v>
      </c>
      <c r="JA56" s="92" t="s">
        <v>1375</v>
      </c>
      <c r="JB56" s="92" t="s">
        <v>192</v>
      </c>
      <c r="JC56" s="92" t="s">
        <v>1403</v>
      </c>
      <c r="JD56" s="92" t="s">
        <v>109</v>
      </c>
      <c r="JE56" s="92" t="s">
        <v>109</v>
      </c>
      <c r="JF56" s="92" t="s">
        <v>4439</v>
      </c>
      <c r="JG56" s="92" t="s">
        <v>4439</v>
      </c>
      <c r="JH56" s="92" t="s">
        <v>109</v>
      </c>
      <c r="JI56" s="92" t="s">
        <v>109</v>
      </c>
    </row>
    <row r="57" spans="1:269" x14ac:dyDescent="0.25">
      <c r="A57" t="s">
        <v>3062</v>
      </c>
      <c r="B57" t="s">
        <v>3063</v>
      </c>
      <c r="C57" t="s">
        <v>1305</v>
      </c>
      <c r="D57" t="s">
        <v>1381</v>
      </c>
      <c r="F57" t="s">
        <v>1319</v>
      </c>
      <c r="G57" t="s">
        <v>1319</v>
      </c>
      <c r="H57">
        <v>3</v>
      </c>
      <c r="I57" t="s">
        <v>1358</v>
      </c>
      <c r="J57" t="s">
        <v>1382</v>
      </c>
      <c r="K57" t="s">
        <v>1309</v>
      </c>
      <c r="L57" t="s">
        <v>1310</v>
      </c>
      <c r="M57" t="s">
        <v>1309</v>
      </c>
      <c r="N57" t="s">
        <v>1309</v>
      </c>
      <c r="O57" t="s">
        <v>1309</v>
      </c>
      <c r="P57" t="s">
        <v>1310</v>
      </c>
      <c r="Q57" t="s">
        <v>1309</v>
      </c>
      <c r="R57" t="s">
        <v>1309</v>
      </c>
      <c r="S57">
        <v>2</v>
      </c>
      <c r="U57" t="s">
        <v>1312</v>
      </c>
      <c r="V57" t="s">
        <v>1312</v>
      </c>
      <c r="W57" t="s">
        <v>1312</v>
      </c>
      <c r="X57" t="s">
        <v>1312</v>
      </c>
      <c r="Y57" t="s">
        <v>1312</v>
      </c>
      <c r="Z57" t="s">
        <v>1312</v>
      </c>
      <c r="AC57">
        <v>0</v>
      </c>
      <c r="AE57">
        <v>5000</v>
      </c>
      <c r="AF57" t="s">
        <v>1313</v>
      </c>
      <c r="AH57" t="s">
        <v>1319</v>
      </c>
      <c r="AI57" t="s">
        <v>4879</v>
      </c>
      <c r="AK57" t="s">
        <v>1307</v>
      </c>
      <c r="CG57" t="s">
        <v>2853</v>
      </c>
      <c r="CH57" t="s">
        <v>1309</v>
      </c>
      <c r="CI57" t="s">
        <v>1309</v>
      </c>
      <c r="CJ57" t="s">
        <v>1309</v>
      </c>
      <c r="CK57" t="s">
        <v>1310</v>
      </c>
      <c r="CL57" t="s">
        <v>1309</v>
      </c>
      <c r="CM57" t="s">
        <v>1309</v>
      </c>
      <c r="CN57" t="s">
        <v>1309</v>
      </c>
      <c r="CO57" t="s">
        <v>1309</v>
      </c>
      <c r="CP57" t="s">
        <v>1309</v>
      </c>
      <c r="CQ57" t="s">
        <v>1309</v>
      </c>
      <c r="CR57" t="s">
        <v>1309</v>
      </c>
      <c r="CS57" t="s">
        <v>1309</v>
      </c>
      <c r="CT57" t="s">
        <v>1309</v>
      </c>
      <c r="CU57" t="s">
        <v>1309</v>
      </c>
      <c r="CV57" t="s">
        <v>1309</v>
      </c>
      <c r="CX57" t="s">
        <v>2948</v>
      </c>
      <c r="CY57" t="s">
        <v>1310</v>
      </c>
      <c r="CZ57" t="s">
        <v>1309</v>
      </c>
      <c r="DA57" t="s">
        <v>1309</v>
      </c>
      <c r="DB57" t="s">
        <v>1309</v>
      </c>
      <c r="DC57" t="s">
        <v>1309</v>
      </c>
      <c r="DD57" t="s">
        <v>1310</v>
      </c>
      <c r="DE57" t="s">
        <v>1309</v>
      </c>
      <c r="DF57" t="s">
        <v>1309</v>
      </c>
      <c r="DG57" t="s">
        <v>1309</v>
      </c>
      <c r="DH57" t="s">
        <v>1309</v>
      </c>
      <c r="DI57" t="s">
        <v>1309</v>
      </c>
      <c r="DJ57" t="s">
        <v>1309</v>
      </c>
      <c r="DK57" t="s">
        <v>1309</v>
      </c>
      <c r="DM57" t="s">
        <v>4435</v>
      </c>
      <c r="DO57" t="s">
        <v>1308</v>
      </c>
      <c r="DP57" t="s">
        <v>1310</v>
      </c>
      <c r="DQ57" t="s">
        <v>1309</v>
      </c>
      <c r="DR57" t="s">
        <v>1309</v>
      </c>
      <c r="DS57" t="s">
        <v>1309</v>
      </c>
      <c r="DT57" t="s">
        <v>1309</v>
      </c>
      <c r="DU57" t="s">
        <v>1309</v>
      </c>
      <c r="DV57" t="s">
        <v>1309</v>
      </c>
      <c r="DX57" t="s">
        <v>1358</v>
      </c>
      <c r="DY57" t="s">
        <v>1307</v>
      </c>
      <c r="EA57">
        <v>2800</v>
      </c>
      <c r="EB57">
        <v>950</v>
      </c>
      <c r="EC57" t="s">
        <v>1358</v>
      </c>
      <c r="EE57">
        <v>3500</v>
      </c>
      <c r="EF57">
        <v>900</v>
      </c>
      <c r="EG57" t="s">
        <v>2962</v>
      </c>
      <c r="EH57" t="s">
        <v>1309</v>
      </c>
      <c r="EI57" t="s">
        <v>1309</v>
      </c>
      <c r="EJ57" t="s">
        <v>1310</v>
      </c>
      <c r="EK57" t="s">
        <v>1310</v>
      </c>
      <c r="EL57" t="s">
        <v>1309</v>
      </c>
      <c r="EM57" t="s">
        <v>1309</v>
      </c>
      <c r="EN57" t="s">
        <v>1309</v>
      </c>
      <c r="EO57" t="s">
        <v>1309</v>
      </c>
      <c r="EQ57" t="s">
        <v>1307</v>
      </c>
      <c r="ER57" t="s">
        <v>1319</v>
      </c>
      <c r="EU57" t="s">
        <v>3064</v>
      </c>
      <c r="EV57" t="s">
        <v>1310</v>
      </c>
      <c r="EW57" t="s">
        <v>1309</v>
      </c>
      <c r="EX57" t="s">
        <v>1310</v>
      </c>
      <c r="EY57" t="s">
        <v>1309</v>
      </c>
      <c r="EZ57" t="s">
        <v>1309</v>
      </c>
      <c r="FA57" t="s">
        <v>1309</v>
      </c>
      <c r="FB57" t="s">
        <v>1310</v>
      </c>
      <c r="FC57" t="s">
        <v>1310</v>
      </c>
      <c r="FD57" t="s">
        <v>1309</v>
      </c>
      <c r="FE57" t="s">
        <v>1309</v>
      </c>
      <c r="FF57" t="s">
        <v>1309</v>
      </c>
      <c r="FG57" t="s">
        <v>1309</v>
      </c>
      <c r="FH57" t="s">
        <v>1309</v>
      </c>
      <c r="FI57" t="s">
        <v>1309</v>
      </c>
      <c r="FJ57" t="s">
        <v>1309</v>
      </c>
      <c r="FK57" t="s">
        <v>1309</v>
      </c>
      <c r="FL57" t="s">
        <v>1309</v>
      </c>
      <c r="FN57" t="s">
        <v>1319</v>
      </c>
      <c r="FO57" t="s">
        <v>1389</v>
      </c>
      <c r="FP57" t="s">
        <v>1310</v>
      </c>
      <c r="FQ57" t="s">
        <v>1310</v>
      </c>
      <c r="FR57" t="s">
        <v>1309</v>
      </c>
      <c r="FS57" t="s">
        <v>1309</v>
      </c>
      <c r="FT57" t="s">
        <v>1309</v>
      </c>
      <c r="FU57" t="s">
        <v>1310</v>
      </c>
      <c r="FV57" t="s">
        <v>1309</v>
      </c>
      <c r="FW57" t="s">
        <v>1309</v>
      </c>
      <c r="FX57" t="s">
        <v>1309</v>
      </c>
      <c r="FY57" t="s">
        <v>1309</v>
      </c>
      <c r="FZ57" t="s">
        <v>1309</v>
      </c>
      <c r="GA57" t="s">
        <v>1309</v>
      </c>
      <c r="GC57" t="s">
        <v>1324</v>
      </c>
      <c r="GD57" t="s">
        <v>1324</v>
      </c>
      <c r="GN57" t="s">
        <v>1437</v>
      </c>
      <c r="GO57" t="s">
        <v>1698</v>
      </c>
      <c r="GP57" t="s">
        <v>1309</v>
      </c>
      <c r="GQ57" t="s">
        <v>1309</v>
      </c>
      <c r="GR57" t="s">
        <v>1309</v>
      </c>
      <c r="GS57" t="s">
        <v>1309</v>
      </c>
      <c r="GT57" t="s">
        <v>1309</v>
      </c>
      <c r="GU57" t="s">
        <v>1309</v>
      </c>
      <c r="GV57" t="s">
        <v>1309</v>
      </c>
      <c r="GW57" t="s">
        <v>1309</v>
      </c>
      <c r="GX57" t="s">
        <v>1310</v>
      </c>
      <c r="GY57" t="s">
        <v>1309</v>
      </c>
      <c r="GZ57" t="s">
        <v>1309</v>
      </c>
      <c r="HA57" t="s">
        <v>2041</v>
      </c>
      <c r="HB57" t="s">
        <v>1319</v>
      </c>
      <c r="HC57" t="s">
        <v>2275</v>
      </c>
      <c r="HD57" t="s">
        <v>1309</v>
      </c>
      <c r="HE57" t="s">
        <v>1310</v>
      </c>
      <c r="HF57" t="s">
        <v>1309</v>
      </c>
      <c r="HG57" t="s">
        <v>1309</v>
      </c>
      <c r="HH57" t="s">
        <v>1310</v>
      </c>
      <c r="HI57" t="s">
        <v>1309</v>
      </c>
      <c r="HJ57" t="s">
        <v>1309</v>
      </c>
      <c r="HK57" t="s">
        <v>1309</v>
      </c>
      <c r="HL57" t="s">
        <v>1310</v>
      </c>
      <c r="HM57" t="s">
        <v>1309</v>
      </c>
      <c r="HN57" t="s">
        <v>1309</v>
      </c>
      <c r="HO57" t="s">
        <v>1309</v>
      </c>
      <c r="HP57" t="s">
        <v>1309</v>
      </c>
      <c r="HR57" t="s">
        <v>1523</v>
      </c>
      <c r="HS57" t="s">
        <v>1309</v>
      </c>
      <c r="HT57" t="s">
        <v>1309</v>
      </c>
      <c r="HU57" t="s">
        <v>1309</v>
      </c>
      <c r="HV57" t="s">
        <v>1310</v>
      </c>
      <c r="HW57" t="s">
        <v>1309</v>
      </c>
      <c r="HX57" t="s">
        <v>1309</v>
      </c>
      <c r="HY57" t="s">
        <v>1309</v>
      </c>
      <c r="HZ57" t="s">
        <v>1309</v>
      </c>
      <c r="IB57" s="92" t="s">
        <v>1333</v>
      </c>
      <c r="IC57" s="92" t="s">
        <v>1334</v>
      </c>
      <c r="ID57" s="92">
        <v>50</v>
      </c>
      <c r="IE57" s="92" t="s">
        <v>1307</v>
      </c>
      <c r="IF57" s="92" t="s">
        <v>4395</v>
      </c>
      <c r="IG57" s="92" t="s">
        <v>1336</v>
      </c>
      <c r="IH57" s="92" t="s">
        <v>1296</v>
      </c>
      <c r="II57" s="92" t="s">
        <v>71</v>
      </c>
      <c r="IJ57" s="92" t="s">
        <v>1397</v>
      </c>
      <c r="IK57" s="92" t="s">
        <v>1337</v>
      </c>
      <c r="IL57" s="92" t="s">
        <v>4845</v>
      </c>
      <c r="IM57" s="92" t="s">
        <v>1399</v>
      </c>
      <c r="IN57" s="92" t="s">
        <v>109</v>
      </c>
      <c r="IO57" s="92" t="s">
        <v>1309</v>
      </c>
      <c r="IP57" s="92" t="s">
        <v>1340</v>
      </c>
      <c r="IQ57" s="92">
        <v>3750</v>
      </c>
      <c r="IR57" s="92" t="s">
        <v>1340</v>
      </c>
      <c r="IS57" s="92" t="s">
        <v>109</v>
      </c>
      <c r="IT57" s="92" t="s">
        <v>192</v>
      </c>
      <c r="IU57" s="92" t="s">
        <v>109</v>
      </c>
      <c r="IV57" s="92" t="s">
        <v>192</v>
      </c>
      <c r="IW57" s="92" t="s">
        <v>1341</v>
      </c>
      <c r="IX57" s="92">
        <v>4400</v>
      </c>
      <c r="IY57" s="92" t="s">
        <v>1340</v>
      </c>
      <c r="IZ57" s="92" t="s">
        <v>1341</v>
      </c>
      <c r="JA57" s="92" t="s">
        <v>1342</v>
      </c>
      <c r="JB57" s="92" t="s">
        <v>109</v>
      </c>
      <c r="JC57" s="92" t="s">
        <v>1403</v>
      </c>
      <c r="JD57" s="92" t="s">
        <v>109</v>
      </c>
      <c r="JE57" s="92" t="s">
        <v>109</v>
      </c>
      <c r="JF57" s="92" t="s">
        <v>1340</v>
      </c>
      <c r="JG57" s="92" t="s">
        <v>1340</v>
      </c>
      <c r="JH57" s="92"/>
      <c r="JI57" s="92"/>
    </row>
    <row r="58" spans="1:269" x14ac:dyDescent="0.25">
      <c r="A58" t="s">
        <v>3065</v>
      </c>
      <c r="B58" t="s">
        <v>3066</v>
      </c>
      <c r="C58" t="s">
        <v>1305</v>
      </c>
      <c r="D58" t="s">
        <v>1381</v>
      </c>
      <c r="F58" t="s">
        <v>1319</v>
      </c>
      <c r="G58" t="s">
        <v>1319</v>
      </c>
      <c r="H58">
        <v>5</v>
      </c>
      <c r="I58" t="s">
        <v>1358</v>
      </c>
      <c r="J58" t="s">
        <v>1553</v>
      </c>
      <c r="K58" t="s">
        <v>1310</v>
      </c>
      <c r="L58" t="s">
        <v>1310</v>
      </c>
      <c r="M58" t="s">
        <v>1309</v>
      </c>
      <c r="N58" t="s">
        <v>1309</v>
      </c>
      <c r="O58" t="s">
        <v>1309</v>
      </c>
      <c r="P58" t="s">
        <v>1310</v>
      </c>
      <c r="Q58" t="s">
        <v>1309</v>
      </c>
      <c r="R58" t="s">
        <v>1309</v>
      </c>
      <c r="S58">
        <v>4</v>
      </c>
      <c r="U58" t="s">
        <v>1312</v>
      </c>
      <c r="V58" t="s">
        <v>1312</v>
      </c>
      <c r="W58" t="s">
        <v>1312</v>
      </c>
      <c r="X58" t="s">
        <v>1312</v>
      </c>
      <c r="Y58" t="s">
        <v>1312</v>
      </c>
      <c r="Z58" t="s">
        <v>1312</v>
      </c>
      <c r="AC58">
        <v>5</v>
      </c>
      <c r="AD58">
        <v>11000</v>
      </c>
      <c r="AE58">
        <v>8000</v>
      </c>
      <c r="AF58" t="s">
        <v>1313</v>
      </c>
      <c r="AH58" t="s">
        <v>1319</v>
      </c>
      <c r="AI58" t="s">
        <v>4879</v>
      </c>
      <c r="AK58" t="s">
        <v>1307</v>
      </c>
      <c r="CG58" t="s">
        <v>1414</v>
      </c>
      <c r="CH58" t="s">
        <v>1309</v>
      </c>
      <c r="CI58" t="s">
        <v>1309</v>
      </c>
      <c r="CJ58" t="s">
        <v>1309</v>
      </c>
      <c r="CK58" t="s">
        <v>1309</v>
      </c>
      <c r="CL58" t="s">
        <v>1309</v>
      </c>
      <c r="CM58" t="s">
        <v>1309</v>
      </c>
      <c r="CN58" t="s">
        <v>1309</v>
      </c>
      <c r="CO58" t="s">
        <v>1309</v>
      </c>
      <c r="CP58" t="s">
        <v>1309</v>
      </c>
      <c r="CQ58" t="s">
        <v>1309</v>
      </c>
      <c r="CR58" t="s">
        <v>1309</v>
      </c>
      <c r="CS58" t="s">
        <v>1309</v>
      </c>
      <c r="CT58" t="s">
        <v>1309</v>
      </c>
      <c r="CU58" t="s">
        <v>1310</v>
      </c>
      <c r="CV58" t="s">
        <v>1309</v>
      </c>
      <c r="CX58" t="s">
        <v>1414</v>
      </c>
      <c r="CY58" t="s">
        <v>1309</v>
      </c>
      <c r="CZ58" t="s">
        <v>1309</v>
      </c>
      <c r="DA58" t="s">
        <v>1309</v>
      </c>
      <c r="DB58" t="s">
        <v>1309</v>
      </c>
      <c r="DC58" t="s">
        <v>1309</v>
      </c>
      <c r="DD58" t="s">
        <v>1309</v>
      </c>
      <c r="DE58" t="s">
        <v>1309</v>
      </c>
      <c r="DF58" t="s">
        <v>1309</v>
      </c>
      <c r="DG58" t="s">
        <v>1309</v>
      </c>
      <c r="DH58" t="s">
        <v>1309</v>
      </c>
      <c r="DI58" t="s">
        <v>1309</v>
      </c>
      <c r="DJ58" t="s">
        <v>1310</v>
      </c>
      <c r="DK58" t="s">
        <v>1309</v>
      </c>
      <c r="DM58" t="s">
        <v>4434</v>
      </c>
      <c r="DO58" t="s">
        <v>1357</v>
      </c>
      <c r="DP58" t="s">
        <v>1309</v>
      </c>
      <c r="DQ58" t="s">
        <v>1309</v>
      </c>
      <c r="DR58" t="s">
        <v>1309</v>
      </c>
      <c r="DS58" t="s">
        <v>1309</v>
      </c>
      <c r="DT58" t="s">
        <v>1310</v>
      </c>
      <c r="DU58" t="s">
        <v>1309</v>
      </c>
      <c r="DV58" t="s">
        <v>1309</v>
      </c>
      <c r="DX58" t="s">
        <v>1358</v>
      </c>
      <c r="DZ58">
        <v>600</v>
      </c>
      <c r="EB58">
        <v>350</v>
      </c>
      <c r="EC58" t="s">
        <v>1358</v>
      </c>
      <c r="ED58">
        <v>1300</v>
      </c>
      <c r="EF58">
        <v>300</v>
      </c>
      <c r="EG58" t="s">
        <v>2930</v>
      </c>
      <c r="EH58" t="s">
        <v>1309</v>
      </c>
      <c r="EI58" t="s">
        <v>1309</v>
      </c>
      <c r="EJ58" t="s">
        <v>1309</v>
      </c>
      <c r="EK58" t="s">
        <v>1309</v>
      </c>
      <c r="EL58" t="s">
        <v>1310</v>
      </c>
      <c r="EM58" t="s">
        <v>1309</v>
      </c>
      <c r="EN58" t="s">
        <v>1309</v>
      </c>
      <c r="EO58" t="s">
        <v>1309</v>
      </c>
      <c r="EQ58" t="s">
        <v>1307</v>
      </c>
      <c r="ER58" t="s">
        <v>1307</v>
      </c>
      <c r="ES58" t="s">
        <v>1307</v>
      </c>
      <c r="FN58" t="s">
        <v>1319</v>
      </c>
      <c r="FO58" t="s">
        <v>1599</v>
      </c>
      <c r="FP58" t="s">
        <v>1309</v>
      </c>
      <c r="FQ58" t="s">
        <v>1309</v>
      </c>
      <c r="FR58" t="s">
        <v>1309</v>
      </c>
      <c r="FS58" t="s">
        <v>1309</v>
      </c>
      <c r="FT58" t="s">
        <v>1309</v>
      </c>
      <c r="FU58" t="s">
        <v>1310</v>
      </c>
      <c r="FV58" t="s">
        <v>1309</v>
      </c>
      <c r="FW58" t="s">
        <v>1309</v>
      </c>
      <c r="FX58" t="s">
        <v>1309</v>
      </c>
      <c r="FY58" t="s">
        <v>1309</v>
      </c>
      <c r="FZ58" t="s">
        <v>1309</v>
      </c>
      <c r="GA58" t="s">
        <v>1309</v>
      </c>
      <c r="GC58" t="s">
        <v>1324</v>
      </c>
      <c r="GD58" t="s">
        <v>1324</v>
      </c>
      <c r="GN58" t="s">
        <v>1364</v>
      </c>
      <c r="HB58" t="s">
        <v>1307</v>
      </c>
      <c r="HR58" t="s">
        <v>1414</v>
      </c>
      <c r="HS58" t="s">
        <v>1309</v>
      </c>
      <c r="HT58" t="s">
        <v>1309</v>
      </c>
      <c r="HU58" t="s">
        <v>1309</v>
      </c>
      <c r="HV58" t="s">
        <v>1309</v>
      </c>
      <c r="HW58" t="s">
        <v>1309</v>
      </c>
      <c r="HX58" t="s">
        <v>1309</v>
      </c>
      <c r="HY58" t="s">
        <v>1310</v>
      </c>
      <c r="HZ58" t="s">
        <v>1309</v>
      </c>
      <c r="IB58" s="92" t="s">
        <v>1516</v>
      </c>
      <c r="IC58" s="92" t="s">
        <v>2916</v>
      </c>
      <c r="ID58" s="92">
        <v>35</v>
      </c>
      <c r="IE58" s="92" t="s">
        <v>1307</v>
      </c>
      <c r="IF58" s="92" t="s">
        <v>4398</v>
      </c>
      <c r="IG58" s="92" t="s">
        <v>1336</v>
      </c>
      <c r="IH58" s="92" t="s">
        <v>1296</v>
      </c>
      <c r="II58" s="92" t="s">
        <v>70</v>
      </c>
      <c r="IJ58" s="92" t="s">
        <v>1397</v>
      </c>
      <c r="IK58" s="92" t="s">
        <v>1337</v>
      </c>
      <c r="IL58" s="92" t="s">
        <v>4846</v>
      </c>
      <c r="IM58" s="92" t="s">
        <v>1399</v>
      </c>
      <c r="IN58" s="92" t="s">
        <v>109</v>
      </c>
      <c r="IO58" s="92" t="s">
        <v>4848</v>
      </c>
      <c r="IP58" s="92" t="s">
        <v>1371</v>
      </c>
      <c r="IQ58" s="92">
        <v>950</v>
      </c>
      <c r="IR58" s="92" t="s">
        <v>1372</v>
      </c>
      <c r="IS58" s="92" t="s">
        <v>192</v>
      </c>
      <c r="IT58" s="92" t="s">
        <v>109</v>
      </c>
      <c r="IU58" s="92" t="s">
        <v>192</v>
      </c>
      <c r="IV58" s="92" t="s">
        <v>109</v>
      </c>
      <c r="IW58" s="92" t="s">
        <v>1374</v>
      </c>
      <c r="IX58" s="92">
        <v>1600</v>
      </c>
      <c r="IY58" s="92" t="s">
        <v>4438</v>
      </c>
      <c r="IZ58" s="92" t="s">
        <v>1440</v>
      </c>
      <c r="JA58" s="92" t="s">
        <v>1375</v>
      </c>
      <c r="JB58" s="92" t="s">
        <v>192</v>
      </c>
      <c r="JC58" s="92" t="s">
        <v>1403</v>
      </c>
      <c r="JD58" s="92" t="s">
        <v>109</v>
      </c>
      <c r="JE58" s="92" t="s">
        <v>109</v>
      </c>
      <c r="JF58" s="92" t="s">
        <v>4438</v>
      </c>
      <c r="JG58" s="92" t="s">
        <v>4438</v>
      </c>
      <c r="JH58" s="92" t="s">
        <v>109</v>
      </c>
      <c r="JI58" s="92" t="s">
        <v>109</v>
      </c>
    </row>
    <row r="59" spans="1:269" x14ac:dyDescent="0.25">
      <c r="A59" t="s">
        <v>3067</v>
      </c>
      <c r="B59" t="s">
        <v>3068</v>
      </c>
      <c r="C59" t="s">
        <v>1429</v>
      </c>
      <c r="D59" t="s">
        <v>1306</v>
      </c>
      <c r="F59" t="s">
        <v>1307</v>
      </c>
      <c r="G59" t="s">
        <v>1319</v>
      </c>
      <c r="H59">
        <v>3</v>
      </c>
      <c r="I59" t="s">
        <v>1307</v>
      </c>
      <c r="J59" t="s">
        <v>1308</v>
      </c>
      <c r="K59" t="s">
        <v>1309</v>
      </c>
      <c r="L59" t="s">
        <v>1309</v>
      </c>
      <c r="M59" t="s">
        <v>1309</v>
      </c>
      <c r="N59" t="s">
        <v>1309</v>
      </c>
      <c r="O59" t="s">
        <v>1309</v>
      </c>
      <c r="P59" t="s">
        <v>1309</v>
      </c>
      <c r="Q59" t="s">
        <v>1310</v>
      </c>
      <c r="R59" t="s">
        <v>1309</v>
      </c>
      <c r="U59" t="s">
        <v>1312</v>
      </c>
      <c r="V59" t="s">
        <v>1312</v>
      </c>
      <c r="W59" t="s">
        <v>1312</v>
      </c>
      <c r="X59" t="s">
        <v>1312</v>
      </c>
      <c r="Y59" t="s">
        <v>1312</v>
      </c>
      <c r="Z59" t="s">
        <v>1312</v>
      </c>
      <c r="AC59">
        <v>2</v>
      </c>
      <c r="AF59" t="s">
        <v>1313</v>
      </c>
      <c r="AH59" t="s">
        <v>1319</v>
      </c>
      <c r="AI59" t="s">
        <v>4878</v>
      </c>
      <c r="AK59" t="s">
        <v>1307</v>
      </c>
      <c r="CG59" t="s">
        <v>2853</v>
      </c>
      <c r="CH59" t="s">
        <v>1309</v>
      </c>
      <c r="CI59" t="s">
        <v>1309</v>
      </c>
      <c r="CJ59" t="s">
        <v>1309</v>
      </c>
      <c r="CK59" t="s">
        <v>1310</v>
      </c>
      <c r="CL59" t="s">
        <v>1309</v>
      </c>
      <c r="CM59" t="s">
        <v>1309</v>
      </c>
      <c r="CN59" t="s">
        <v>1309</v>
      </c>
      <c r="CO59" t="s">
        <v>1309</v>
      </c>
      <c r="CP59" t="s">
        <v>1309</v>
      </c>
      <c r="CQ59" t="s">
        <v>1309</v>
      </c>
      <c r="CR59" t="s">
        <v>1309</v>
      </c>
      <c r="CS59" t="s">
        <v>1309</v>
      </c>
      <c r="CT59" t="s">
        <v>1309</v>
      </c>
      <c r="CU59" t="s">
        <v>1309</v>
      </c>
      <c r="CV59" t="s">
        <v>1309</v>
      </c>
      <c r="CX59" t="s">
        <v>1384</v>
      </c>
      <c r="CY59" t="s">
        <v>1310</v>
      </c>
      <c r="CZ59" t="s">
        <v>1309</v>
      </c>
      <c r="DA59" t="s">
        <v>1309</v>
      </c>
      <c r="DB59" t="s">
        <v>1309</v>
      </c>
      <c r="DC59" t="s">
        <v>1309</v>
      </c>
      <c r="DD59" t="s">
        <v>1309</v>
      </c>
      <c r="DE59" t="s">
        <v>1309</v>
      </c>
      <c r="DF59" t="s">
        <v>1309</v>
      </c>
      <c r="DG59" t="s">
        <v>1309</v>
      </c>
      <c r="DH59" t="s">
        <v>1309</v>
      </c>
      <c r="DI59" t="s">
        <v>1309</v>
      </c>
      <c r="DJ59" t="s">
        <v>1309</v>
      </c>
      <c r="DK59" t="s">
        <v>1309</v>
      </c>
      <c r="DM59" t="s">
        <v>4434</v>
      </c>
      <c r="DO59" t="s">
        <v>1308</v>
      </c>
      <c r="DP59" t="s">
        <v>1310</v>
      </c>
      <c r="DQ59" t="s">
        <v>1309</v>
      </c>
      <c r="DR59" t="s">
        <v>1309</v>
      </c>
      <c r="DS59" t="s">
        <v>1309</v>
      </c>
      <c r="DT59" t="s">
        <v>1309</v>
      </c>
      <c r="DU59" t="s">
        <v>1309</v>
      </c>
      <c r="DV59" t="s">
        <v>1309</v>
      </c>
      <c r="DX59" t="s">
        <v>1358</v>
      </c>
      <c r="EC59" t="s">
        <v>1358</v>
      </c>
      <c r="EG59" t="s">
        <v>1703</v>
      </c>
      <c r="EH59" t="s">
        <v>1310</v>
      </c>
      <c r="EI59" t="s">
        <v>1309</v>
      </c>
      <c r="EJ59" t="s">
        <v>1309</v>
      </c>
      <c r="EK59" t="s">
        <v>1309</v>
      </c>
      <c r="EL59" t="s">
        <v>1309</v>
      </c>
      <c r="EM59" t="s">
        <v>1309</v>
      </c>
      <c r="EN59" t="s">
        <v>1309</v>
      </c>
      <c r="EO59" t="s">
        <v>1309</v>
      </c>
      <c r="EQ59" t="s">
        <v>1307</v>
      </c>
      <c r="ER59" t="s">
        <v>1319</v>
      </c>
      <c r="ES59" t="s">
        <v>1319</v>
      </c>
      <c r="EU59" t="s">
        <v>1796</v>
      </c>
      <c r="EV59" t="s">
        <v>1309</v>
      </c>
      <c r="EW59" t="s">
        <v>1309</v>
      </c>
      <c r="EX59" t="s">
        <v>1310</v>
      </c>
      <c r="EY59" t="s">
        <v>1309</v>
      </c>
      <c r="EZ59" t="s">
        <v>1309</v>
      </c>
      <c r="FA59" t="s">
        <v>1309</v>
      </c>
      <c r="FB59" t="s">
        <v>1309</v>
      </c>
      <c r="FC59" t="s">
        <v>1309</v>
      </c>
      <c r="FD59" t="s">
        <v>1309</v>
      </c>
      <c r="FE59" t="s">
        <v>1309</v>
      </c>
      <c r="FF59" t="s">
        <v>1309</v>
      </c>
      <c r="FG59" t="s">
        <v>1309</v>
      </c>
      <c r="FH59" t="s">
        <v>1309</v>
      </c>
      <c r="FI59" t="s">
        <v>1309</v>
      </c>
      <c r="FJ59" t="s">
        <v>1309</v>
      </c>
      <c r="FK59" t="s">
        <v>1309</v>
      </c>
      <c r="FL59" t="s">
        <v>1309</v>
      </c>
      <c r="FN59" t="s">
        <v>1319</v>
      </c>
      <c r="FO59" t="s">
        <v>2477</v>
      </c>
      <c r="FP59" t="s">
        <v>1309</v>
      </c>
      <c r="FQ59" t="s">
        <v>1309</v>
      </c>
      <c r="FR59" t="s">
        <v>1310</v>
      </c>
      <c r="FS59" t="s">
        <v>1309</v>
      </c>
      <c r="FT59" t="s">
        <v>1309</v>
      </c>
      <c r="FU59" t="s">
        <v>1309</v>
      </c>
      <c r="FV59" t="s">
        <v>1309</v>
      </c>
      <c r="FW59" t="s">
        <v>1309</v>
      </c>
      <c r="FX59" t="s">
        <v>1309</v>
      </c>
      <c r="FY59" t="s">
        <v>1309</v>
      </c>
      <c r="FZ59" t="s">
        <v>1309</v>
      </c>
      <c r="GA59" t="s">
        <v>1309</v>
      </c>
      <c r="GC59" t="s">
        <v>1324</v>
      </c>
      <c r="GD59" t="s">
        <v>1324</v>
      </c>
      <c r="GN59" t="s">
        <v>1364</v>
      </c>
      <c r="HB59" t="s">
        <v>1319</v>
      </c>
      <c r="HC59" t="s">
        <v>1423</v>
      </c>
      <c r="HD59" t="s">
        <v>1309</v>
      </c>
      <c r="HE59" t="s">
        <v>1309</v>
      </c>
      <c r="HF59" t="s">
        <v>1309</v>
      </c>
      <c r="HG59" t="s">
        <v>1309</v>
      </c>
      <c r="HH59" t="s">
        <v>1310</v>
      </c>
      <c r="HI59" t="s">
        <v>1309</v>
      </c>
      <c r="HJ59" t="s">
        <v>1309</v>
      </c>
      <c r="HK59" t="s">
        <v>1309</v>
      </c>
      <c r="HL59" t="s">
        <v>1309</v>
      </c>
      <c r="HM59" t="s">
        <v>1309</v>
      </c>
      <c r="HN59" t="s">
        <v>1309</v>
      </c>
      <c r="HO59" t="s">
        <v>1309</v>
      </c>
      <c r="HP59" t="s">
        <v>1309</v>
      </c>
      <c r="HR59" t="s">
        <v>1393</v>
      </c>
      <c r="HS59" t="s">
        <v>1310</v>
      </c>
      <c r="HT59" t="s">
        <v>1309</v>
      </c>
      <c r="HU59" t="s">
        <v>1309</v>
      </c>
      <c r="HV59" t="s">
        <v>1309</v>
      </c>
      <c r="HW59" t="s">
        <v>1309</v>
      </c>
      <c r="HX59" t="s">
        <v>1309</v>
      </c>
      <c r="HY59" t="s">
        <v>1309</v>
      </c>
      <c r="HZ59" t="s">
        <v>1309</v>
      </c>
      <c r="IB59" s="92" t="s">
        <v>1333</v>
      </c>
      <c r="IC59" s="92" t="s">
        <v>2048</v>
      </c>
      <c r="ID59" s="92">
        <v>19</v>
      </c>
      <c r="IE59" s="92" t="s">
        <v>1307</v>
      </c>
      <c r="IF59" s="92" t="s">
        <v>4396</v>
      </c>
      <c r="IG59" s="92" t="s">
        <v>1336</v>
      </c>
      <c r="IH59" s="92" t="s">
        <v>1296</v>
      </c>
      <c r="II59" s="92" t="s">
        <v>70</v>
      </c>
      <c r="IJ59" s="92" t="s">
        <v>5549</v>
      </c>
      <c r="IK59" s="92" t="s">
        <v>1398</v>
      </c>
      <c r="IL59" s="92" t="s">
        <v>4845</v>
      </c>
      <c r="IM59" s="92" t="s">
        <v>1338</v>
      </c>
      <c r="IN59" s="92" t="s">
        <v>109</v>
      </c>
      <c r="IO59" s="92" t="s">
        <v>4847</v>
      </c>
      <c r="IP59" s="92" t="s">
        <v>1340</v>
      </c>
      <c r="IQ59" s="92">
        <v>0</v>
      </c>
      <c r="IR59" s="92" t="s">
        <v>1340</v>
      </c>
      <c r="IS59" s="92" t="s">
        <v>109</v>
      </c>
      <c r="IT59" s="92" t="s">
        <v>109</v>
      </c>
      <c r="IU59" s="92" t="s">
        <v>109</v>
      </c>
      <c r="IV59" s="92" t="s">
        <v>109</v>
      </c>
      <c r="IW59" s="92" t="s">
        <v>1373</v>
      </c>
      <c r="IX59" s="92">
        <v>0</v>
      </c>
      <c r="IY59" s="92" t="s">
        <v>1340</v>
      </c>
      <c r="IZ59" s="92" t="s">
        <v>1373</v>
      </c>
      <c r="JA59" s="92" t="s">
        <v>1460</v>
      </c>
      <c r="JB59" s="92" t="s">
        <v>192</v>
      </c>
      <c r="JC59" s="92" t="s">
        <v>5795</v>
      </c>
      <c r="JD59" s="92" t="s">
        <v>109</v>
      </c>
      <c r="JE59" s="92" t="s">
        <v>109</v>
      </c>
      <c r="JF59" s="92" t="s">
        <v>1340</v>
      </c>
      <c r="JG59" s="92" t="s">
        <v>1340</v>
      </c>
      <c r="JH59" s="92"/>
      <c r="JI59" s="92"/>
    </row>
    <row r="60" spans="1:269" x14ac:dyDescent="0.25">
      <c r="A60" t="s">
        <v>3069</v>
      </c>
      <c r="B60" t="s">
        <v>3070</v>
      </c>
      <c r="C60" t="s">
        <v>1305</v>
      </c>
      <c r="D60" t="s">
        <v>1306</v>
      </c>
      <c r="F60" t="s">
        <v>1319</v>
      </c>
      <c r="G60" t="s">
        <v>1319</v>
      </c>
      <c r="H60">
        <v>4</v>
      </c>
      <c r="I60" t="s">
        <v>1318</v>
      </c>
      <c r="J60" t="s">
        <v>1614</v>
      </c>
      <c r="K60" t="s">
        <v>1309</v>
      </c>
      <c r="L60" t="s">
        <v>1310</v>
      </c>
      <c r="M60" t="s">
        <v>1310</v>
      </c>
      <c r="N60" t="s">
        <v>1309</v>
      </c>
      <c r="O60" t="s">
        <v>1310</v>
      </c>
      <c r="P60" t="s">
        <v>1309</v>
      </c>
      <c r="Q60" t="s">
        <v>1309</v>
      </c>
      <c r="R60" t="s">
        <v>1309</v>
      </c>
      <c r="S60">
        <v>1</v>
      </c>
      <c r="T60">
        <v>2</v>
      </c>
      <c r="U60" t="s">
        <v>1311</v>
      </c>
      <c r="V60" t="s">
        <v>1312</v>
      </c>
      <c r="W60" t="s">
        <v>1312</v>
      </c>
      <c r="X60" t="s">
        <v>1312</v>
      </c>
      <c r="Y60" t="s">
        <v>1312</v>
      </c>
      <c r="Z60" t="s">
        <v>1312</v>
      </c>
      <c r="AC60">
        <v>2</v>
      </c>
      <c r="AD60">
        <v>11000</v>
      </c>
      <c r="AE60">
        <v>8000</v>
      </c>
      <c r="AF60" t="s">
        <v>1313</v>
      </c>
      <c r="AH60" t="s">
        <v>1319</v>
      </c>
      <c r="AI60" t="s">
        <v>4879</v>
      </c>
      <c r="AK60" t="s">
        <v>1319</v>
      </c>
      <c r="AL60" t="s">
        <v>1315</v>
      </c>
      <c r="AN60" t="s">
        <v>1316</v>
      </c>
      <c r="BU60" t="s">
        <v>2853</v>
      </c>
      <c r="BV60" t="s">
        <v>1310</v>
      </c>
      <c r="BW60" t="s">
        <v>1309</v>
      </c>
      <c r="BX60" t="s">
        <v>1309</v>
      </c>
      <c r="BY60" t="s">
        <v>1309</v>
      </c>
      <c r="BZ60" t="s">
        <v>1309</v>
      </c>
      <c r="CA60" t="s">
        <v>1309</v>
      </c>
      <c r="CB60" t="s">
        <v>1309</v>
      </c>
      <c r="CC60" t="s">
        <v>1309</v>
      </c>
      <c r="CD60" t="s">
        <v>1309</v>
      </c>
      <c r="CE60" t="s">
        <v>1309</v>
      </c>
      <c r="CX60" t="s">
        <v>2135</v>
      </c>
      <c r="CY60" t="s">
        <v>1309</v>
      </c>
      <c r="CZ60" t="s">
        <v>1309</v>
      </c>
      <c r="DA60" t="s">
        <v>1309</v>
      </c>
      <c r="DB60" t="s">
        <v>1309</v>
      </c>
      <c r="DC60" t="s">
        <v>1309</v>
      </c>
      <c r="DD60" t="s">
        <v>1310</v>
      </c>
      <c r="DE60" t="s">
        <v>1309</v>
      </c>
      <c r="DF60" t="s">
        <v>1309</v>
      </c>
      <c r="DG60" t="s">
        <v>1309</v>
      </c>
      <c r="DH60" t="s">
        <v>1309</v>
      </c>
      <c r="DI60" t="s">
        <v>1309</v>
      </c>
      <c r="DJ60" t="s">
        <v>1309</v>
      </c>
      <c r="DK60" t="s">
        <v>1309</v>
      </c>
      <c r="DM60" t="s">
        <v>4435</v>
      </c>
      <c r="DO60" t="s">
        <v>1308</v>
      </c>
      <c r="DP60" t="s">
        <v>1310</v>
      </c>
      <c r="DQ60" t="s">
        <v>1309</v>
      </c>
      <c r="DR60" t="s">
        <v>1309</v>
      </c>
      <c r="DS60" t="s">
        <v>1309</v>
      </c>
      <c r="DT60" t="s">
        <v>1309</v>
      </c>
      <c r="DU60" t="s">
        <v>1309</v>
      </c>
      <c r="DV60" t="s">
        <v>1309</v>
      </c>
      <c r="DX60" t="s">
        <v>1358</v>
      </c>
      <c r="DY60" t="s">
        <v>1307</v>
      </c>
      <c r="EA60">
        <v>1700</v>
      </c>
      <c r="EB60">
        <v>800</v>
      </c>
      <c r="EC60" t="s">
        <v>1358</v>
      </c>
      <c r="EE60">
        <v>2200</v>
      </c>
      <c r="EF60">
        <v>800</v>
      </c>
      <c r="EG60" t="s">
        <v>1703</v>
      </c>
      <c r="EH60" t="s">
        <v>1310</v>
      </c>
      <c r="EI60" t="s">
        <v>1309</v>
      </c>
      <c r="EJ60" t="s">
        <v>1309</v>
      </c>
      <c r="EK60" t="s">
        <v>1309</v>
      </c>
      <c r="EL60" t="s">
        <v>1309</v>
      </c>
      <c r="EM60" t="s">
        <v>1309</v>
      </c>
      <c r="EN60" t="s">
        <v>1309</v>
      </c>
      <c r="EO60" t="s">
        <v>1309</v>
      </c>
      <c r="EQ60" t="s">
        <v>1319</v>
      </c>
      <c r="ER60" t="s">
        <v>1319</v>
      </c>
      <c r="EU60" t="s">
        <v>3071</v>
      </c>
      <c r="EV60" t="s">
        <v>1309</v>
      </c>
      <c r="EW60" t="s">
        <v>1309</v>
      </c>
      <c r="EX60" t="s">
        <v>1309</v>
      </c>
      <c r="EY60" t="s">
        <v>1309</v>
      </c>
      <c r="EZ60" t="s">
        <v>1309</v>
      </c>
      <c r="FA60" t="s">
        <v>1310</v>
      </c>
      <c r="FB60" t="s">
        <v>1310</v>
      </c>
      <c r="FC60" t="s">
        <v>1309</v>
      </c>
      <c r="FD60" t="s">
        <v>1309</v>
      </c>
      <c r="FE60" t="s">
        <v>1309</v>
      </c>
      <c r="FF60" t="s">
        <v>1309</v>
      </c>
      <c r="FG60" t="s">
        <v>1310</v>
      </c>
      <c r="FH60" t="s">
        <v>1310</v>
      </c>
      <c r="FI60" t="s">
        <v>1309</v>
      </c>
      <c r="FJ60" t="s">
        <v>1309</v>
      </c>
      <c r="FK60" t="s">
        <v>1309</v>
      </c>
      <c r="FL60" t="s">
        <v>1309</v>
      </c>
      <c r="FN60" t="s">
        <v>1319</v>
      </c>
      <c r="FO60" t="s">
        <v>1626</v>
      </c>
      <c r="FP60" t="s">
        <v>1309</v>
      </c>
      <c r="FQ60" t="s">
        <v>1310</v>
      </c>
      <c r="FR60" t="s">
        <v>1309</v>
      </c>
      <c r="FS60" t="s">
        <v>1309</v>
      </c>
      <c r="FT60" t="s">
        <v>1309</v>
      </c>
      <c r="FU60" t="s">
        <v>1309</v>
      </c>
      <c r="FV60" t="s">
        <v>1309</v>
      </c>
      <c r="FW60" t="s">
        <v>1309</v>
      </c>
      <c r="FX60" t="s">
        <v>1309</v>
      </c>
      <c r="FY60" t="s">
        <v>1309</v>
      </c>
      <c r="FZ60" t="s">
        <v>1309</v>
      </c>
      <c r="GA60" t="s">
        <v>1309</v>
      </c>
      <c r="GC60" t="s">
        <v>1324</v>
      </c>
      <c r="GD60" t="s">
        <v>1324</v>
      </c>
      <c r="GN60" t="s">
        <v>1437</v>
      </c>
      <c r="GO60" t="s">
        <v>1626</v>
      </c>
      <c r="GP60" t="s">
        <v>1310</v>
      </c>
      <c r="GQ60" t="s">
        <v>1309</v>
      </c>
      <c r="GR60" t="s">
        <v>1309</v>
      </c>
      <c r="GS60" t="s">
        <v>1309</v>
      </c>
      <c r="GT60" t="s">
        <v>1309</v>
      </c>
      <c r="GU60" t="s">
        <v>1309</v>
      </c>
      <c r="GV60" t="s">
        <v>1309</v>
      </c>
      <c r="GW60" t="s">
        <v>1309</v>
      </c>
      <c r="GX60" t="s">
        <v>1309</v>
      </c>
      <c r="GY60" t="s">
        <v>1309</v>
      </c>
      <c r="GZ60" t="s">
        <v>1309</v>
      </c>
      <c r="HB60" t="s">
        <v>1319</v>
      </c>
      <c r="HC60" t="s">
        <v>1870</v>
      </c>
      <c r="HD60" t="s">
        <v>1309</v>
      </c>
      <c r="HE60" t="s">
        <v>1309</v>
      </c>
      <c r="HF60" t="s">
        <v>1309</v>
      </c>
      <c r="HG60" t="s">
        <v>1310</v>
      </c>
      <c r="HH60" t="s">
        <v>1310</v>
      </c>
      <c r="HI60" t="s">
        <v>1309</v>
      </c>
      <c r="HJ60" t="s">
        <v>1309</v>
      </c>
      <c r="HK60" t="s">
        <v>1309</v>
      </c>
      <c r="HL60" t="s">
        <v>1309</v>
      </c>
      <c r="HM60" t="s">
        <v>1309</v>
      </c>
      <c r="HN60" t="s">
        <v>1309</v>
      </c>
      <c r="HO60" t="s">
        <v>1309</v>
      </c>
      <c r="HP60" t="s">
        <v>1309</v>
      </c>
      <c r="HR60" t="s">
        <v>1523</v>
      </c>
      <c r="HS60" t="s">
        <v>1309</v>
      </c>
      <c r="HT60" t="s">
        <v>1309</v>
      </c>
      <c r="HU60" t="s">
        <v>1309</v>
      </c>
      <c r="HV60" t="s">
        <v>1310</v>
      </c>
      <c r="HW60" t="s">
        <v>1309</v>
      </c>
      <c r="HX60" t="s">
        <v>1309</v>
      </c>
      <c r="HY60" t="s">
        <v>1309</v>
      </c>
      <c r="HZ60" t="s">
        <v>1309</v>
      </c>
      <c r="IB60" s="92" t="s">
        <v>1333</v>
      </c>
      <c r="IC60" s="92" t="s">
        <v>1334</v>
      </c>
      <c r="ID60" s="92">
        <v>41</v>
      </c>
      <c r="IE60" s="92" t="s">
        <v>1307</v>
      </c>
      <c r="IF60" s="92" t="s">
        <v>4397</v>
      </c>
      <c r="IG60" s="92" t="s">
        <v>1336</v>
      </c>
      <c r="IH60" s="92" t="s">
        <v>1296</v>
      </c>
      <c r="II60" s="92" t="s">
        <v>71</v>
      </c>
      <c r="IJ60" s="92" t="s">
        <v>5549</v>
      </c>
      <c r="IK60" s="92" t="s">
        <v>1337</v>
      </c>
      <c r="IL60" s="92" t="s">
        <v>4845</v>
      </c>
      <c r="IM60" s="92" t="s">
        <v>1370</v>
      </c>
      <c r="IN60" s="92" t="s">
        <v>109</v>
      </c>
      <c r="IO60" s="92" t="s">
        <v>4847</v>
      </c>
      <c r="IP60" s="92" t="s">
        <v>1371</v>
      </c>
      <c r="IQ60" s="92">
        <v>2500</v>
      </c>
      <c r="IR60" s="92" t="s">
        <v>4438</v>
      </c>
      <c r="IS60" s="92" t="s">
        <v>109</v>
      </c>
      <c r="IT60" s="92" t="s">
        <v>192</v>
      </c>
      <c r="IU60" s="92" t="s">
        <v>109</v>
      </c>
      <c r="IV60" s="92" t="s">
        <v>192</v>
      </c>
      <c r="IW60" s="92" t="s">
        <v>1425</v>
      </c>
      <c r="IX60" s="92">
        <v>3000</v>
      </c>
      <c r="IY60" s="92" t="s">
        <v>4439</v>
      </c>
      <c r="IZ60" s="92" t="s">
        <v>1425</v>
      </c>
      <c r="JA60" s="92" t="s">
        <v>1342</v>
      </c>
      <c r="JB60" s="92" t="s">
        <v>109</v>
      </c>
      <c r="JC60" s="92" t="s">
        <v>1378</v>
      </c>
      <c r="JD60" s="92" t="s">
        <v>109</v>
      </c>
      <c r="JE60" s="92" t="s">
        <v>109</v>
      </c>
      <c r="JF60" s="92" t="s">
        <v>4438</v>
      </c>
      <c r="JG60" s="92" t="s">
        <v>4439</v>
      </c>
      <c r="JH60" s="92" t="s">
        <v>109</v>
      </c>
      <c r="JI60" s="92" t="s">
        <v>109</v>
      </c>
    </row>
    <row r="61" spans="1:269" x14ac:dyDescent="0.25">
      <c r="A61" t="s">
        <v>3072</v>
      </c>
      <c r="B61" t="s">
        <v>3073</v>
      </c>
      <c r="C61" t="s">
        <v>1305</v>
      </c>
      <c r="D61" t="s">
        <v>1306</v>
      </c>
      <c r="F61" t="s">
        <v>1307</v>
      </c>
      <c r="G61" t="s">
        <v>1319</v>
      </c>
      <c r="H61">
        <v>5</v>
      </c>
      <c r="I61" t="s">
        <v>1307</v>
      </c>
      <c r="J61" t="s">
        <v>1406</v>
      </c>
      <c r="K61" t="s">
        <v>1309</v>
      </c>
      <c r="L61" t="s">
        <v>1310</v>
      </c>
      <c r="M61" t="s">
        <v>1309</v>
      </c>
      <c r="N61" t="s">
        <v>1309</v>
      </c>
      <c r="O61" t="s">
        <v>1309</v>
      </c>
      <c r="P61" t="s">
        <v>1309</v>
      </c>
      <c r="Q61" t="s">
        <v>1309</v>
      </c>
      <c r="R61" t="s">
        <v>1309</v>
      </c>
      <c r="S61">
        <v>3</v>
      </c>
      <c r="U61" t="s">
        <v>1312</v>
      </c>
      <c r="V61" t="s">
        <v>1312</v>
      </c>
      <c r="W61" t="s">
        <v>1312</v>
      </c>
      <c r="X61" t="s">
        <v>1312</v>
      </c>
      <c r="Y61" t="s">
        <v>1312</v>
      </c>
      <c r="Z61" t="s">
        <v>1312</v>
      </c>
      <c r="AC61">
        <v>1</v>
      </c>
      <c r="AD61">
        <v>20000</v>
      </c>
      <c r="AE61">
        <v>15000</v>
      </c>
      <c r="AF61" t="s">
        <v>1313</v>
      </c>
      <c r="AH61" t="s">
        <v>1319</v>
      </c>
      <c r="AI61" t="s">
        <v>4876</v>
      </c>
      <c r="AK61" t="s">
        <v>1319</v>
      </c>
      <c r="AL61" t="s">
        <v>1315</v>
      </c>
      <c r="AN61" t="s">
        <v>1316</v>
      </c>
      <c r="BU61" t="s">
        <v>2853</v>
      </c>
      <c r="BV61" t="s">
        <v>1310</v>
      </c>
      <c r="BW61" t="s">
        <v>1309</v>
      </c>
      <c r="BX61" t="s">
        <v>1309</v>
      </c>
      <c r="BY61" t="s">
        <v>1309</v>
      </c>
      <c r="BZ61" t="s">
        <v>1309</v>
      </c>
      <c r="CA61" t="s">
        <v>1309</v>
      </c>
      <c r="CB61" t="s">
        <v>1309</v>
      </c>
      <c r="CC61" t="s">
        <v>1309</v>
      </c>
      <c r="CD61" t="s">
        <v>1309</v>
      </c>
      <c r="CE61" t="s">
        <v>1309</v>
      </c>
      <c r="CX61" t="s">
        <v>2948</v>
      </c>
      <c r="CY61" t="s">
        <v>1310</v>
      </c>
      <c r="CZ61" t="s">
        <v>1309</v>
      </c>
      <c r="DA61" t="s">
        <v>1309</v>
      </c>
      <c r="DB61" t="s">
        <v>1309</v>
      </c>
      <c r="DC61" t="s">
        <v>1309</v>
      </c>
      <c r="DD61" t="s">
        <v>1310</v>
      </c>
      <c r="DE61" t="s">
        <v>1309</v>
      </c>
      <c r="DF61" t="s">
        <v>1309</v>
      </c>
      <c r="DG61" t="s">
        <v>1309</v>
      </c>
      <c r="DH61" t="s">
        <v>1309</v>
      </c>
      <c r="DI61" t="s">
        <v>1309</v>
      </c>
      <c r="DJ61" t="s">
        <v>1309</v>
      </c>
      <c r="DK61" t="s">
        <v>1309</v>
      </c>
      <c r="DM61" t="s">
        <v>4435</v>
      </c>
      <c r="DO61" t="s">
        <v>1308</v>
      </c>
      <c r="DP61" t="s">
        <v>1310</v>
      </c>
      <c r="DQ61" t="s">
        <v>1309</v>
      </c>
      <c r="DR61" t="s">
        <v>1309</v>
      </c>
      <c r="DS61" t="s">
        <v>1309</v>
      </c>
      <c r="DT61" t="s">
        <v>1309</v>
      </c>
      <c r="DU61" t="s">
        <v>1309</v>
      </c>
      <c r="DV61" t="s">
        <v>1309</v>
      </c>
      <c r="DX61" t="s">
        <v>1358</v>
      </c>
      <c r="DY61" t="s">
        <v>1307</v>
      </c>
      <c r="EA61">
        <v>1500</v>
      </c>
      <c r="EB61">
        <v>500</v>
      </c>
      <c r="EC61" t="s">
        <v>1358</v>
      </c>
      <c r="EE61">
        <v>2500</v>
      </c>
      <c r="EF61">
        <v>700</v>
      </c>
      <c r="EG61" t="s">
        <v>3074</v>
      </c>
      <c r="EH61" t="s">
        <v>1310</v>
      </c>
      <c r="EI61" t="s">
        <v>1310</v>
      </c>
      <c r="EJ61" t="s">
        <v>1310</v>
      </c>
      <c r="EK61" t="s">
        <v>1309</v>
      </c>
      <c r="EL61" t="s">
        <v>1309</v>
      </c>
      <c r="EM61" t="s">
        <v>1309</v>
      </c>
      <c r="EN61" t="s">
        <v>1309</v>
      </c>
      <c r="EO61" t="s">
        <v>1309</v>
      </c>
      <c r="EQ61" t="s">
        <v>1319</v>
      </c>
      <c r="ER61" t="s">
        <v>1319</v>
      </c>
      <c r="EU61" t="s">
        <v>3075</v>
      </c>
      <c r="EV61" t="s">
        <v>1309</v>
      </c>
      <c r="EW61" t="s">
        <v>1309</v>
      </c>
      <c r="EX61" t="s">
        <v>1309</v>
      </c>
      <c r="EY61" t="s">
        <v>1310</v>
      </c>
      <c r="EZ61" t="s">
        <v>1309</v>
      </c>
      <c r="FA61" t="s">
        <v>1309</v>
      </c>
      <c r="FB61" t="s">
        <v>1309</v>
      </c>
      <c r="FC61" t="s">
        <v>1310</v>
      </c>
      <c r="FD61" t="s">
        <v>1309</v>
      </c>
      <c r="FE61" t="s">
        <v>1309</v>
      </c>
      <c r="FF61" t="s">
        <v>1309</v>
      </c>
      <c r="FG61" t="s">
        <v>1310</v>
      </c>
      <c r="FH61" t="s">
        <v>1310</v>
      </c>
      <c r="FI61" t="s">
        <v>1310</v>
      </c>
      <c r="FJ61" t="s">
        <v>1309</v>
      </c>
      <c r="FK61" t="s">
        <v>1309</v>
      </c>
      <c r="FL61" t="s">
        <v>1309</v>
      </c>
      <c r="FN61" t="s">
        <v>1307</v>
      </c>
      <c r="GC61" t="s">
        <v>1436</v>
      </c>
      <c r="GD61" t="s">
        <v>1324</v>
      </c>
      <c r="GE61" t="s">
        <v>1319</v>
      </c>
      <c r="GF61" t="s">
        <v>1619</v>
      </c>
      <c r="GG61" t="s">
        <v>1310</v>
      </c>
      <c r="GH61" t="s">
        <v>1309</v>
      </c>
      <c r="GI61" t="s">
        <v>1309</v>
      </c>
      <c r="GJ61" t="s">
        <v>1309</v>
      </c>
      <c r="GK61" t="s">
        <v>1309</v>
      </c>
      <c r="GL61" t="s">
        <v>1309</v>
      </c>
      <c r="GN61" t="s">
        <v>1364</v>
      </c>
      <c r="HB61" t="s">
        <v>1319</v>
      </c>
      <c r="HC61" t="s">
        <v>3076</v>
      </c>
      <c r="HD61" t="s">
        <v>1310</v>
      </c>
      <c r="HE61" t="s">
        <v>1310</v>
      </c>
      <c r="HF61" t="s">
        <v>1309</v>
      </c>
      <c r="HG61" t="s">
        <v>1310</v>
      </c>
      <c r="HH61" t="s">
        <v>1310</v>
      </c>
      <c r="HI61" t="s">
        <v>1310</v>
      </c>
      <c r="HJ61" t="s">
        <v>1309</v>
      </c>
      <c r="HK61" t="s">
        <v>1309</v>
      </c>
      <c r="HL61" t="s">
        <v>1309</v>
      </c>
      <c r="HM61" t="s">
        <v>1309</v>
      </c>
      <c r="HN61" t="s">
        <v>1309</v>
      </c>
      <c r="HO61" t="s">
        <v>1309</v>
      </c>
      <c r="HP61" t="s">
        <v>1309</v>
      </c>
      <c r="HR61" t="s">
        <v>3077</v>
      </c>
      <c r="HS61" t="s">
        <v>1310</v>
      </c>
      <c r="HT61" t="s">
        <v>1310</v>
      </c>
      <c r="HU61" t="s">
        <v>1309</v>
      </c>
      <c r="HV61" t="s">
        <v>1309</v>
      </c>
      <c r="HW61" t="s">
        <v>1309</v>
      </c>
      <c r="HX61" t="s">
        <v>1309</v>
      </c>
      <c r="HY61" t="s">
        <v>1309</v>
      </c>
      <c r="HZ61" t="s">
        <v>1309</v>
      </c>
      <c r="IB61" s="92" t="s">
        <v>2076</v>
      </c>
      <c r="IC61" s="92" t="s">
        <v>2077</v>
      </c>
      <c r="ID61" s="92">
        <v>36</v>
      </c>
      <c r="IE61" s="92" t="s">
        <v>1307</v>
      </c>
      <c r="IF61" s="92" t="s">
        <v>4396</v>
      </c>
      <c r="IG61" s="92" t="s">
        <v>1368</v>
      </c>
      <c r="IH61" s="92" t="s">
        <v>1296</v>
      </c>
      <c r="II61" s="92" t="s">
        <v>71</v>
      </c>
      <c r="IJ61" s="92" t="s">
        <v>5549</v>
      </c>
      <c r="IK61" s="92" t="s">
        <v>1337</v>
      </c>
      <c r="IL61" s="92" t="s">
        <v>4846</v>
      </c>
      <c r="IM61" s="92" t="s">
        <v>1415</v>
      </c>
      <c r="IN61" s="92" t="s">
        <v>109</v>
      </c>
      <c r="IO61" s="92" t="s">
        <v>4844</v>
      </c>
      <c r="IP61" s="92" t="s">
        <v>1452</v>
      </c>
      <c r="IQ61" s="92">
        <v>2000</v>
      </c>
      <c r="IR61" s="92" t="s">
        <v>1372</v>
      </c>
      <c r="IS61" s="92" t="s">
        <v>109</v>
      </c>
      <c r="IT61" s="92" t="s">
        <v>192</v>
      </c>
      <c r="IU61" s="92" t="s">
        <v>109</v>
      </c>
      <c r="IV61" s="92" t="s">
        <v>192</v>
      </c>
      <c r="IW61" s="92" t="s">
        <v>1440</v>
      </c>
      <c r="IX61" s="92">
        <v>3200</v>
      </c>
      <c r="IY61" s="92" t="s">
        <v>4438</v>
      </c>
      <c r="IZ61" s="92" t="s">
        <v>1341</v>
      </c>
      <c r="JA61" s="92" t="s">
        <v>1342</v>
      </c>
      <c r="JB61" s="92" t="s">
        <v>109</v>
      </c>
      <c r="JC61" s="92" t="s">
        <v>5795</v>
      </c>
      <c r="JD61" s="92" t="s">
        <v>109</v>
      </c>
      <c r="JE61" s="92" t="s">
        <v>109</v>
      </c>
      <c r="JF61" s="92" t="s">
        <v>4438</v>
      </c>
      <c r="JG61" s="92" t="s">
        <v>4438</v>
      </c>
      <c r="JH61" s="92" t="s">
        <v>109</v>
      </c>
      <c r="JI61" s="92" t="s">
        <v>109</v>
      </c>
    </row>
    <row r="62" spans="1:269" x14ac:dyDescent="0.25">
      <c r="A62" t="s">
        <v>3078</v>
      </c>
      <c r="B62" t="s">
        <v>3079</v>
      </c>
      <c r="C62" t="s">
        <v>1305</v>
      </c>
      <c r="D62" t="s">
        <v>1381</v>
      </c>
      <c r="F62" t="s">
        <v>1319</v>
      </c>
      <c r="G62" t="s">
        <v>1319</v>
      </c>
      <c r="H62">
        <v>5</v>
      </c>
      <c r="I62" t="s">
        <v>1358</v>
      </c>
      <c r="J62" t="s">
        <v>1406</v>
      </c>
      <c r="K62" t="s">
        <v>1309</v>
      </c>
      <c r="L62" t="s">
        <v>1310</v>
      </c>
      <c r="M62" t="s">
        <v>1309</v>
      </c>
      <c r="N62" t="s">
        <v>1309</v>
      </c>
      <c r="O62" t="s">
        <v>1309</v>
      </c>
      <c r="P62" t="s">
        <v>1309</v>
      </c>
      <c r="Q62" t="s">
        <v>1309</v>
      </c>
      <c r="R62" t="s">
        <v>1309</v>
      </c>
      <c r="S62">
        <v>2</v>
      </c>
      <c r="U62" t="s">
        <v>1312</v>
      </c>
      <c r="V62" t="s">
        <v>1312</v>
      </c>
      <c r="W62" t="s">
        <v>1312</v>
      </c>
      <c r="X62" t="s">
        <v>1312</v>
      </c>
      <c r="Y62" t="s">
        <v>1312</v>
      </c>
      <c r="Z62" t="s">
        <v>1312</v>
      </c>
      <c r="AC62">
        <v>4</v>
      </c>
      <c r="AD62">
        <v>10000</v>
      </c>
      <c r="AE62">
        <v>7000</v>
      </c>
      <c r="AF62" t="s">
        <v>1313</v>
      </c>
      <c r="AH62" t="s">
        <v>1319</v>
      </c>
      <c r="AI62" t="s">
        <v>4879</v>
      </c>
      <c r="AK62" t="s">
        <v>1319</v>
      </c>
      <c r="AL62" t="s">
        <v>1315</v>
      </c>
      <c r="AN62" t="s">
        <v>1316</v>
      </c>
      <c r="BU62" t="s">
        <v>1414</v>
      </c>
      <c r="BV62" t="s">
        <v>1309</v>
      </c>
      <c r="BW62" t="s">
        <v>1309</v>
      </c>
      <c r="BX62" t="s">
        <v>1309</v>
      </c>
      <c r="BY62" t="s">
        <v>1309</v>
      </c>
      <c r="BZ62" t="s">
        <v>1309</v>
      </c>
      <c r="CA62" t="s">
        <v>1309</v>
      </c>
      <c r="CB62" t="s">
        <v>1309</v>
      </c>
      <c r="CC62" t="s">
        <v>1309</v>
      </c>
      <c r="CD62" t="s">
        <v>1310</v>
      </c>
      <c r="CE62" t="s">
        <v>1309</v>
      </c>
      <c r="CX62" t="s">
        <v>2869</v>
      </c>
      <c r="CY62" t="s">
        <v>1310</v>
      </c>
      <c r="CZ62" t="s">
        <v>1309</v>
      </c>
      <c r="DA62" t="s">
        <v>1309</v>
      </c>
      <c r="DB62" t="s">
        <v>1309</v>
      </c>
      <c r="DC62" t="s">
        <v>1310</v>
      </c>
      <c r="DD62" t="s">
        <v>1309</v>
      </c>
      <c r="DE62" t="s">
        <v>1309</v>
      </c>
      <c r="DF62" t="s">
        <v>1309</v>
      </c>
      <c r="DG62" t="s">
        <v>1309</v>
      </c>
      <c r="DH62" t="s">
        <v>1309</v>
      </c>
      <c r="DI62" t="s">
        <v>1309</v>
      </c>
      <c r="DJ62" t="s">
        <v>1309</v>
      </c>
      <c r="DK62" t="s">
        <v>1309</v>
      </c>
      <c r="DM62" t="s">
        <v>4434</v>
      </c>
      <c r="DO62" t="s">
        <v>1308</v>
      </c>
      <c r="DP62" t="s">
        <v>1310</v>
      </c>
      <c r="DQ62" t="s">
        <v>1309</v>
      </c>
      <c r="DR62" t="s">
        <v>1309</v>
      </c>
      <c r="DS62" t="s">
        <v>1309</v>
      </c>
      <c r="DT62" t="s">
        <v>1309</v>
      </c>
      <c r="DU62" t="s">
        <v>1309</v>
      </c>
      <c r="DV62" t="s">
        <v>1309</v>
      </c>
      <c r="DX62" t="s">
        <v>1358</v>
      </c>
      <c r="DZ62">
        <v>3000</v>
      </c>
      <c r="EB62">
        <v>300</v>
      </c>
      <c r="EC62" t="s">
        <v>1358</v>
      </c>
      <c r="ED62">
        <v>2500</v>
      </c>
      <c r="EF62">
        <v>200</v>
      </c>
      <c r="EG62" t="s">
        <v>3080</v>
      </c>
      <c r="EH62" t="s">
        <v>1310</v>
      </c>
      <c r="EI62" t="s">
        <v>1310</v>
      </c>
      <c r="EJ62" t="s">
        <v>1309</v>
      </c>
      <c r="EK62" t="s">
        <v>1309</v>
      </c>
      <c r="EL62" t="s">
        <v>1310</v>
      </c>
      <c r="EM62" t="s">
        <v>1309</v>
      </c>
      <c r="EN62" t="s">
        <v>1309</v>
      </c>
      <c r="EO62" t="s">
        <v>1309</v>
      </c>
      <c r="EQ62" t="s">
        <v>1307</v>
      </c>
      <c r="ER62" t="s">
        <v>1319</v>
      </c>
      <c r="ES62" t="s">
        <v>1319</v>
      </c>
      <c r="EU62" t="s">
        <v>3081</v>
      </c>
      <c r="EV62" t="s">
        <v>1309</v>
      </c>
      <c r="EW62" t="s">
        <v>1309</v>
      </c>
      <c r="EX62" t="s">
        <v>1310</v>
      </c>
      <c r="EY62" t="s">
        <v>1310</v>
      </c>
      <c r="EZ62" t="s">
        <v>1309</v>
      </c>
      <c r="FA62" t="s">
        <v>1309</v>
      </c>
      <c r="FB62" t="s">
        <v>1309</v>
      </c>
      <c r="FC62" t="s">
        <v>1310</v>
      </c>
      <c r="FD62" t="s">
        <v>1309</v>
      </c>
      <c r="FE62" t="s">
        <v>1309</v>
      </c>
      <c r="FF62" t="s">
        <v>1309</v>
      </c>
      <c r="FG62" t="s">
        <v>1309</v>
      </c>
      <c r="FH62" t="s">
        <v>1309</v>
      </c>
      <c r="FI62" t="s">
        <v>1309</v>
      </c>
      <c r="FJ62" t="s">
        <v>1309</v>
      </c>
      <c r="FK62" t="s">
        <v>1309</v>
      </c>
      <c r="FL62" t="s">
        <v>1309</v>
      </c>
      <c r="FN62" t="s">
        <v>1319</v>
      </c>
      <c r="FO62" t="s">
        <v>1599</v>
      </c>
      <c r="FP62" t="s">
        <v>1309</v>
      </c>
      <c r="FQ62" t="s">
        <v>1309</v>
      </c>
      <c r="FR62" t="s">
        <v>1309</v>
      </c>
      <c r="FS62" t="s">
        <v>1309</v>
      </c>
      <c r="FT62" t="s">
        <v>1309</v>
      </c>
      <c r="FU62" t="s">
        <v>1310</v>
      </c>
      <c r="FV62" t="s">
        <v>1309</v>
      </c>
      <c r="FW62" t="s">
        <v>1309</v>
      </c>
      <c r="FX62" t="s">
        <v>1309</v>
      </c>
      <c r="FY62" t="s">
        <v>1309</v>
      </c>
      <c r="FZ62" t="s">
        <v>1309</v>
      </c>
      <c r="GA62" t="s">
        <v>1309</v>
      </c>
      <c r="GC62" t="s">
        <v>1324</v>
      </c>
      <c r="GD62" t="s">
        <v>1324</v>
      </c>
      <c r="GN62" t="s">
        <v>1364</v>
      </c>
      <c r="HB62" t="s">
        <v>1307</v>
      </c>
      <c r="HR62" t="s">
        <v>1414</v>
      </c>
      <c r="HS62" t="s">
        <v>1309</v>
      </c>
      <c r="HT62" t="s">
        <v>1309</v>
      </c>
      <c r="HU62" t="s">
        <v>1309</v>
      </c>
      <c r="HV62" t="s">
        <v>1309</v>
      </c>
      <c r="HW62" t="s">
        <v>1309</v>
      </c>
      <c r="HX62" t="s">
        <v>1309</v>
      </c>
      <c r="HY62" t="s">
        <v>1310</v>
      </c>
      <c r="HZ62" t="s">
        <v>1309</v>
      </c>
      <c r="IB62" s="92" t="s">
        <v>2076</v>
      </c>
      <c r="IC62" s="92" t="s">
        <v>2077</v>
      </c>
      <c r="ID62" s="92">
        <v>38</v>
      </c>
      <c r="IE62" s="92" t="s">
        <v>1307</v>
      </c>
      <c r="IF62" s="92" t="s">
        <v>4398</v>
      </c>
      <c r="IG62" s="92" t="s">
        <v>1368</v>
      </c>
      <c r="IH62" s="92" t="s">
        <v>1296</v>
      </c>
      <c r="II62" s="92" t="s">
        <v>71</v>
      </c>
      <c r="IJ62" s="92" t="s">
        <v>1397</v>
      </c>
      <c r="IK62" s="92" t="s">
        <v>1337</v>
      </c>
      <c r="IL62" s="92" t="s">
        <v>4846</v>
      </c>
      <c r="IM62" s="92" t="s">
        <v>1415</v>
      </c>
      <c r="IN62" s="92" t="s">
        <v>109</v>
      </c>
      <c r="IO62" s="92" t="s">
        <v>4848</v>
      </c>
      <c r="IP62" s="92" t="s">
        <v>1424</v>
      </c>
      <c r="IQ62" s="92">
        <v>3300</v>
      </c>
      <c r="IR62" s="92" t="s">
        <v>4439</v>
      </c>
      <c r="IS62" s="92" t="s">
        <v>192</v>
      </c>
      <c r="IT62" s="92" t="s">
        <v>109</v>
      </c>
      <c r="IU62" s="92" t="s">
        <v>192</v>
      </c>
      <c r="IV62" s="92" t="s">
        <v>109</v>
      </c>
      <c r="IW62" s="92" t="s">
        <v>1341</v>
      </c>
      <c r="IX62" s="92">
        <v>2700</v>
      </c>
      <c r="IY62" s="92" t="s">
        <v>4439</v>
      </c>
      <c r="IZ62" s="92" t="s">
        <v>1425</v>
      </c>
      <c r="JA62" s="92" t="s">
        <v>1460</v>
      </c>
      <c r="JB62" s="92" t="s">
        <v>192</v>
      </c>
      <c r="JC62" s="92" t="s">
        <v>1403</v>
      </c>
      <c r="JD62" s="92" t="s">
        <v>109</v>
      </c>
      <c r="JE62" s="92" t="s">
        <v>109</v>
      </c>
      <c r="JF62" s="92" t="s">
        <v>4439</v>
      </c>
      <c r="JG62" s="92" t="s">
        <v>4439</v>
      </c>
      <c r="JH62" s="92" t="s">
        <v>192</v>
      </c>
      <c r="JI62" s="92" t="s">
        <v>109</v>
      </c>
    </row>
    <row r="63" spans="1:269" x14ac:dyDescent="0.25">
      <c r="A63" t="s">
        <v>3082</v>
      </c>
      <c r="B63" t="s">
        <v>3083</v>
      </c>
      <c r="C63" t="s">
        <v>1305</v>
      </c>
      <c r="D63" t="s">
        <v>1306</v>
      </c>
      <c r="F63" t="s">
        <v>1307</v>
      </c>
      <c r="G63" t="s">
        <v>1319</v>
      </c>
      <c r="H63">
        <v>2</v>
      </c>
      <c r="I63" t="s">
        <v>1307</v>
      </c>
      <c r="J63" t="s">
        <v>1308</v>
      </c>
      <c r="K63" t="s">
        <v>1309</v>
      </c>
      <c r="L63" t="s">
        <v>1309</v>
      </c>
      <c r="M63" t="s">
        <v>1309</v>
      </c>
      <c r="N63" t="s">
        <v>1309</v>
      </c>
      <c r="O63" t="s">
        <v>1309</v>
      </c>
      <c r="P63" t="s">
        <v>1309</v>
      </c>
      <c r="Q63" t="s">
        <v>1310</v>
      </c>
      <c r="R63" t="s">
        <v>1309</v>
      </c>
      <c r="U63" t="s">
        <v>1312</v>
      </c>
      <c r="V63" t="s">
        <v>1312</v>
      </c>
      <c r="W63" t="s">
        <v>1312</v>
      </c>
      <c r="X63" t="s">
        <v>1312</v>
      </c>
      <c r="Y63" t="s">
        <v>1312</v>
      </c>
      <c r="Z63" t="s">
        <v>1312</v>
      </c>
      <c r="AC63">
        <v>2</v>
      </c>
      <c r="AD63">
        <v>40000</v>
      </c>
      <c r="AE63">
        <v>30000</v>
      </c>
      <c r="AF63" t="s">
        <v>1351</v>
      </c>
      <c r="AH63" t="s">
        <v>1319</v>
      </c>
      <c r="AI63" t="s">
        <v>4879</v>
      </c>
      <c r="AK63" t="s">
        <v>1307</v>
      </c>
      <c r="CG63" t="s">
        <v>3084</v>
      </c>
      <c r="CH63" t="s">
        <v>1310</v>
      </c>
      <c r="CI63" t="s">
        <v>1309</v>
      </c>
      <c r="CJ63" t="s">
        <v>1309</v>
      </c>
      <c r="CK63" t="s">
        <v>1309</v>
      </c>
      <c r="CL63" t="s">
        <v>1309</v>
      </c>
      <c r="CM63" t="s">
        <v>1309</v>
      </c>
      <c r="CN63" t="s">
        <v>1309</v>
      </c>
      <c r="CO63" t="s">
        <v>1309</v>
      </c>
      <c r="CP63" t="s">
        <v>1309</v>
      </c>
      <c r="CQ63" t="s">
        <v>1309</v>
      </c>
      <c r="CR63" t="s">
        <v>1309</v>
      </c>
      <c r="CS63" t="s">
        <v>1309</v>
      </c>
      <c r="CT63" t="s">
        <v>1309</v>
      </c>
      <c r="CU63" t="s">
        <v>1309</v>
      </c>
      <c r="CV63" t="s">
        <v>1309</v>
      </c>
      <c r="CX63" t="s">
        <v>1537</v>
      </c>
      <c r="CY63" t="s">
        <v>1309</v>
      </c>
      <c r="CZ63" t="s">
        <v>1309</v>
      </c>
      <c r="DA63" t="s">
        <v>1309</v>
      </c>
      <c r="DB63" t="s">
        <v>1309</v>
      </c>
      <c r="DC63" t="s">
        <v>1309</v>
      </c>
      <c r="DD63" t="s">
        <v>1310</v>
      </c>
      <c r="DE63" t="s">
        <v>1309</v>
      </c>
      <c r="DF63" t="s">
        <v>1309</v>
      </c>
      <c r="DG63" t="s">
        <v>1310</v>
      </c>
      <c r="DH63" t="s">
        <v>1309</v>
      </c>
      <c r="DI63" t="s">
        <v>1309</v>
      </c>
      <c r="DJ63" t="s">
        <v>1309</v>
      </c>
      <c r="DK63" t="s">
        <v>1309</v>
      </c>
      <c r="DM63" t="s">
        <v>4434</v>
      </c>
      <c r="DO63" t="s">
        <v>1357</v>
      </c>
      <c r="DP63" t="s">
        <v>1309</v>
      </c>
      <c r="DQ63" t="s">
        <v>1309</v>
      </c>
      <c r="DR63" t="s">
        <v>1309</v>
      </c>
      <c r="DS63" t="s">
        <v>1309</v>
      </c>
      <c r="DT63" t="s">
        <v>1310</v>
      </c>
      <c r="DU63" t="s">
        <v>1309</v>
      </c>
      <c r="DV63" t="s">
        <v>1309</v>
      </c>
      <c r="DX63" t="s">
        <v>1358</v>
      </c>
      <c r="DZ63">
        <v>3000</v>
      </c>
      <c r="EB63">
        <v>900</v>
      </c>
      <c r="EC63" t="s">
        <v>1358</v>
      </c>
      <c r="ED63">
        <v>3600</v>
      </c>
      <c r="EF63">
        <v>900</v>
      </c>
      <c r="EG63" t="s">
        <v>1703</v>
      </c>
      <c r="EH63" t="s">
        <v>1310</v>
      </c>
      <c r="EI63" t="s">
        <v>1309</v>
      </c>
      <c r="EJ63" t="s">
        <v>1309</v>
      </c>
      <c r="EK63" t="s">
        <v>1309</v>
      </c>
      <c r="EL63" t="s">
        <v>1309</v>
      </c>
      <c r="EM63" t="s">
        <v>1309</v>
      </c>
      <c r="EN63" t="s">
        <v>1309</v>
      </c>
      <c r="EO63" t="s">
        <v>1309</v>
      </c>
      <c r="EQ63" t="s">
        <v>1307</v>
      </c>
      <c r="ER63" t="s">
        <v>1307</v>
      </c>
      <c r="ES63" t="s">
        <v>1307</v>
      </c>
      <c r="FN63" t="s">
        <v>1307</v>
      </c>
      <c r="GC63" t="s">
        <v>1448</v>
      </c>
      <c r="GD63" t="s">
        <v>1448</v>
      </c>
      <c r="GN63" t="s">
        <v>1364</v>
      </c>
      <c r="HB63" t="s">
        <v>1319</v>
      </c>
      <c r="HC63" t="s">
        <v>1639</v>
      </c>
      <c r="HD63" t="s">
        <v>1309</v>
      </c>
      <c r="HE63" t="s">
        <v>1309</v>
      </c>
      <c r="HF63" t="s">
        <v>1309</v>
      </c>
      <c r="HG63" t="s">
        <v>1309</v>
      </c>
      <c r="HH63" t="s">
        <v>1309</v>
      </c>
      <c r="HI63" t="s">
        <v>1309</v>
      </c>
      <c r="HJ63" t="s">
        <v>1309</v>
      </c>
      <c r="HK63" t="s">
        <v>1310</v>
      </c>
      <c r="HL63" t="s">
        <v>1309</v>
      </c>
      <c r="HM63" t="s">
        <v>1309</v>
      </c>
      <c r="HN63" t="s">
        <v>1309</v>
      </c>
      <c r="HO63" t="s">
        <v>1309</v>
      </c>
      <c r="HP63" t="s">
        <v>1309</v>
      </c>
      <c r="HR63" t="s">
        <v>1639</v>
      </c>
      <c r="HS63" t="s">
        <v>1309</v>
      </c>
      <c r="HT63" t="s">
        <v>1310</v>
      </c>
      <c r="HU63" t="s">
        <v>1309</v>
      </c>
      <c r="HV63" t="s">
        <v>1309</v>
      </c>
      <c r="HW63" t="s">
        <v>1309</v>
      </c>
      <c r="HX63" t="s">
        <v>1309</v>
      </c>
      <c r="HY63" t="s">
        <v>1309</v>
      </c>
      <c r="HZ63" t="s">
        <v>1309</v>
      </c>
      <c r="IB63" s="92" t="s">
        <v>2061</v>
      </c>
      <c r="IC63" s="92" t="s">
        <v>2116</v>
      </c>
      <c r="ID63" s="92">
        <v>25</v>
      </c>
      <c r="IE63" s="92" t="s">
        <v>1307</v>
      </c>
      <c r="IF63" s="92" t="s">
        <v>4396</v>
      </c>
      <c r="IG63" s="92" t="s">
        <v>1526</v>
      </c>
      <c r="IH63" s="92" t="s">
        <v>1296</v>
      </c>
      <c r="II63" s="92" t="s">
        <v>71</v>
      </c>
      <c r="IJ63" s="92" t="s">
        <v>5549</v>
      </c>
      <c r="IK63" s="92" t="s">
        <v>1398</v>
      </c>
      <c r="IL63" s="92" t="s">
        <v>4845</v>
      </c>
      <c r="IM63" s="92" t="s">
        <v>1338</v>
      </c>
      <c r="IN63" s="92" t="s">
        <v>109</v>
      </c>
      <c r="IO63" s="92" t="s">
        <v>4847</v>
      </c>
      <c r="IP63" s="92" t="s">
        <v>1416</v>
      </c>
      <c r="IQ63" s="92">
        <v>3900</v>
      </c>
      <c r="IR63" s="92" t="s">
        <v>1372</v>
      </c>
      <c r="IS63" s="92" t="s">
        <v>192</v>
      </c>
      <c r="IT63" s="92" t="s">
        <v>109</v>
      </c>
      <c r="IU63" s="92" t="s">
        <v>192</v>
      </c>
      <c r="IV63" s="92" t="s">
        <v>109</v>
      </c>
      <c r="IW63" s="92" t="s">
        <v>1341</v>
      </c>
      <c r="IX63" s="92">
        <v>4500</v>
      </c>
      <c r="IY63" s="92" t="s">
        <v>4438</v>
      </c>
      <c r="IZ63" s="92" t="s">
        <v>1341</v>
      </c>
      <c r="JA63" s="92" t="s">
        <v>1375</v>
      </c>
      <c r="JB63" s="92" t="s">
        <v>192</v>
      </c>
      <c r="JC63" s="92" t="s">
        <v>5795</v>
      </c>
      <c r="JD63" s="92" t="s">
        <v>109</v>
      </c>
      <c r="JE63" s="92" t="s">
        <v>109</v>
      </c>
      <c r="JF63" s="92" t="s">
        <v>4438</v>
      </c>
      <c r="JG63" s="92" t="s">
        <v>4438</v>
      </c>
      <c r="JH63" s="92" t="s">
        <v>109</v>
      </c>
      <c r="JI63" s="92" t="s">
        <v>109</v>
      </c>
    </row>
    <row r="64" spans="1:269" x14ac:dyDescent="0.25">
      <c r="A64" t="s">
        <v>3085</v>
      </c>
      <c r="B64" t="s">
        <v>3086</v>
      </c>
      <c r="C64" t="s">
        <v>1305</v>
      </c>
      <c r="D64" t="s">
        <v>1306</v>
      </c>
      <c r="F64" t="s">
        <v>1307</v>
      </c>
      <c r="G64" t="s">
        <v>1319</v>
      </c>
      <c r="H64">
        <v>2</v>
      </c>
      <c r="I64" t="s">
        <v>1307</v>
      </c>
      <c r="J64" t="s">
        <v>1308</v>
      </c>
      <c r="K64" t="s">
        <v>1309</v>
      </c>
      <c r="L64" t="s">
        <v>1309</v>
      </c>
      <c r="M64" t="s">
        <v>1309</v>
      </c>
      <c r="N64" t="s">
        <v>1309</v>
      </c>
      <c r="O64" t="s">
        <v>1309</v>
      </c>
      <c r="P64" t="s">
        <v>1309</v>
      </c>
      <c r="Q64" t="s">
        <v>1310</v>
      </c>
      <c r="R64" t="s">
        <v>1309</v>
      </c>
      <c r="U64" t="s">
        <v>1312</v>
      </c>
      <c r="V64" t="s">
        <v>1312</v>
      </c>
      <c r="W64" t="s">
        <v>1312</v>
      </c>
      <c r="X64" t="s">
        <v>1312</v>
      </c>
      <c r="Y64" t="s">
        <v>1312</v>
      </c>
      <c r="Z64" t="s">
        <v>1312</v>
      </c>
      <c r="AC64">
        <v>2</v>
      </c>
      <c r="AD64">
        <v>20000</v>
      </c>
      <c r="AE64">
        <v>16000</v>
      </c>
      <c r="AF64" t="s">
        <v>1351</v>
      </c>
      <c r="AH64" t="s">
        <v>1319</v>
      </c>
      <c r="AI64" t="s">
        <v>4879</v>
      </c>
      <c r="AK64" t="s">
        <v>1319</v>
      </c>
      <c r="AL64" t="s">
        <v>1315</v>
      </c>
      <c r="AN64" t="s">
        <v>1316</v>
      </c>
      <c r="BU64" t="s">
        <v>2853</v>
      </c>
      <c r="BV64" t="s">
        <v>1310</v>
      </c>
      <c r="BW64" t="s">
        <v>1309</v>
      </c>
      <c r="BX64" t="s">
        <v>1309</v>
      </c>
      <c r="BY64" t="s">
        <v>1309</v>
      </c>
      <c r="BZ64" t="s">
        <v>1309</v>
      </c>
      <c r="CA64" t="s">
        <v>1309</v>
      </c>
      <c r="CB64" t="s">
        <v>1309</v>
      </c>
      <c r="CC64" t="s">
        <v>1309</v>
      </c>
      <c r="CD64" t="s">
        <v>1309</v>
      </c>
      <c r="CE64" t="s">
        <v>1309</v>
      </c>
      <c r="CX64" t="s">
        <v>1537</v>
      </c>
      <c r="CY64" t="s">
        <v>1309</v>
      </c>
      <c r="CZ64" t="s">
        <v>1309</v>
      </c>
      <c r="DA64" t="s">
        <v>1309</v>
      </c>
      <c r="DB64" t="s">
        <v>1309</v>
      </c>
      <c r="DC64" t="s">
        <v>1309</v>
      </c>
      <c r="DD64" t="s">
        <v>1310</v>
      </c>
      <c r="DE64" t="s">
        <v>1309</v>
      </c>
      <c r="DF64" t="s">
        <v>1309</v>
      </c>
      <c r="DG64" t="s">
        <v>1310</v>
      </c>
      <c r="DH64" t="s">
        <v>1309</v>
      </c>
      <c r="DI64" t="s">
        <v>1309</v>
      </c>
      <c r="DJ64" t="s">
        <v>1309</v>
      </c>
      <c r="DK64" t="s">
        <v>1309</v>
      </c>
      <c r="DM64" t="s">
        <v>4434</v>
      </c>
      <c r="DO64" t="s">
        <v>1357</v>
      </c>
      <c r="DP64" t="s">
        <v>1309</v>
      </c>
      <c r="DQ64" t="s">
        <v>1309</v>
      </c>
      <c r="DR64" t="s">
        <v>1309</v>
      </c>
      <c r="DS64" t="s">
        <v>1309</v>
      </c>
      <c r="DT64" t="s">
        <v>1310</v>
      </c>
      <c r="DU64" t="s">
        <v>1309</v>
      </c>
      <c r="DV64" t="s">
        <v>1309</v>
      </c>
      <c r="DX64" t="s">
        <v>1358</v>
      </c>
      <c r="DZ64">
        <v>1000</v>
      </c>
      <c r="EB64">
        <v>500</v>
      </c>
      <c r="EC64" t="s">
        <v>1358</v>
      </c>
      <c r="ED64">
        <v>1400</v>
      </c>
      <c r="EF64">
        <v>500</v>
      </c>
      <c r="EG64" t="s">
        <v>1703</v>
      </c>
      <c r="EH64" t="s">
        <v>1310</v>
      </c>
      <c r="EI64" t="s">
        <v>1309</v>
      </c>
      <c r="EJ64" t="s">
        <v>1309</v>
      </c>
      <c r="EK64" t="s">
        <v>1309</v>
      </c>
      <c r="EL64" t="s">
        <v>1309</v>
      </c>
      <c r="EM64" t="s">
        <v>1309</v>
      </c>
      <c r="EN64" t="s">
        <v>1309</v>
      </c>
      <c r="EO64" t="s">
        <v>1309</v>
      </c>
      <c r="EQ64" t="s">
        <v>1319</v>
      </c>
      <c r="ER64" t="s">
        <v>1319</v>
      </c>
      <c r="ES64" t="s">
        <v>1319</v>
      </c>
      <c r="EU64" t="s">
        <v>3087</v>
      </c>
      <c r="EV64" t="s">
        <v>1310</v>
      </c>
      <c r="EW64" t="s">
        <v>1310</v>
      </c>
      <c r="EX64" t="s">
        <v>1310</v>
      </c>
      <c r="EY64" t="s">
        <v>1309</v>
      </c>
      <c r="EZ64" t="s">
        <v>1309</v>
      </c>
      <c r="FA64" t="s">
        <v>1310</v>
      </c>
      <c r="FB64" t="s">
        <v>1309</v>
      </c>
      <c r="FC64" t="s">
        <v>1310</v>
      </c>
      <c r="FD64" t="s">
        <v>1310</v>
      </c>
      <c r="FE64" t="s">
        <v>1309</v>
      </c>
      <c r="FF64" t="s">
        <v>1309</v>
      </c>
      <c r="FG64" t="s">
        <v>1309</v>
      </c>
      <c r="FH64" t="s">
        <v>1310</v>
      </c>
      <c r="FI64" t="s">
        <v>1309</v>
      </c>
      <c r="FJ64" t="s">
        <v>1309</v>
      </c>
      <c r="FK64" t="s">
        <v>1309</v>
      </c>
      <c r="FL64" t="s">
        <v>1309</v>
      </c>
      <c r="FN64" t="s">
        <v>1307</v>
      </c>
      <c r="GC64" t="s">
        <v>1436</v>
      </c>
      <c r="GD64" t="s">
        <v>1436</v>
      </c>
      <c r="GE64" t="s">
        <v>1319</v>
      </c>
      <c r="GF64" t="s">
        <v>2169</v>
      </c>
      <c r="GG64" t="s">
        <v>1310</v>
      </c>
      <c r="GH64" t="s">
        <v>1310</v>
      </c>
      <c r="GI64" t="s">
        <v>1309</v>
      </c>
      <c r="GJ64" t="s">
        <v>1309</v>
      </c>
      <c r="GK64" t="s">
        <v>1309</v>
      </c>
      <c r="GL64" t="s">
        <v>1309</v>
      </c>
      <c r="GN64" t="s">
        <v>1364</v>
      </c>
      <c r="HB64" t="s">
        <v>1319</v>
      </c>
      <c r="HC64" t="s">
        <v>1423</v>
      </c>
      <c r="HD64" t="s">
        <v>1309</v>
      </c>
      <c r="HE64" t="s">
        <v>1309</v>
      </c>
      <c r="HF64" t="s">
        <v>1309</v>
      </c>
      <c r="HG64" t="s">
        <v>1309</v>
      </c>
      <c r="HH64" t="s">
        <v>1310</v>
      </c>
      <c r="HI64" t="s">
        <v>1309</v>
      </c>
      <c r="HJ64" t="s">
        <v>1309</v>
      </c>
      <c r="HK64" t="s">
        <v>1309</v>
      </c>
      <c r="HL64" t="s">
        <v>1309</v>
      </c>
      <c r="HM64" t="s">
        <v>1309</v>
      </c>
      <c r="HN64" t="s">
        <v>1309</v>
      </c>
      <c r="HO64" t="s">
        <v>1309</v>
      </c>
      <c r="HP64" t="s">
        <v>1309</v>
      </c>
      <c r="HR64" t="s">
        <v>1515</v>
      </c>
      <c r="HS64" t="s">
        <v>1310</v>
      </c>
      <c r="HT64" t="s">
        <v>1310</v>
      </c>
      <c r="HU64" t="s">
        <v>1309</v>
      </c>
      <c r="HV64" t="s">
        <v>1310</v>
      </c>
      <c r="HW64" t="s">
        <v>1309</v>
      </c>
      <c r="HX64" t="s">
        <v>1309</v>
      </c>
      <c r="HY64" t="s">
        <v>1309</v>
      </c>
      <c r="HZ64" t="s">
        <v>1309</v>
      </c>
      <c r="IB64" s="92" t="s">
        <v>1516</v>
      </c>
      <c r="IC64" s="92" t="s">
        <v>1849</v>
      </c>
      <c r="ID64" s="92">
        <v>54</v>
      </c>
      <c r="IE64" s="92" t="s">
        <v>1307</v>
      </c>
      <c r="IF64" s="92" t="s">
        <v>4396</v>
      </c>
      <c r="IG64" s="92" t="s">
        <v>1336</v>
      </c>
      <c r="IH64" s="92" t="s">
        <v>1296</v>
      </c>
      <c r="II64" s="92" t="s">
        <v>70</v>
      </c>
      <c r="IJ64" s="92" t="s">
        <v>5549</v>
      </c>
      <c r="IK64" s="92" t="s">
        <v>1337</v>
      </c>
      <c r="IL64" s="92" t="s">
        <v>4845</v>
      </c>
      <c r="IM64" s="92" t="s">
        <v>1338</v>
      </c>
      <c r="IN64" s="92" t="s">
        <v>109</v>
      </c>
      <c r="IO64" s="92" t="s">
        <v>4847</v>
      </c>
      <c r="IP64" s="92" t="s">
        <v>1452</v>
      </c>
      <c r="IQ64" s="92">
        <v>1500</v>
      </c>
      <c r="IR64" s="92" t="s">
        <v>1372</v>
      </c>
      <c r="IS64" s="92" t="s">
        <v>192</v>
      </c>
      <c r="IT64" s="92" t="s">
        <v>109</v>
      </c>
      <c r="IU64" s="92" t="s">
        <v>192</v>
      </c>
      <c r="IV64" s="92" t="s">
        <v>109</v>
      </c>
      <c r="IW64" s="92" t="s">
        <v>1440</v>
      </c>
      <c r="IX64" s="92">
        <v>1900</v>
      </c>
      <c r="IY64" s="92" t="s">
        <v>1372</v>
      </c>
      <c r="IZ64" s="92" t="s">
        <v>1440</v>
      </c>
      <c r="JA64" s="92" t="s">
        <v>1375</v>
      </c>
      <c r="JB64" s="92" t="s">
        <v>192</v>
      </c>
      <c r="JC64" s="92" t="s">
        <v>5795</v>
      </c>
      <c r="JD64" s="92" t="s">
        <v>109</v>
      </c>
      <c r="JE64" s="92" t="s">
        <v>109</v>
      </c>
      <c r="JF64" s="92" t="s">
        <v>1372</v>
      </c>
      <c r="JG64" s="92" t="s">
        <v>4438</v>
      </c>
      <c r="JH64" s="92" t="s">
        <v>109</v>
      </c>
      <c r="JI64" s="92" t="s">
        <v>109</v>
      </c>
    </row>
    <row r="65" spans="1:269" x14ac:dyDescent="0.25">
      <c r="A65" t="s">
        <v>3088</v>
      </c>
      <c r="B65" t="s">
        <v>3089</v>
      </c>
      <c r="C65" t="s">
        <v>1305</v>
      </c>
      <c r="D65" t="s">
        <v>1381</v>
      </c>
      <c r="F65" t="s">
        <v>1319</v>
      </c>
      <c r="G65" t="s">
        <v>1319</v>
      </c>
      <c r="H65">
        <v>3</v>
      </c>
      <c r="I65" t="s">
        <v>1358</v>
      </c>
      <c r="J65" t="s">
        <v>1614</v>
      </c>
      <c r="K65" t="s">
        <v>1309</v>
      </c>
      <c r="L65" t="s">
        <v>1310</v>
      </c>
      <c r="M65" t="s">
        <v>1310</v>
      </c>
      <c r="N65" t="s">
        <v>1309</v>
      </c>
      <c r="O65" t="s">
        <v>1310</v>
      </c>
      <c r="P65" t="s">
        <v>1309</v>
      </c>
      <c r="Q65" t="s">
        <v>1309</v>
      </c>
      <c r="R65" t="s">
        <v>1309</v>
      </c>
      <c r="S65">
        <v>1</v>
      </c>
      <c r="T65">
        <v>1</v>
      </c>
      <c r="U65" t="s">
        <v>1486</v>
      </c>
      <c r="V65" t="s">
        <v>1312</v>
      </c>
      <c r="W65" t="s">
        <v>1312</v>
      </c>
      <c r="X65" t="s">
        <v>1312</v>
      </c>
      <c r="Y65" t="s">
        <v>1312</v>
      </c>
      <c r="Z65" t="s">
        <v>1312</v>
      </c>
      <c r="AC65">
        <v>2</v>
      </c>
      <c r="AD65">
        <v>4500</v>
      </c>
      <c r="AE65">
        <v>2500</v>
      </c>
      <c r="AF65" t="s">
        <v>1313</v>
      </c>
      <c r="AH65" t="s">
        <v>1319</v>
      </c>
      <c r="AI65" t="s">
        <v>4879</v>
      </c>
      <c r="AK65" t="s">
        <v>1307</v>
      </c>
      <c r="CG65" t="s">
        <v>1698</v>
      </c>
      <c r="CH65" t="s">
        <v>1309</v>
      </c>
      <c r="CI65" t="s">
        <v>1309</v>
      </c>
      <c r="CJ65" t="s">
        <v>1309</v>
      </c>
      <c r="CK65" t="s">
        <v>1309</v>
      </c>
      <c r="CL65" t="s">
        <v>1309</v>
      </c>
      <c r="CM65" t="s">
        <v>1309</v>
      </c>
      <c r="CN65" t="s">
        <v>1309</v>
      </c>
      <c r="CO65" t="s">
        <v>1309</v>
      </c>
      <c r="CP65" t="s">
        <v>1309</v>
      </c>
      <c r="CQ65" t="s">
        <v>1309</v>
      </c>
      <c r="CR65" t="s">
        <v>1309</v>
      </c>
      <c r="CS65" t="s">
        <v>1309</v>
      </c>
      <c r="CT65" t="s">
        <v>1310</v>
      </c>
      <c r="CU65" t="s">
        <v>1309</v>
      </c>
      <c r="CV65" t="s">
        <v>1309</v>
      </c>
      <c r="CW65" t="s">
        <v>3005</v>
      </c>
      <c r="CX65" t="s">
        <v>2508</v>
      </c>
      <c r="CY65" t="s">
        <v>1309</v>
      </c>
      <c r="CZ65" t="s">
        <v>1309</v>
      </c>
      <c r="DA65" t="s">
        <v>1309</v>
      </c>
      <c r="DB65" t="s">
        <v>1309</v>
      </c>
      <c r="DC65" t="s">
        <v>1309</v>
      </c>
      <c r="DD65" t="s">
        <v>1309</v>
      </c>
      <c r="DE65" t="s">
        <v>1309</v>
      </c>
      <c r="DF65" t="s">
        <v>1310</v>
      </c>
      <c r="DG65" t="s">
        <v>1309</v>
      </c>
      <c r="DH65" t="s">
        <v>1309</v>
      </c>
      <c r="DI65" t="s">
        <v>1309</v>
      </c>
      <c r="DJ65" t="s">
        <v>1309</v>
      </c>
      <c r="DK65" t="s">
        <v>1309</v>
      </c>
      <c r="DM65" t="s">
        <v>4434</v>
      </c>
      <c r="DO65" t="s">
        <v>1308</v>
      </c>
      <c r="DP65" t="s">
        <v>1310</v>
      </c>
      <c r="DQ65" t="s">
        <v>1309</v>
      </c>
      <c r="DR65" t="s">
        <v>1309</v>
      </c>
      <c r="DS65" t="s">
        <v>1309</v>
      </c>
      <c r="DT65" t="s">
        <v>1309</v>
      </c>
      <c r="DU65" t="s">
        <v>1309</v>
      </c>
      <c r="DV65" t="s">
        <v>1309</v>
      </c>
      <c r="DX65" t="s">
        <v>1358</v>
      </c>
      <c r="DZ65">
        <v>900</v>
      </c>
      <c r="EB65">
        <v>350</v>
      </c>
      <c r="EC65" t="s">
        <v>1414</v>
      </c>
      <c r="EG65" t="s">
        <v>2930</v>
      </c>
      <c r="EH65" t="s">
        <v>1309</v>
      </c>
      <c r="EI65" t="s">
        <v>1309</v>
      </c>
      <c r="EJ65" t="s">
        <v>1309</v>
      </c>
      <c r="EK65" t="s">
        <v>1309</v>
      </c>
      <c r="EL65" t="s">
        <v>1310</v>
      </c>
      <c r="EM65" t="s">
        <v>1309</v>
      </c>
      <c r="EN65" t="s">
        <v>1309</v>
      </c>
      <c r="EO65" t="s">
        <v>1309</v>
      </c>
      <c r="EQ65" t="s">
        <v>1307</v>
      </c>
      <c r="ER65" t="s">
        <v>1319</v>
      </c>
      <c r="ES65" t="s">
        <v>1319</v>
      </c>
      <c r="EU65" t="s">
        <v>1458</v>
      </c>
      <c r="EV65" t="s">
        <v>1310</v>
      </c>
      <c r="EW65" t="s">
        <v>1309</v>
      </c>
      <c r="EX65" t="s">
        <v>1309</v>
      </c>
      <c r="EY65" t="s">
        <v>1309</v>
      </c>
      <c r="EZ65" t="s">
        <v>1309</v>
      </c>
      <c r="FA65" t="s">
        <v>1309</v>
      </c>
      <c r="FB65" t="s">
        <v>1310</v>
      </c>
      <c r="FC65" t="s">
        <v>1309</v>
      </c>
      <c r="FD65" t="s">
        <v>1309</v>
      </c>
      <c r="FE65" t="s">
        <v>1309</v>
      </c>
      <c r="FF65" t="s">
        <v>1309</v>
      </c>
      <c r="FG65" t="s">
        <v>1309</v>
      </c>
      <c r="FH65" t="s">
        <v>1309</v>
      </c>
      <c r="FI65" t="s">
        <v>1309</v>
      </c>
      <c r="FJ65" t="s">
        <v>1309</v>
      </c>
      <c r="FK65" t="s">
        <v>1309</v>
      </c>
      <c r="FL65" t="s">
        <v>1309</v>
      </c>
      <c r="FN65" t="s">
        <v>1319</v>
      </c>
      <c r="FO65" t="s">
        <v>1649</v>
      </c>
      <c r="FP65" t="s">
        <v>1310</v>
      </c>
      <c r="FQ65" t="s">
        <v>1310</v>
      </c>
      <c r="FR65" t="s">
        <v>1309</v>
      </c>
      <c r="FS65" t="s">
        <v>1309</v>
      </c>
      <c r="FT65" t="s">
        <v>1309</v>
      </c>
      <c r="FU65" t="s">
        <v>1309</v>
      </c>
      <c r="FV65" t="s">
        <v>1309</v>
      </c>
      <c r="FW65" t="s">
        <v>1309</v>
      </c>
      <c r="FX65" t="s">
        <v>1309</v>
      </c>
      <c r="FY65" t="s">
        <v>1309</v>
      </c>
      <c r="FZ65" t="s">
        <v>1309</v>
      </c>
      <c r="GA65" t="s">
        <v>1309</v>
      </c>
      <c r="GC65" t="s">
        <v>1436</v>
      </c>
      <c r="GD65" t="s">
        <v>1436</v>
      </c>
      <c r="GE65" t="s">
        <v>1319</v>
      </c>
      <c r="GF65" t="s">
        <v>1619</v>
      </c>
      <c r="GG65" t="s">
        <v>1310</v>
      </c>
      <c r="GH65" t="s">
        <v>1309</v>
      </c>
      <c r="GI65" t="s">
        <v>1309</v>
      </c>
      <c r="GJ65" t="s">
        <v>1309</v>
      </c>
      <c r="GK65" t="s">
        <v>1309</v>
      </c>
      <c r="GL65" t="s">
        <v>1309</v>
      </c>
      <c r="GN65" t="s">
        <v>1437</v>
      </c>
      <c r="GO65" t="s">
        <v>1549</v>
      </c>
      <c r="GP65" t="s">
        <v>1310</v>
      </c>
      <c r="GQ65" t="s">
        <v>1310</v>
      </c>
      <c r="GR65" t="s">
        <v>1309</v>
      </c>
      <c r="GS65" t="s">
        <v>1309</v>
      </c>
      <c r="GT65" t="s">
        <v>1309</v>
      </c>
      <c r="GU65" t="s">
        <v>1309</v>
      </c>
      <c r="GV65" t="s">
        <v>1309</v>
      </c>
      <c r="GW65" t="s">
        <v>1309</v>
      </c>
      <c r="GX65" t="s">
        <v>1309</v>
      </c>
      <c r="GY65" t="s">
        <v>1309</v>
      </c>
      <c r="GZ65" t="s">
        <v>1309</v>
      </c>
      <c r="HB65" t="s">
        <v>1307</v>
      </c>
      <c r="HR65" t="s">
        <v>1523</v>
      </c>
      <c r="HS65" t="s">
        <v>1309</v>
      </c>
      <c r="HT65" t="s">
        <v>1309</v>
      </c>
      <c r="HU65" t="s">
        <v>1309</v>
      </c>
      <c r="HV65" t="s">
        <v>1310</v>
      </c>
      <c r="HW65" t="s">
        <v>1309</v>
      </c>
      <c r="HX65" t="s">
        <v>1309</v>
      </c>
      <c r="HY65" t="s">
        <v>1309</v>
      </c>
      <c r="HZ65" t="s">
        <v>1309</v>
      </c>
      <c r="IB65" s="92" t="s">
        <v>1333</v>
      </c>
      <c r="IC65" s="92" t="s">
        <v>1334</v>
      </c>
      <c r="ID65" s="92">
        <v>38</v>
      </c>
      <c r="IE65" s="92" t="s">
        <v>1307</v>
      </c>
      <c r="IF65" s="92" t="s">
        <v>4398</v>
      </c>
      <c r="IG65" s="92" t="s">
        <v>1336</v>
      </c>
      <c r="IH65" s="92" t="s">
        <v>1296</v>
      </c>
      <c r="II65" s="92" t="s">
        <v>71</v>
      </c>
      <c r="IJ65" s="92" t="s">
        <v>1397</v>
      </c>
      <c r="IK65" s="92" t="s">
        <v>1337</v>
      </c>
      <c r="IL65" s="92" t="s">
        <v>4845</v>
      </c>
      <c r="IM65" s="92" t="s">
        <v>1370</v>
      </c>
      <c r="IN65" s="92" t="s">
        <v>192</v>
      </c>
      <c r="IO65" s="92" t="s">
        <v>4847</v>
      </c>
      <c r="IP65" s="92" t="s">
        <v>5560</v>
      </c>
      <c r="IQ65" s="92">
        <v>1250</v>
      </c>
      <c r="IR65" s="92" t="s">
        <v>4439</v>
      </c>
      <c r="IS65" s="92" t="s">
        <v>192</v>
      </c>
      <c r="IT65" s="92" t="s">
        <v>109</v>
      </c>
      <c r="IU65" s="92" t="s">
        <v>109</v>
      </c>
      <c r="IV65" s="92" t="s">
        <v>109</v>
      </c>
      <c r="IW65" s="92" t="s">
        <v>1440</v>
      </c>
      <c r="IX65" s="92">
        <v>0</v>
      </c>
      <c r="IY65" s="92" t="s">
        <v>1372</v>
      </c>
      <c r="IZ65" s="92" t="s">
        <v>1373</v>
      </c>
      <c r="JA65" s="92" t="s">
        <v>1460</v>
      </c>
      <c r="JB65" s="92" t="s">
        <v>192</v>
      </c>
      <c r="JC65" s="92" t="s">
        <v>1403</v>
      </c>
      <c r="JD65" s="92" t="s">
        <v>109</v>
      </c>
      <c r="JE65" s="92" t="s">
        <v>109</v>
      </c>
      <c r="JF65" s="92" t="s">
        <v>4439</v>
      </c>
      <c r="JG65" s="92" t="s">
        <v>1372</v>
      </c>
      <c r="JH65" s="92" t="s">
        <v>109</v>
      </c>
      <c r="JI65" s="92" t="s">
        <v>109</v>
      </c>
    </row>
    <row r="66" spans="1:269" x14ac:dyDescent="0.25">
      <c r="A66" t="s">
        <v>3090</v>
      </c>
      <c r="B66" t="s">
        <v>3091</v>
      </c>
      <c r="C66" t="s">
        <v>1305</v>
      </c>
      <c r="D66" t="s">
        <v>1306</v>
      </c>
      <c r="F66" t="s">
        <v>1307</v>
      </c>
      <c r="G66" t="s">
        <v>1319</v>
      </c>
      <c r="H66">
        <v>4</v>
      </c>
      <c r="I66" t="s">
        <v>1307</v>
      </c>
      <c r="J66" t="s">
        <v>1553</v>
      </c>
      <c r="K66" t="s">
        <v>1310</v>
      </c>
      <c r="L66" t="s">
        <v>1310</v>
      </c>
      <c r="M66" t="s">
        <v>1309</v>
      </c>
      <c r="N66" t="s">
        <v>1309</v>
      </c>
      <c r="O66" t="s">
        <v>1309</v>
      </c>
      <c r="P66" t="s">
        <v>1310</v>
      </c>
      <c r="Q66" t="s">
        <v>1309</v>
      </c>
      <c r="R66" t="s">
        <v>1309</v>
      </c>
      <c r="S66">
        <v>3</v>
      </c>
      <c r="U66" t="s">
        <v>1312</v>
      </c>
      <c r="V66" t="s">
        <v>1312</v>
      </c>
      <c r="W66" t="s">
        <v>1312</v>
      </c>
      <c r="X66" t="s">
        <v>1312</v>
      </c>
      <c r="Y66" t="s">
        <v>1312</v>
      </c>
      <c r="Z66" t="s">
        <v>1312</v>
      </c>
      <c r="AC66">
        <v>1</v>
      </c>
      <c r="AD66">
        <v>1000</v>
      </c>
      <c r="AE66">
        <v>6000</v>
      </c>
      <c r="AF66" t="s">
        <v>1313</v>
      </c>
      <c r="AH66" t="s">
        <v>1307</v>
      </c>
      <c r="AI66" t="s">
        <v>4879</v>
      </c>
      <c r="AK66" t="s">
        <v>1307</v>
      </c>
      <c r="CG66" t="s">
        <v>2853</v>
      </c>
      <c r="CH66" t="s">
        <v>1309</v>
      </c>
      <c r="CI66" t="s">
        <v>1309</v>
      </c>
      <c r="CJ66" t="s">
        <v>1309</v>
      </c>
      <c r="CK66" t="s">
        <v>1310</v>
      </c>
      <c r="CL66" t="s">
        <v>1309</v>
      </c>
      <c r="CM66" t="s">
        <v>1309</v>
      </c>
      <c r="CN66" t="s">
        <v>1309</v>
      </c>
      <c r="CO66" t="s">
        <v>1309</v>
      </c>
      <c r="CP66" t="s">
        <v>1309</v>
      </c>
      <c r="CQ66" t="s">
        <v>1309</v>
      </c>
      <c r="CR66" t="s">
        <v>1309</v>
      </c>
      <c r="CS66" t="s">
        <v>1309</v>
      </c>
      <c r="CT66" t="s">
        <v>1309</v>
      </c>
      <c r="CU66" t="s">
        <v>1309</v>
      </c>
      <c r="CV66" t="s">
        <v>1309</v>
      </c>
      <c r="CX66" t="s">
        <v>1384</v>
      </c>
      <c r="CY66" t="s">
        <v>1310</v>
      </c>
      <c r="CZ66" t="s">
        <v>1309</v>
      </c>
      <c r="DA66" t="s">
        <v>1309</v>
      </c>
      <c r="DB66" t="s">
        <v>1309</v>
      </c>
      <c r="DC66" t="s">
        <v>1309</v>
      </c>
      <c r="DD66" t="s">
        <v>1309</v>
      </c>
      <c r="DE66" t="s">
        <v>1309</v>
      </c>
      <c r="DF66" t="s">
        <v>1309</v>
      </c>
      <c r="DG66" t="s">
        <v>1309</v>
      </c>
      <c r="DH66" t="s">
        <v>1309</v>
      </c>
      <c r="DI66" t="s">
        <v>1309</v>
      </c>
      <c r="DJ66" t="s">
        <v>1309</v>
      </c>
      <c r="DK66" t="s">
        <v>1309</v>
      </c>
      <c r="DM66" t="s">
        <v>4435</v>
      </c>
      <c r="DO66" t="s">
        <v>1308</v>
      </c>
      <c r="DP66" t="s">
        <v>1310</v>
      </c>
      <c r="DQ66" t="s">
        <v>1309</v>
      </c>
      <c r="DR66" t="s">
        <v>1309</v>
      </c>
      <c r="DS66" t="s">
        <v>1309</v>
      </c>
      <c r="DT66" t="s">
        <v>1309</v>
      </c>
      <c r="DU66" t="s">
        <v>1309</v>
      </c>
      <c r="DV66" t="s">
        <v>1309</v>
      </c>
      <c r="DX66" t="s">
        <v>1358</v>
      </c>
      <c r="DY66" t="s">
        <v>1319</v>
      </c>
      <c r="DZ66">
        <v>150</v>
      </c>
      <c r="EA66">
        <v>1400</v>
      </c>
      <c r="EB66">
        <v>800</v>
      </c>
      <c r="EC66" t="s">
        <v>1318</v>
      </c>
      <c r="ED66">
        <v>200</v>
      </c>
      <c r="EE66">
        <v>1900</v>
      </c>
      <c r="EF66">
        <v>900</v>
      </c>
      <c r="EG66" t="s">
        <v>1703</v>
      </c>
      <c r="EH66" t="s">
        <v>1310</v>
      </c>
      <c r="EI66" t="s">
        <v>1309</v>
      </c>
      <c r="EJ66" t="s">
        <v>1309</v>
      </c>
      <c r="EK66" t="s">
        <v>1309</v>
      </c>
      <c r="EL66" t="s">
        <v>1309</v>
      </c>
      <c r="EM66" t="s">
        <v>1309</v>
      </c>
      <c r="EN66" t="s">
        <v>1309</v>
      </c>
      <c r="EO66" t="s">
        <v>1309</v>
      </c>
      <c r="EQ66" t="s">
        <v>1307</v>
      </c>
      <c r="ER66" t="s">
        <v>1319</v>
      </c>
      <c r="ES66" t="s">
        <v>1319</v>
      </c>
      <c r="EU66" t="s">
        <v>3092</v>
      </c>
      <c r="EV66" t="s">
        <v>1310</v>
      </c>
      <c r="EW66" t="s">
        <v>1309</v>
      </c>
      <c r="EX66" t="s">
        <v>1310</v>
      </c>
      <c r="EY66" t="s">
        <v>1309</v>
      </c>
      <c r="EZ66" t="s">
        <v>1309</v>
      </c>
      <c r="FA66" t="s">
        <v>1309</v>
      </c>
      <c r="FB66" t="s">
        <v>1309</v>
      </c>
      <c r="FC66" t="s">
        <v>1310</v>
      </c>
      <c r="FD66" t="s">
        <v>1310</v>
      </c>
      <c r="FE66" t="s">
        <v>1309</v>
      </c>
      <c r="FF66" t="s">
        <v>1309</v>
      </c>
      <c r="FG66" t="s">
        <v>1309</v>
      </c>
      <c r="FH66" t="s">
        <v>1309</v>
      </c>
      <c r="FI66" t="s">
        <v>1309</v>
      </c>
      <c r="FJ66" t="s">
        <v>1309</v>
      </c>
      <c r="FK66" t="s">
        <v>1309</v>
      </c>
      <c r="FL66" t="s">
        <v>1309</v>
      </c>
      <c r="FN66" t="s">
        <v>1319</v>
      </c>
      <c r="FO66" t="s">
        <v>1649</v>
      </c>
      <c r="FP66" t="s">
        <v>1310</v>
      </c>
      <c r="FQ66" t="s">
        <v>1310</v>
      </c>
      <c r="FR66" t="s">
        <v>1309</v>
      </c>
      <c r="FS66" t="s">
        <v>1309</v>
      </c>
      <c r="FT66" t="s">
        <v>1309</v>
      </c>
      <c r="FU66" t="s">
        <v>1309</v>
      </c>
      <c r="FV66" t="s">
        <v>1309</v>
      </c>
      <c r="FW66" t="s">
        <v>1309</v>
      </c>
      <c r="FX66" t="s">
        <v>1309</v>
      </c>
      <c r="FY66" t="s">
        <v>1309</v>
      </c>
      <c r="FZ66" t="s">
        <v>1309</v>
      </c>
      <c r="GA66" t="s">
        <v>1309</v>
      </c>
      <c r="GC66" t="s">
        <v>1448</v>
      </c>
      <c r="GD66" t="s">
        <v>1448</v>
      </c>
      <c r="GN66" t="s">
        <v>1692</v>
      </c>
      <c r="GO66" t="s">
        <v>1329</v>
      </c>
      <c r="GP66" t="s">
        <v>1309</v>
      </c>
      <c r="GQ66" t="s">
        <v>1309</v>
      </c>
      <c r="GR66" t="s">
        <v>1309</v>
      </c>
      <c r="GS66" t="s">
        <v>1310</v>
      </c>
      <c r="GT66" t="s">
        <v>1309</v>
      </c>
      <c r="GU66" t="s">
        <v>1309</v>
      </c>
      <c r="GV66" t="s">
        <v>1309</v>
      </c>
      <c r="GW66" t="s">
        <v>1309</v>
      </c>
      <c r="GX66" t="s">
        <v>1309</v>
      </c>
      <c r="GY66" t="s">
        <v>1309</v>
      </c>
      <c r="GZ66" t="s">
        <v>1309</v>
      </c>
      <c r="HB66" t="s">
        <v>1307</v>
      </c>
      <c r="HR66" t="s">
        <v>1507</v>
      </c>
      <c r="HS66" t="s">
        <v>1309</v>
      </c>
      <c r="HT66" t="s">
        <v>1309</v>
      </c>
      <c r="HU66" t="s">
        <v>1310</v>
      </c>
      <c r="HV66" t="s">
        <v>1310</v>
      </c>
      <c r="HW66" t="s">
        <v>1309</v>
      </c>
      <c r="HX66" t="s">
        <v>1309</v>
      </c>
      <c r="HY66" t="s">
        <v>1309</v>
      </c>
      <c r="HZ66" t="s">
        <v>1309</v>
      </c>
      <c r="IB66" s="92" t="s">
        <v>1524</v>
      </c>
      <c r="IC66" s="92" t="s">
        <v>1525</v>
      </c>
      <c r="ID66" s="92">
        <v>34</v>
      </c>
      <c r="IE66" s="92" t="s">
        <v>1307</v>
      </c>
      <c r="IF66" s="92" t="s">
        <v>4398</v>
      </c>
      <c r="IG66" s="92" t="s">
        <v>1526</v>
      </c>
      <c r="IH66" s="92" t="s">
        <v>1296</v>
      </c>
      <c r="II66" s="92" t="s">
        <v>71</v>
      </c>
      <c r="IJ66" s="92" t="s">
        <v>5549</v>
      </c>
      <c r="IK66" s="92" t="s">
        <v>1398</v>
      </c>
      <c r="IL66" s="92" t="s">
        <v>4845</v>
      </c>
      <c r="IM66" s="92" t="s">
        <v>1399</v>
      </c>
      <c r="IN66" s="92" t="s">
        <v>109</v>
      </c>
      <c r="IO66" s="92" t="s">
        <v>4844</v>
      </c>
      <c r="IP66" s="92" t="s">
        <v>5561</v>
      </c>
      <c r="IQ66" s="92">
        <v>2350</v>
      </c>
      <c r="IR66" s="92" t="s">
        <v>1426</v>
      </c>
      <c r="IS66" s="92" t="s">
        <v>192</v>
      </c>
      <c r="IT66" s="92" t="s">
        <v>192</v>
      </c>
      <c r="IU66" s="92" t="s">
        <v>192</v>
      </c>
      <c r="IV66" s="92" t="s">
        <v>192</v>
      </c>
      <c r="IW66" s="92" t="s">
        <v>1425</v>
      </c>
      <c r="IX66" s="92">
        <v>3000</v>
      </c>
      <c r="IY66" s="92" t="s">
        <v>1426</v>
      </c>
      <c r="IZ66" s="92" t="s">
        <v>1425</v>
      </c>
      <c r="JA66" s="92" t="s">
        <v>1342</v>
      </c>
      <c r="JB66" s="92" t="s">
        <v>192</v>
      </c>
      <c r="JC66" s="92" t="s">
        <v>5795</v>
      </c>
      <c r="JD66" s="92" t="s">
        <v>109</v>
      </c>
      <c r="JE66" s="92" t="s">
        <v>109</v>
      </c>
      <c r="JF66" s="92" t="s">
        <v>4439</v>
      </c>
      <c r="JG66" s="92" t="s">
        <v>4439</v>
      </c>
      <c r="JH66" s="92" t="s">
        <v>192</v>
      </c>
      <c r="JI66" s="92" t="s">
        <v>192</v>
      </c>
    </row>
    <row r="67" spans="1:269" x14ac:dyDescent="0.25">
      <c r="A67" t="s">
        <v>3093</v>
      </c>
      <c r="B67" t="s">
        <v>3094</v>
      </c>
      <c r="C67" t="s">
        <v>1429</v>
      </c>
      <c r="D67" t="s">
        <v>1381</v>
      </c>
      <c r="F67" t="s">
        <v>1319</v>
      </c>
      <c r="G67" t="s">
        <v>1319</v>
      </c>
      <c r="H67">
        <v>3</v>
      </c>
      <c r="I67" t="s">
        <v>1307</v>
      </c>
      <c r="J67" t="s">
        <v>1430</v>
      </c>
      <c r="K67" t="s">
        <v>1309</v>
      </c>
      <c r="L67" t="s">
        <v>1309</v>
      </c>
      <c r="M67" t="s">
        <v>1310</v>
      </c>
      <c r="N67" t="s">
        <v>1309</v>
      </c>
      <c r="O67" t="s">
        <v>1309</v>
      </c>
      <c r="P67" t="s">
        <v>1309</v>
      </c>
      <c r="Q67" t="s">
        <v>1309</v>
      </c>
      <c r="R67" t="s">
        <v>1309</v>
      </c>
      <c r="T67">
        <v>1</v>
      </c>
      <c r="U67" t="s">
        <v>1311</v>
      </c>
      <c r="V67" t="s">
        <v>1312</v>
      </c>
      <c r="W67" t="s">
        <v>1312</v>
      </c>
      <c r="X67" t="s">
        <v>1312</v>
      </c>
      <c r="Y67" t="s">
        <v>1312</v>
      </c>
      <c r="Z67" t="s">
        <v>1312</v>
      </c>
      <c r="AC67">
        <v>2</v>
      </c>
      <c r="AD67">
        <v>10000</v>
      </c>
      <c r="AE67">
        <v>10000</v>
      </c>
      <c r="AF67" t="s">
        <v>1351</v>
      </c>
      <c r="AH67" t="s">
        <v>1319</v>
      </c>
      <c r="AI67" t="s">
        <v>4879</v>
      </c>
      <c r="AK67" t="s">
        <v>1319</v>
      </c>
      <c r="AL67" t="s">
        <v>1353</v>
      </c>
      <c r="AN67" t="s">
        <v>1316</v>
      </c>
      <c r="BC67" t="s">
        <v>1316</v>
      </c>
      <c r="BU67" t="s">
        <v>1414</v>
      </c>
      <c r="BV67" t="s">
        <v>1309</v>
      </c>
      <c r="BW67" t="s">
        <v>1309</v>
      </c>
      <c r="BX67" t="s">
        <v>1309</v>
      </c>
      <c r="BY67" t="s">
        <v>1309</v>
      </c>
      <c r="BZ67" t="s">
        <v>1309</v>
      </c>
      <c r="CA67" t="s">
        <v>1309</v>
      </c>
      <c r="CB67" t="s">
        <v>1309</v>
      </c>
      <c r="CC67" t="s">
        <v>1309</v>
      </c>
      <c r="CD67" t="s">
        <v>1310</v>
      </c>
      <c r="CE67" t="s">
        <v>1309</v>
      </c>
      <c r="CX67" t="s">
        <v>1702</v>
      </c>
      <c r="CY67" t="s">
        <v>1310</v>
      </c>
      <c r="CZ67" t="s">
        <v>1309</v>
      </c>
      <c r="DA67" t="s">
        <v>1309</v>
      </c>
      <c r="DB67" t="s">
        <v>1309</v>
      </c>
      <c r="DC67" t="s">
        <v>1309</v>
      </c>
      <c r="DD67" t="s">
        <v>1309</v>
      </c>
      <c r="DE67" t="s">
        <v>1309</v>
      </c>
      <c r="DF67" t="s">
        <v>1309</v>
      </c>
      <c r="DG67" t="s">
        <v>1309</v>
      </c>
      <c r="DH67" t="s">
        <v>1310</v>
      </c>
      <c r="DI67" t="s">
        <v>1309</v>
      </c>
      <c r="DJ67" t="s">
        <v>1309</v>
      </c>
      <c r="DK67" t="s">
        <v>1309</v>
      </c>
      <c r="DM67" t="s">
        <v>4436</v>
      </c>
      <c r="DO67" t="s">
        <v>1357</v>
      </c>
      <c r="DP67" t="s">
        <v>1309</v>
      </c>
      <c r="DQ67" t="s">
        <v>1309</v>
      </c>
      <c r="DR67" t="s">
        <v>1309</v>
      </c>
      <c r="DS67" t="s">
        <v>1309</v>
      </c>
      <c r="DT67" t="s">
        <v>1310</v>
      </c>
      <c r="DU67" t="s">
        <v>1309</v>
      </c>
      <c r="DV67" t="s">
        <v>1309</v>
      </c>
      <c r="DX67" t="s">
        <v>1358</v>
      </c>
      <c r="DY67" t="s">
        <v>1319</v>
      </c>
      <c r="DZ67">
        <v>500</v>
      </c>
      <c r="EB67">
        <v>500</v>
      </c>
      <c r="EC67" t="s">
        <v>1358</v>
      </c>
      <c r="EF67">
        <v>500</v>
      </c>
      <c r="EG67" t="s">
        <v>1703</v>
      </c>
      <c r="EH67" t="s">
        <v>1310</v>
      </c>
      <c r="EI67" t="s">
        <v>1309</v>
      </c>
      <c r="EJ67" t="s">
        <v>1309</v>
      </c>
      <c r="EK67" t="s">
        <v>1309</v>
      </c>
      <c r="EL67" t="s">
        <v>1309</v>
      </c>
      <c r="EM67" t="s">
        <v>1309</v>
      </c>
      <c r="EN67" t="s">
        <v>1309</v>
      </c>
      <c r="EO67" t="s">
        <v>1309</v>
      </c>
      <c r="EQ67" t="s">
        <v>1307</v>
      </c>
      <c r="ER67" t="s">
        <v>1319</v>
      </c>
      <c r="ES67" t="s">
        <v>1319</v>
      </c>
      <c r="ET67" t="s">
        <v>1319</v>
      </c>
      <c r="EU67" t="s">
        <v>2403</v>
      </c>
      <c r="EV67" t="s">
        <v>1309</v>
      </c>
      <c r="EW67" t="s">
        <v>1309</v>
      </c>
      <c r="EX67" t="s">
        <v>1309</v>
      </c>
      <c r="EY67" t="s">
        <v>1310</v>
      </c>
      <c r="EZ67" t="s">
        <v>1309</v>
      </c>
      <c r="FA67" t="s">
        <v>1309</v>
      </c>
      <c r="FB67" t="s">
        <v>1309</v>
      </c>
      <c r="FC67" t="s">
        <v>1310</v>
      </c>
      <c r="FD67" t="s">
        <v>1309</v>
      </c>
      <c r="FE67" t="s">
        <v>1309</v>
      </c>
      <c r="FF67" t="s">
        <v>1309</v>
      </c>
      <c r="FG67" t="s">
        <v>1309</v>
      </c>
      <c r="FH67" t="s">
        <v>1310</v>
      </c>
      <c r="FI67" t="s">
        <v>1309</v>
      </c>
      <c r="FJ67" t="s">
        <v>1309</v>
      </c>
      <c r="FK67" t="s">
        <v>1309</v>
      </c>
      <c r="FL67" t="s">
        <v>1309</v>
      </c>
      <c r="FN67" t="s">
        <v>1307</v>
      </c>
      <c r="GC67" t="s">
        <v>1324</v>
      </c>
      <c r="GD67" t="s">
        <v>1324</v>
      </c>
      <c r="GN67" t="s">
        <v>1364</v>
      </c>
      <c r="HB67" t="s">
        <v>1307</v>
      </c>
      <c r="HR67" t="s">
        <v>1451</v>
      </c>
      <c r="HS67" t="s">
        <v>1310</v>
      </c>
      <c r="HT67" t="s">
        <v>1309</v>
      </c>
      <c r="HU67" t="s">
        <v>1309</v>
      </c>
      <c r="HV67" t="s">
        <v>1310</v>
      </c>
      <c r="HW67" t="s">
        <v>1309</v>
      </c>
      <c r="HX67" t="s">
        <v>1309</v>
      </c>
      <c r="HY67" t="s">
        <v>1309</v>
      </c>
      <c r="HZ67" t="s">
        <v>1309</v>
      </c>
      <c r="IB67" s="92" t="s">
        <v>3095</v>
      </c>
      <c r="IC67" s="92" t="s">
        <v>3096</v>
      </c>
      <c r="ID67" s="92">
        <v>65</v>
      </c>
      <c r="IE67" s="92" t="s">
        <v>1307</v>
      </c>
      <c r="IF67" s="92" t="s">
        <v>4399</v>
      </c>
      <c r="IG67" s="92" t="s">
        <v>1336</v>
      </c>
      <c r="IH67" s="92" t="s">
        <v>1296</v>
      </c>
      <c r="II67" s="92" t="s">
        <v>71</v>
      </c>
      <c r="IJ67" s="92" t="s">
        <v>5549</v>
      </c>
      <c r="IK67" s="92" t="s">
        <v>1369</v>
      </c>
      <c r="IL67" s="92" t="s">
        <v>4845</v>
      </c>
      <c r="IM67" s="92" t="s">
        <v>1439</v>
      </c>
      <c r="IN67" s="92" t="s">
        <v>109</v>
      </c>
      <c r="IO67" s="92" t="s">
        <v>4847</v>
      </c>
      <c r="IP67" s="92" t="s">
        <v>1424</v>
      </c>
      <c r="IQ67" s="92">
        <v>1000</v>
      </c>
      <c r="IR67" s="92" t="s">
        <v>1372</v>
      </c>
      <c r="IS67" s="92" t="s">
        <v>192</v>
      </c>
      <c r="IT67" s="92" t="s">
        <v>109</v>
      </c>
      <c r="IU67" s="92" t="s">
        <v>109</v>
      </c>
      <c r="IV67" s="92" t="s">
        <v>109</v>
      </c>
      <c r="IW67" s="92" t="s">
        <v>1374</v>
      </c>
      <c r="IX67" s="92">
        <v>500</v>
      </c>
      <c r="IY67" s="92" t="s">
        <v>1372</v>
      </c>
      <c r="IZ67" s="92" t="s">
        <v>1373</v>
      </c>
      <c r="JA67" s="92" t="s">
        <v>1375</v>
      </c>
      <c r="JB67" s="92" t="s">
        <v>192</v>
      </c>
      <c r="JC67" s="92" t="s">
        <v>1378</v>
      </c>
      <c r="JD67" s="92" t="s">
        <v>109</v>
      </c>
      <c r="JE67" s="92" t="s">
        <v>109</v>
      </c>
      <c r="JF67" s="92" t="s">
        <v>1372</v>
      </c>
      <c r="JG67" s="92" t="s">
        <v>1372</v>
      </c>
      <c r="JH67" s="92" t="s">
        <v>192</v>
      </c>
      <c r="JI67" s="92" t="s">
        <v>192</v>
      </c>
    </row>
    <row r="68" spans="1:269" x14ac:dyDescent="0.25">
      <c r="A68" t="s">
        <v>3097</v>
      </c>
      <c r="B68" t="s">
        <v>3098</v>
      </c>
      <c r="C68" t="s">
        <v>1305</v>
      </c>
      <c r="D68" t="s">
        <v>1381</v>
      </c>
      <c r="F68" t="s">
        <v>1319</v>
      </c>
      <c r="G68" t="s">
        <v>1319</v>
      </c>
      <c r="H68">
        <v>1</v>
      </c>
      <c r="J68" t="s">
        <v>1430</v>
      </c>
      <c r="K68" t="s">
        <v>1309</v>
      </c>
      <c r="L68" t="s">
        <v>1309</v>
      </c>
      <c r="M68" t="s">
        <v>1310</v>
      </c>
      <c r="N68" t="s">
        <v>1309</v>
      </c>
      <c r="O68" t="s">
        <v>1309</v>
      </c>
      <c r="P68" t="s">
        <v>1309</v>
      </c>
      <c r="Q68" t="s">
        <v>1309</v>
      </c>
      <c r="R68" t="s">
        <v>1309</v>
      </c>
      <c r="T68">
        <v>1</v>
      </c>
      <c r="U68" t="s">
        <v>1311</v>
      </c>
      <c r="V68" t="s">
        <v>1312</v>
      </c>
      <c r="W68" t="s">
        <v>1312</v>
      </c>
      <c r="X68" t="s">
        <v>1311</v>
      </c>
      <c r="Y68" t="s">
        <v>1312</v>
      </c>
      <c r="Z68" t="s">
        <v>1312</v>
      </c>
      <c r="AC68">
        <v>1</v>
      </c>
      <c r="AD68">
        <v>5000</v>
      </c>
      <c r="AE68">
        <v>2000</v>
      </c>
      <c r="AF68" t="s">
        <v>1313</v>
      </c>
      <c r="AH68" t="s">
        <v>1319</v>
      </c>
      <c r="AI68" t="s">
        <v>4876</v>
      </c>
      <c r="AK68" t="s">
        <v>1307</v>
      </c>
      <c r="CG68" t="s">
        <v>1698</v>
      </c>
      <c r="CH68" t="s">
        <v>1309</v>
      </c>
      <c r="CI68" t="s">
        <v>1309</v>
      </c>
      <c r="CJ68" t="s">
        <v>1309</v>
      </c>
      <c r="CK68" t="s">
        <v>1309</v>
      </c>
      <c r="CL68" t="s">
        <v>1309</v>
      </c>
      <c r="CM68" t="s">
        <v>1309</v>
      </c>
      <c r="CN68" t="s">
        <v>1309</v>
      </c>
      <c r="CO68" t="s">
        <v>1309</v>
      </c>
      <c r="CP68" t="s">
        <v>1309</v>
      </c>
      <c r="CQ68" t="s">
        <v>1309</v>
      </c>
      <c r="CR68" t="s">
        <v>1309</v>
      </c>
      <c r="CS68" t="s">
        <v>1309</v>
      </c>
      <c r="CT68" t="s">
        <v>1310</v>
      </c>
      <c r="CU68" t="s">
        <v>1309</v>
      </c>
      <c r="CV68" t="s">
        <v>1309</v>
      </c>
      <c r="CW68" t="s">
        <v>3099</v>
      </c>
      <c r="CX68" t="s">
        <v>1414</v>
      </c>
      <c r="CY68" t="s">
        <v>1309</v>
      </c>
      <c r="CZ68" t="s">
        <v>1309</v>
      </c>
      <c r="DA68" t="s">
        <v>1309</v>
      </c>
      <c r="DB68" t="s">
        <v>1309</v>
      </c>
      <c r="DC68" t="s">
        <v>1309</v>
      </c>
      <c r="DD68" t="s">
        <v>1309</v>
      </c>
      <c r="DE68" t="s">
        <v>1309</v>
      </c>
      <c r="DF68" t="s">
        <v>1309</v>
      </c>
      <c r="DG68" t="s">
        <v>1309</v>
      </c>
      <c r="DH68" t="s">
        <v>1309</v>
      </c>
      <c r="DI68" t="s">
        <v>1309</v>
      </c>
      <c r="DJ68" t="s">
        <v>1310</v>
      </c>
      <c r="DK68" t="s">
        <v>1309</v>
      </c>
      <c r="DM68" t="s">
        <v>4435</v>
      </c>
      <c r="DO68" t="s">
        <v>1308</v>
      </c>
      <c r="DP68" t="s">
        <v>1310</v>
      </c>
      <c r="DQ68" t="s">
        <v>1309</v>
      </c>
      <c r="DR68" t="s">
        <v>1309</v>
      </c>
      <c r="DS68" t="s">
        <v>1309</v>
      </c>
      <c r="DT68" t="s">
        <v>1309</v>
      </c>
      <c r="DU68" t="s">
        <v>1309</v>
      </c>
      <c r="DV68" t="s">
        <v>1309</v>
      </c>
      <c r="DX68" t="s">
        <v>1358</v>
      </c>
      <c r="DY68" t="s">
        <v>1319</v>
      </c>
      <c r="DZ68">
        <v>150</v>
      </c>
      <c r="EA68">
        <v>500</v>
      </c>
      <c r="EB68">
        <v>300</v>
      </c>
      <c r="EC68" t="s">
        <v>1358</v>
      </c>
      <c r="ED68">
        <v>200</v>
      </c>
      <c r="EE68">
        <v>1000</v>
      </c>
      <c r="EF68">
        <v>500</v>
      </c>
      <c r="EG68" t="s">
        <v>2857</v>
      </c>
      <c r="EH68" t="s">
        <v>1310</v>
      </c>
      <c r="EI68" t="s">
        <v>1309</v>
      </c>
      <c r="EJ68" t="s">
        <v>1309</v>
      </c>
      <c r="EK68" t="s">
        <v>1309</v>
      </c>
      <c r="EL68" t="s">
        <v>1310</v>
      </c>
      <c r="EM68" t="s">
        <v>1309</v>
      </c>
      <c r="EN68" t="s">
        <v>1309</v>
      </c>
      <c r="EO68" t="s">
        <v>1309</v>
      </c>
      <c r="EQ68" t="s">
        <v>1307</v>
      </c>
      <c r="ER68" t="s">
        <v>1307</v>
      </c>
      <c r="ES68" t="s">
        <v>1307</v>
      </c>
      <c r="FN68" t="s">
        <v>1307</v>
      </c>
      <c r="GC68" t="s">
        <v>1324</v>
      </c>
      <c r="GD68" t="s">
        <v>1324</v>
      </c>
      <c r="GN68" t="s">
        <v>1364</v>
      </c>
      <c r="HB68" t="s">
        <v>1414</v>
      </c>
      <c r="HR68" t="s">
        <v>1414</v>
      </c>
      <c r="HS68" t="s">
        <v>1309</v>
      </c>
      <c r="HT68" t="s">
        <v>1309</v>
      </c>
      <c r="HU68" t="s">
        <v>1309</v>
      </c>
      <c r="HV68" t="s">
        <v>1309</v>
      </c>
      <c r="HW68" t="s">
        <v>1309</v>
      </c>
      <c r="HX68" t="s">
        <v>1309</v>
      </c>
      <c r="HY68" t="s">
        <v>1310</v>
      </c>
      <c r="HZ68" t="s">
        <v>1309</v>
      </c>
      <c r="IB68" s="92" t="s">
        <v>2092</v>
      </c>
      <c r="IC68" s="92" t="s">
        <v>2093</v>
      </c>
      <c r="ID68" s="92">
        <v>67</v>
      </c>
      <c r="IE68" s="92" t="s">
        <v>1307</v>
      </c>
      <c r="IF68" s="92" t="s">
        <v>4395</v>
      </c>
      <c r="IG68" s="92" t="s">
        <v>1368</v>
      </c>
      <c r="IH68" s="92" t="s">
        <v>1296</v>
      </c>
      <c r="II68" s="92" t="s">
        <v>71</v>
      </c>
      <c r="IJ68" s="92" t="s">
        <v>1397</v>
      </c>
      <c r="IK68" s="92" t="s">
        <v>1369</v>
      </c>
      <c r="IL68" s="92" t="s">
        <v>4844</v>
      </c>
      <c r="IM68" s="92" t="s">
        <v>1476</v>
      </c>
      <c r="IN68" s="92" t="s">
        <v>109</v>
      </c>
      <c r="IO68" s="92" t="s">
        <v>4844</v>
      </c>
      <c r="IP68" s="92" t="s">
        <v>5560</v>
      </c>
      <c r="IQ68" s="92">
        <v>950</v>
      </c>
      <c r="IR68" s="92" t="s">
        <v>4438</v>
      </c>
      <c r="IS68" s="92" t="s">
        <v>192</v>
      </c>
      <c r="IT68" s="92" t="s">
        <v>192</v>
      </c>
      <c r="IU68" s="92" t="s">
        <v>192</v>
      </c>
      <c r="IV68" s="92" t="s">
        <v>192</v>
      </c>
      <c r="IW68" s="92" t="s">
        <v>1374</v>
      </c>
      <c r="IX68" s="92">
        <v>1700</v>
      </c>
      <c r="IY68" s="92" t="s">
        <v>4439</v>
      </c>
      <c r="IZ68" s="92" t="s">
        <v>1440</v>
      </c>
      <c r="JA68" s="92" t="s">
        <v>1342</v>
      </c>
      <c r="JB68" s="92" t="s">
        <v>192</v>
      </c>
      <c r="JC68" s="92" t="s">
        <v>1403</v>
      </c>
      <c r="JD68" s="92" t="s">
        <v>109</v>
      </c>
      <c r="JE68" s="92" t="s">
        <v>109</v>
      </c>
      <c r="JF68" s="92" t="s">
        <v>4439</v>
      </c>
      <c r="JG68" s="92" t="s">
        <v>4439</v>
      </c>
      <c r="JH68" s="92" t="s">
        <v>109</v>
      </c>
      <c r="JI68" s="92" t="s">
        <v>109</v>
      </c>
    </row>
    <row r="69" spans="1:269" x14ac:dyDescent="0.25">
      <c r="A69" t="s">
        <v>3100</v>
      </c>
      <c r="B69" t="s">
        <v>3101</v>
      </c>
      <c r="C69" t="s">
        <v>1305</v>
      </c>
      <c r="D69" t="s">
        <v>1306</v>
      </c>
      <c r="F69" t="s">
        <v>1307</v>
      </c>
      <c r="G69" t="s">
        <v>1319</v>
      </c>
      <c r="H69">
        <v>2</v>
      </c>
      <c r="I69" t="s">
        <v>1307</v>
      </c>
      <c r="J69" t="s">
        <v>1308</v>
      </c>
      <c r="K69" t="s">
        <v>1309</v>
      </c>
      <c r="L69" t="s">
        <v>1309</v>
      </c>
      <c r="M69" t="s">
        <v>1309</v>
      </c>
      <c r="N69" t="s">
        <v>1309</v>
      </c>
      <c r="O69" t="s">
        <v>1309</v>
      </c>
      <c r="P69" t="s">
        <v>1309</v>
      </c>
      <c r="Q69" t="s">
        <v>1310</v>
      </c>
      <c r="R69" t="s">
        <v>1309</v>
      </c>
      <c r="U69" t="s">
        <v>1312</v>
      </c>
      <c r="V69" t="s">
        <v>1312</v>
      </c>
      <c r="W69" t="s">
        <v>1312</v>
      </c>
      <c r="X69" t="s">
        <v>1312</v>
      </c>
      <c r="Y69" t="s">
        <v>1312</v>
      </c>
      <c r="Z69" t="s">
        <v>1312</v>
      </c>
      <c r="AC69">
        <v>2</v>
      </c>
      <c r="AD69">
        <v>31000</v>
      </c>
      <c r="AE69">
        <v>24000</v>
      </c>
      <c r="AF69" t="s">
        <v>1313</v>
      </c>
      <c r="AH69" t="s">
        <v>1319</v>
      </c>
      <c r="AI69" t="s">
        <v>4879</v>
      </c>
      <c r="AK69" t="s">
        <v>1319</v>
      </c>
      <c r="AL69" t="s">
        <v>1315</v>
      </c>
      <c r="AN69" t="s">
        <v>1331</v>
      </c>
      <c r="BU69" t="s">
        <v>2853</v>
      </c>
      <c r="BV69" t="s">
        <v>1310</v>
      </c>
      <c r="BW69" t="s">
        <v>1309</v>
      </c>
      <c r="BX69" t="s">
        <v>1309</v>
      </c>
      <c r="BY69" t="s">
        <v>1309</v>
      </c>
      <c r="BZ69" t="s">
        <v>1309</v>
      </c>
      <c r="CA69" t="s">
        <v>1309</v>
      </c>
      <c r="CB69" t="s">
        <v>1309</v>
      </c>
      <c r="CC69" t="s">
        <v>1309</v>
      </c>
      <c r="CD69" t="s">
        <v>1309</v>
      </c>
      <c r="CE69" t="s">
        <v>1309</v>
      </c>
      <c r="CX69" t="s">
        <v>3102</v>
      </c>
      <c r="CY69" t="s">
        <v>1310</v>
      </c>
      <c r="CZ69" t="s">
        <v>1309</v>
      </c>
      <c r="DA69" t="s">
        <v>1309</v>
      </c>
      <c r="DB69" t="s">
        <v>1309</v>
      </c>
      <c r="DC69" t="s">
        <v>1310</v>
      </c>
      <c r="DD69" t="s">
        <v>1310</v>
      </c>
      <c r="DE69" t="s">
        <v>1309</v>
      </c>
      <c r="DF69" t="s">
        <v>1309</v>
      </c>
      <c r="DG69" t="s">
        <v>1310</v>
      </c>
      <c r="DH69" t="s">
        <v>1310</v>
      </c>
      <c r="DI69" t="s">
        <v>1310</v>
      </c>
      <c r="DJ69" t="s">
        <v>1309</v>
      </c>
      <c r="DK69" t="s">
        <v>1309</v>
      </c>
      <c r="DL69" t="s">
        <v>3103</v>
      </c>
      <c r="DM69" t="s">
        <v>4434</v>
      </c>
      <c r="DO69" t="s">
        <v>1357</v>
      </c>
      <c r="DP69" t="s">
        <v>1309</v>
      </c>
      <c r="DQ69" t="s">
        <v>1309</v>
      </c>
      <c r="DR69" t="s">
        <v>1309</v>
      </c>
      <c r="DS69" t="s">
        <v>1309</v>
      </c>
      <c r="DT69" t="s">
        <v>1310</v>
      </c>
      <c r="DU69" t="s">
        <v>1309</v>
      </c>
      <c r="DV69" t="s">
        <v>1309</v>
      </c>
      <c r="DX69" t="s">
        <v>1358</v>
      </c>
      <c r="DZ69">
        <v>2400</v>
      </c>
      <c r="EB69">
        <v>800</v>
      </c>
      <c r="EC69" t="s">
        <v>1358</v>
      </c>
      <c r="ED69">
        <v>3200</v>
      </c>
      <c r="EF69">
        <v>950</v>
      </c>
      <c r="EG69" t="s">
        <v>1703</v>
      </c>
      <c r="EH69" t="s">
        <v>1310</v>
      </c>
      <c r="EI69" t="s">
        <v>1309</v>
      </c>
      <c r="EJ69" t="s">
        <v>1309</v>
      </c>
      <c r="EK69" t="s">
        <v>1309</v>
      </c>
      <c r="EL69" t="s">
        <v>1309</v>
      </c>
      <c r="EM69" t="s">
        <v>1309</v>
      </c>
      <c r="EN69" t="s">
        <v>1309</v>
      </c>
      <c r="EO69" t="s">
        <v>1309</v>
      </c>
      <c r="EQ69" t="s">
        <v>1319</v>
      </c>
      <c r="ER69" t="s">
        <v>1319</v>
      </c>
      <c r="ES69" t="s">
        <v>1319</v>
      </c>
      <c r="EU69" t="s">
        <v>3104</v>
      </c>
      <c r="EV69" t="s">
        <v>1310</v>
      </c>
      <c r="EW69" t="s">
        <v>1309</v>
      </c>
      <c r="EX69" t="s">
        <v>1309</v>
      </c>
      <c r="EY69" t="s">
        <v>1309</v>
      </c>
      <c r="EZ69" t="s">
        <v>1309</v>
      </c>
      <c r="FA69" t="s">
        <v>1310</v>
      </c>
      <c r="FB69" t="s">
        <v>1310</v>
      </c>
      <c r="FC69" t="s">
        <v>1310</v>
      </c>
      <c r="FD69" t="s">
        <v>1309</v>
      </c>
      <c r="FE69" t="s">
        <v>1309</v>
      </c>
      <c r="FF69" t="s">
        <v>1309</v>
      </c>
      <c r="FG69" t="s">
        <v>1310</v>
      </c>
      <c r="FH69" t="s">
        <v>1310</v>
      </c>
      <c r="FI69" t="s">
        <v>1309</v>
      </c>
      <c r="FJ69" t="s">
        <v>1309</v>
      </c>
      <c r="FK69" t="s">
        <v>1309</v>
      </c>
      <c r="FL69" t="s">
        <v>1309</v>
      </c>
      <c r="FN69" t="s">
        <v>1319</v>
      </c>
      <c r="FO69" t="s">
        <v>3105</v>
      </c>
      <c r="FP69" t="s">
        <v>1309</v>
      </c>
      <c r="FQ69" t="s">
        <v>1309</v>
      </c>
      <c r="FR69" t="s">
        <v>1309</v>
      </c>
      <c r="FS69" t="s">
        <v>1310</v>
      </c>
      <c r="FT69" t="s">
        <v>1309</v>
      </c>
      <c r="FU69" t="s">
        <v>1310</v>
      </c>
      <c r="FV69" t="s">
        <v>1309</v>
      </c>
      <c r="FW69" t="s">
        <v>1310</v>
      </c>
      <c r="FX69" t="s">
        <v>1310</v>
      </c>
      <c r="FY69" t="s">
        <v>1309</v>
      </c>
      <c r="FZ69" t="s">
        <v>1309</v>
      </c>
      <c r="GA69" t="s">
        <v>1309</v>
      </c>
      <c r="GC69" t="s">
        <v>1324</v>
      </c>
      <c r="GD69" t="s">
        <v>1324</v>
      </c>
      <c r="GN69" t="s">
        <v>1364</v>
      </c>
      <c r="HB69" t="s">
        <v>1319</v>
      </c>
      <c r="HC69" t="s">
        <v>2453</v>
      </c>
      <c r="HD69" t="s">
        <v>1309</v>
      </c>
      <c r="HE69" t="s">
        <v>1309</v>
      </c>
      <c r="HF69" t="s">
        <v>1310</v>
      </c>
      <c r="HG69" t="s">
        <v>1309</v>
      </c>
      <c r="HH69" t="s">
        <v>1310</v>
      </c>
      <c r="HI69" t="s">
        <v>1309</v>
      </c>
      <c r="HJ69" t="s">
        <v>1309</v>
      </c>
      <c r="HK69" t="s">
        <v>1309</v>
      </c>
      <c r="HL69" t="s">
        <v>1309</v>
      </c>
      <c r="HM69" t="s">
        <v>1309</v>
      </c>
      <c r="HN69" t="s">
        <v>1309</v>
      </c>
      <c r="HO69" t="s">
        <v>1309</v>
      </c>
      <c r="HP69" t="s">
        <v>1309</v>
      </c>
      <c r="HR69" t="s">
        <v>1507</v>
      </c>
      <c r="HS69" t="s">
        <v>1309</v>
      </c>
      <c r="HT69" t="s">
        <v>1309</v>
      </c>
      <c r="HU69" t="s">
        <v>1310</v>
      </c>
      <c r="HV69" t="s">
        <v>1310</v>
      </c>
      <c r="HW69" t="s">
        <v>1309</v>
      </c>
      <c r="HX69" t="s">
        <v>1309</v>
      </c>
      <c r="HY69" t="s">
        <v>1309</v>
      </c>
      <c r="HZ69" t="s">
        <v>1309</v>
      </c>
      <c r="IB69" s="92" t="s">
        <v>2061</v>
      </c>
      <c r="IC69" s="92" t="s">
        <v>2116</v>
      </c>
      <c r="ID69" s="92">
        <v>30</v>
      </c>
      <c r="IE69" s="92" t="s">
        <v>1307</v>
      </c>
      <c r="IF69" s="92" t="s">
        <v>4398</v>
      </c>
      <c r="IG69" s="92" t="s">
        <v>1526</v>
      </c>
      <c r="IH69" s="92" t="s">
        <v>1296</v>
      </c>
      <c r="II69" s="92" t="s">
        <v>71</v>
      </c>
      <c r="IJ69" s="92" t="s">
        <v>5549</v>
      </c>
      <c r="IK69" s="92" t="s">
        <v>1398</v>
      </c>
      <c r="IL69" s="92" t="s">
        <v>4845</v>
      </c>
      <c r="IM69" s="92" t="s">
        <v>1338</v>
      </c>
      <c r="IN69" s="92" t="s">
        <v>109</v>
      </c>
      <c r="IO69" s="92" t="s">
        <v>4847</v>
      </c>
      <c r="IP69" s="92" t="s">
        <v>1416</v>
      </c>
      <c r="IQ69" s="92">
        <v>3200</v>
      </c>
      <c r="IR69" s="92" t="s">
        <v>1372</v>
      </c>
      <c r="IS69" s="92" t="s">
        <v>192</v>
      </c>
      <c r="IT69" s="92" t="s">
        <v>109</v>
      </c>
      <c r="IU69" s="92" t="s">
        <v>192</v>
      </c>
      <c r="IV69" s="92" t="s">
        <v>109</v>
      </c>
      <c r="IW69" s="92" t="s">
        <v>1341</v>
      </c>
      <c r="IX69" s="92">
        <v>4150</v>
      </c>
      <c r="IY69" s="92" t="s">
        <v>4438</v>
      </c>
      <c r="IZ69" s="92" t="s">
        <v>1341</v>
      </c>
      <c r="JA69" s="92" t="s">
        <v>1375</v>
      </c>
      <c r="JB69" s="92" t="s">
        <v>192</v>
      </c>
      <c r="JC69" s="92" t="s">
        <v>5795</v>
      </c>
      <c r="JD69" s="92" t="s">
        <v>109</v>
      </c>
      <c r="JE69" s="92" t="s">
        <v>109</v>
      </c>
      <c r="JF69" s="92" t="s">
        <v>4438</v>
      </c>
      <c r="JG69" s="92" t="s">
        <v>4438</v>
      </c>
      <c r="JH69" s="92" t="s">
        <v>109</v>
      </c>
      <c r="JI69" s="92" t="s">
        <v>109</v>
      </c>
    </row>
    <row r="70" spans="1:269" x14ac:dyDescent="0.25">
      <c r="A70" t="s">
        <v>3106</v>
      </c>
      <c r="B70" t="s">
        <v>3107</v>
      </c>
      <c r="C70" t="s">
        <v>1305</v>
      </c>
      <c r="D70" t="s">
        <v>1381</v>
      </c>
      <c r="F70" t="s">
        <v>1319</v>
      </c>
      <c r="G70" t="s">
        <v>1319</v>
      </c>
      <c r="H70">
        <v>2</v>
      </c>
      <c r="I70" t="s">
        <v>1358</v>
      </c>
      <c r="J70" t="s">
        <v>1382</v>
      </c>
      <c r="K70" t="s">
        <v>1309</v>
      </c>
      <c r="L70" t="s">
        <v>1310</v>
      </c>
      <c r="M70" t="s">
        <v>1309</v>
      </c>
      <c r="N70" t="s">
        <v>1309</v>
      </c>
      <c r="O70" t="s">
        <v>1309</v>
      </c>
      <c r="P70" t="s">
        <v>1310</v>
      </c>
      <c r="Q70" t="s">
        <v>1309</v>
      </c>
      <c r="R70" t="s">
        <v>1309</v>
      </c>
      <c r="S70">
        <v>1</v>
      </c>
      <c r="U70" t="s">
        <v>1312</v>
      </c>
      <c r="V70" t="s">
        <v>1312</v>
      </c>
      <c r="W70" t="s">
        <v>1312</v>
      </c>
      <c r="X70" t="s">
        <v>1312</v>
      </c>
      <c r="Y70" t="s">
        <v>1312</v>
      </c>
      <c r="Z70" t="s">
        <v>1312</v>
      </c>
      <c r="AC70">
        <v>2</v>
      </c>
      <c r="AD70">
        <v>10000</v>
      </c>
      <c r="AE70">
        <v>7000</v>
      </c>
      <c r="AF70" t="s">
        <v>1313</v>
      </c>
      <c r="AH70" t="s">
        <v>1319</v>
      </c>
      <c r="AI70" t="s">
        <v>4879</v>
      </c>
      <c r="AK70" t="s">
        <v>1307</v>
      </c>
      <c r="CG70" t="s">
        <v>3054</v>
      </c>
      <c r="CH70" t="s">
        <v>1309</v>
      </c>
      <c r="CI70" t="s">
        <v>1309</v>
      </c>
      <c r="CJ70" t="s">
        <v>1309</v>
      </c>
      <c r="CK70" t="s">
        <v>1309</v>
      </c>
      <c r="CL70" t="s">
        <v>1309</v>
      </c>
      <c r="CM70" t="s">
        <v>1309</v>
      </c>
      <c r="CN70" t="s">
        <v>1309</v>
      </c>
      <c r="CO70" t="s">
        <v>1309</v>
      </c>
      <c r="CP70" t="s">
        <v>1309</v>
      </c>
      <c r="CQ70" t="s">
        <v>1309</v>
      </c>
      <c r="CR70" t="s">
        <v>1309</v>
      </c>
      <c r="CS70" t="s">
        <v>1310</v>
      </c>
      <c r="CT70" t="s">
        <v>1309</v>
      </c>
      <c r="CU70" t="s">
        <v>1309</v>
      </c>
      <c r="CV70" t="s">
        <v>1309</v>
      </c>
      <c r="CX70" t="s">
        <v>2376</v>
      </c>
      <c r="CY70" t="s">
        <v>1309</v>
      </c>
      <c r="CZ70" t="s">
        <v>1309</v>
      </c>
      <c r="DA70" t="s">
        <v>1309</v>
      </c>
      <c r="DB70" t="s">
        <v>1309</v>
      </c>
      <c r="DC70" t="s">
        <v>1309</v>
      </c>
      <c r="DD70" t="s">
        <v>1309</v>
      </c>
      <c r="DE70" t="s">
        <v>1309</v>
      </c>
      <c r="DF70" t="s">
        <v>1309</v>
      </c>
      <c r="DG70" t="s">
        <v>1309</v>
      </c>
      <c r="DH70" t="s">
        <v>1310</v>
      </c>
      <c r="DI70" t="s">
        <v>1309</v>
      </c>
      <c r="DJ70" t="s">
        <v>1309</v>
      </c>
      <c r="DK70" t="s">
        <v>1309</v>
      </c>
      <c r="DM70" t="s">
        <v>4434</v>
      </c>
      <c r="DO70" t="s">
        <v>1308</v>
      </c>
      <c r="DP70" t="s">
        <v>1310</v>
      </c>
      <c r="DQ70" t="s">
        <v>1309</v>
      </c>
      <c r="DR70" t="s">
        <v>1309</v>
      </c>
      <c r="DS70" t="s">
        <v>1309</v>
      </c>
      <c r="DT70" t="s">
        <v>1309</v>
      </c>
      <c r="DU70" t="s">
        <v>1309</v>
      </c>
      <c r="DV70" t="s">
        <v>1309</v>
      </c>
      <c r="DX70" t="s">
        <v>1358</v>
      </c>
      <c r="DZ70">
        <v>2500</v>
      </c>
      <c r="EB70">
        <v>500</v>
      </c>
      <c r="EC70" t="s">
        <v>1358</v>
      </c>
      <c r="ED70">
        <v>2500</v>
      </c>
      <c r="EF70">
        <v>750</v>
      </c>
      <c r="EG70" t="s">
        <v>3108</v>
      </c>
      <c r="EH70" t="s">
        <v>1310</v>
      </c>
      <c r="EI70" t="s">
        <v>1309</v>
      </c>
      <c r="EJ70" t="s">
        <v>1309</v>
      </c>
      <c r="EK70" t="s">
        <v>1310</v>
      </c>
      <c r="EL70" t="s">
        <v>1310</v>
      </c>
      <c r="EM70" t="s">
        <v>1309</v>
      </c>
      <c r="EN70" t="s">
        <v>1309</v>
      </c>
      <c r="EO70" t="s">
        <v>1309</v>
      </c>
      <c r="EQ70" t="s">
        <v>1307</v>
      </c>
      <c r="ER70" t="s">
        <v>1319</v>
      </c>
      <c r="ES70" t="s">
        <v>1319</v>
      </c>
      <c r="EU70" t="s">
        <v>3109</v>
      </c>
      <c r="EV70" t="s">
        <v>1310</v>
      </c>
      <c r="EW70" t="s">
        <v>1310</v>
      </c>
      <c r="EX70" t="s">
        <v>1309</v>
      </c>
      <c r="EY70" t="s">
        <v>1309</v>
      </c>
      <c r="EZ70" t="s">
        <v>1309</v>
      </c>
      <c r="FA70" t="s">
        <v>1309</v>
      </c>
      <c r="FB70" t="s">
        <v>1309</v>
      </c>
      <c r="FC70" t="s">
        <v>1310</v>
      </c>
      <c r="FD70" t="s">
        <v>1309</v>
      </c>
      <c r="FE70" t="s">
        <v>1309</v>
      </c>
      <c r="FF70" t="s">
        <v>1309</v>
      </c>
      <c r="FG70" t="s">
        <v>1309</v>
      </c>
      <c r="FH70" t="s">
        <v>1310</v>
      </c>
      <c r="FI70" t="s">
        <v>1309</v>
      </c>
      <c r="FJ70" t="s">
        <v>1309</v>
      </c>
      <c r="FK70" t="s">
        <v>1309</v>
      </c>
      <c r="FL70" t="s">
        <v>1309</v>
      </c>
      <c r="FN70" t="s">
        <v>1307</v>
      </c>
      <c r="GC70" t="s">
        <v>1324</v>
      </c>
      <c r="GD70" t="s">
        <v>1324</v>
      </c>
      <c r="GN70" t="s">
        <v>1364</v>
      </c>
      <c r="HB70" t="s">
        <v>1319</v>
      </c>
      <c r="HC70" t="s">
        <v>1423</v>
      </c>
      <c r="HD70" t="s">
        <v>1309</v>
      </c>
      <c r="HE70" t="s">
        <v>1309</v>
      </c>
      <c r="HF70" t="s">
        <v>1309</v>
      </c>
      <c r="HG70" t="s">
        <v>1309</v>
      </c>
      <c r="HH70" t="s">
        <v>1310</v>
      </c>
      <c r="HI70" t="s">
        <v>1309</v>
      </c>
      <c r="HJ70" t="s">
        <v>1309</v>
      </c>
      <c r="HK70" t="s">
        <v>1309</v>
      </c>
      <c r="HL70" t="s">
        <v>1309</v>
      </c>
      <c r="HM70" t="s">
        <v>1309</v>
      </c>
      <c r="HN70" t="s">
        <v>1309</v>
      </c>
      <c r="HO70" t="s">
        <v>1309</v>
      </c>
      <c r="HP70" t="s">
        <v>1309</v>
      </c>
      <c r="HR70" t="s">
        <v>1523</v>
      </c>
      <c r="HS70" t="s">
        <v>1309</v>
      </c>
      <c r="HT70" t="s">
        <v>1309</v>
      </c>
      <c r="HU70" t="s">
        <v>1309</v>
      </c>
      <c r="HV70" t="s">
        <v>1310</v>
      </c>
      <c r="HW70" t="s">
        <v>1309</v>
      </c>
      <c r="HX70" t="s">
        <v>1309</v>
      </c>
      <c r="HY70" t="s">
        <v>1309</v>
      </c>
      <c r="HZ70" t="s">
        <v>1309</v>
      </c>
      <c r="IB70" s="92" t="s">
        <v>1333</v>
      </c>
      <c r="IC70" s="92" t="s">
        <v>1334</v>
      </c>
      <c r="ID70" s="92">
        <v>29</v>
      </c>
      <c r="IE70" s="92" t="s">
        <v>1307</v>
      </c>
      <c r="IF70" s="92" t="s">
        <v>4398</v>
      </c>
      <c r="IG70" s="92" t="s">
        <v>1336</v>
      </c>
      <c r="IH70" s="92" t="s">
        <v>1296</v>
      </c>
      <c r="II70" s="92" t="s">
        <v>71</v>
      </c>
      <c r="IJ70" s="92" t="s">
        <v>1397</v>
      </c>
      <c r="IK70" s="92" t="s">
        <v>1398</v>
      </c>
      <c r="IL70" s="92" t="s">
        <v>4845</v>
      </c>
      <c r="IM70" s="92" t="s">
        <v>1399</v>
      </c>
      <c r="IN70" s="92" t="s">
        <v>109</v>
      </c>
      <c r="IO70" s="92" t="s">
        <v>4847</v>
      </c>
      <c r="IP70" s="92" t="s">
        <v>1424</v>
      </c>
      <c r="IQ70" s="92">
        <v>3000</v>
      </c>
      <c r="IR70" s="92" t="s">
        <v>4439</v>
      </c>
      <c r="IS70" s="92" t="s">
        <v>192</v>
      </c>
      <c r="IT70" s="92" t="s">
        <v>109</v>
      </c>
      <c r="IU70" s="92" t="s">
        <v>192</v>
      </c>
      <c r="IV70" s="92" t="s">
        <v>109</v>
      </c>
      <c r="IW70" s="92" t="s">
        <v>1425</v>
      </c>
      <c r="IX70" s="92">
        <v>3250</v>
      </c>
      <c r="IY70" s="92" t="s">
        <v>4439</v>
      </c>
      <c r="IZ70" s="92" t="s">
        <v>1341</v>
      </c>
      <c r="JA70" s="92" t="s">
        <v>1460</v>
      </c>
      <c r="JB70" s="92" t="s">
        <v>192</v>
      </c>
      <c r="JC70" s="92" t="s">
        <v>1403</v>
      </c>
      <c r="JD70" s="92" t="s">
        <v>109</v>
      </c>
      <c r="JE70" s="92" t="s">
        <v>109</v>
      </c>
      <c r="JF70" s="92" t="s">
        <v>4439</v>
      </c>
      <c r="JG70" s="92" t="s">
        <v>4439</v>
      </c>
      <c r="JH70" s="92" t="s">
        <v>109</v>
      </c>
      <c r="JI70" s="92" t="s">
        <v>192</v>
      </c>
    </row>
    <row r="71" spans="1:269" x14ac:dyDescent="0.25">
      <c r="A71" t="s">
        <v>3110</v>
      </c>
      <c r="B71" t="s">
        <v>3111</v>
      </c>
      <c r="C71" t="s">
        <v>1305</v>
      </c>
      <c r="D71" t="s">
        <v>1381</v>
      </c>
      <c r="F71" t="s">
        <v>1319</v>
      </c>
      <c r="G71" t="s">
        <v>1319</v>
      </c>
      <c r="H71">
        <v>3</v>
      </c>
      <c r="I71" t="s">
        <v>1358</v>
      </c>
      <c r="J71" t="s">
        <v>1350</v>
      </c>
      <c r="K71" t="s">
        <v>1309</v>
      </c>
      <c r="L71" t="s">
        <v>1310</v>
      </c>
      <c r="M71" t="s">
        <v>1310</v>
      </c>
      <c r="N71" t="s">
        <v>1310</v>
      </c>
      <c r="O71" t="s">
        <v>1310</v>
      </c>
      <c r="P71" t="s">
        <v>1309</v>
      </c>
      <c r="Q71" t="s">
        <v>1309</v>
      </c>
      <c r="R71" t="s">
        <v>1309</v>
      </c>
      <c r="S71">
        <v>1</v>
      </c>
      <c r="T71">
        <v>1</v>
      </c>
      <c r="U71" t="s">
        <v>1486</v>
      </c>
      <c r="V71" t="s">
        <v>1312</v>
      </c>
      <c r="W71" t="s">
        <v>1312</v>
      </c>
      <c r="X71" t="s">
        <v>1311</v>
      </c>
      <c r="Y71" t="s">
        <v>1312</v>
      </c>
      <c r="Z71" t="s">
        <v>1312</v>
      </c>
      <c r="AA71">
        <v>0</v>
      </c>
      <c r="AC71">
        <v>3</v>
      </c>
      <c r="AD71">
        <v>6500</v>
      </c>
      <c r="AE71">
        <v>4000</v>
      </c>
      <c r="AF71" t="s">
        <v>1313</v>
      </c>
      <c r="AH71" t="s">
        <v>1319</v>
      </c>
      <c r="AI71" t="s">
        <v>4879</v>
      </c>
      <c r="AK71" t="s">
        <v>1319</v>
      </c>
      <c r="AL71" t="s">
        <v>1315</v>
      </c>
      <c r="AN71" t="s">
        <v>1316</v>
      </c>
      <c r="BU71" t="s">
        <v>1698</v>
      </c>
      <c r="BV71" t="s">
        <v>1309</v>
      </c>
      <c r="BW71" t="s">
        <v>1309</v>
      </c>
      <c r="BX71" t="s">
        <v>1309</v>
      </c>
      <c r="BY71" t="s">
        <v>1309</v>
      </c>
      <c r="BZ71" t="s">
        <v>1309</v>
      </c>
      <c r="CA71" t="s">
        <v>1309</v>
      </c>
      <c r="CB71" t="s">
        <v>1309</v>
      </c>
      <c r="CC71" t="s">
        <v>1310</v>
      </c>
      <c r="CD71" t="s">
        <v>1309</v>
      </c>
      <c r="CE71" t="s">
        <v>1309</v>
      </c>
      <c r="CF71" t="s">
        <v>3057</v>
      </c>
      <c r="CX71" t="s">
        <v>1414</v>
      </c>
      <c r="CY71" t="s">
        <v>1309</v>
      </c>
      <c r="CZ71" t="s">
        <v>1309</v>
      </c>
      <c r="DA71" t="s">
        <v>1309</v>
      </c>
      <c r="DB71" t="s">
        <v>1309</v>
      </c>
      <c r="DC71" t="s">
        <v>1309</v>
      </c>
      <c r="DD71" t="s">
        <v>1309</v>
      </c>
      <c r="DE71" t="s">
        <v>1309</v>
      </c>
      <c r="DF71" t="s">
        <v>1309</v>
      </c>
      <c r="DG71" t="s">
        <v>1309</v>
      </c>
      <c r="DH71" t="s">
        <v>1309</v>
      </c>
      <c r="DI71" t="s">
        <v>1309</v>
      </c>
      <c r="DJ71" t="s">
        <v>1310</v>
      </c>
      <c r="DK71" t="s">
        <v>1309</v>
      </c>
      <c r="DM71" t="s">
        <v>4435</v>
      </c>
      <c r="DO71" t="s">
        <v>1308</v>
      </c>
      <c r="DP71" t="s">
        <v>1310</v>
      </c>
      <c r="DQ71" t="s">
        <v>1309</v>
      </c>
      <c r="DR71" t="s">
        <v>1309</v>
      </c>
      <c r="DS71" t="s">
        <v>1309</v>
      </c>
      <c r="DT71" t="s">
        <v>1309</v>
      </c>
      <c r="DU71" t="s">
        <v>1309</v>
      </c>
      <c r="DV71" t="s">
        <v>1309</v>
      </c>
      <c r="DX71" t="s">
        <v>1358</v>
      </c>
      <c r="DY71" t="s">
        <v>1319</v>
      </c>
      <c r="DZ71">
        <v>300</v>
      </c>
      <c r="EA71">
        <v>2300</v>
      </c>
      <c r="EB71">
        <v>500</v>
      </c>
      <c r="EC71" t="s">
        <v>1358</v>
      </c>
      <c r="ED71">
        <v>300</v>
      </c>
      <c r="EE71">
        <v>2300</v>
      </c>
      <c r="EF71">
        <v>500</v>
      </c>
      <c r="EG71" t="s">
        <v>2930</v>
      </c>
      <c r="EH71" t="s">
        <v>1309</v>
      </c>
      <c r="EI71" t="s">
        <v>1309</v>
      </c>
      <c r="EJ71" t="s">
        <v>1309</v>
      </c>
      <c r="EK71" t="s">
        <v>1309</v>
      </c>
      <c r="EL71" t="s">
        <v>1310</v>
      </c>
      <c r="EM71" t="s">
        <v>1309</v>
      </c>
      <c r="EN71" t="s">
        <v>1309</v>
      </c>
      <c r="EO71" t="s">
        <v>1309</v>
      </c>
      <c r="EQ71" t="s">
        <v>1319</v>
      </c>
      <c r="ER71" t="s">
        <v>1319</v>
      </c>
      <c r="ES71" t="s">
        <v>1319</v>
      </c>
      <c r="EU71" t="s">
        <v>2574</v>
      </c>
      <c r="EV71" t="s">
        <v>1309</v>
      </c>
      <c r="EW71" t="s">
        <v>1309</v>
      </c>
      <c r="EX71" t="s">
        <v>1309</v>
      </c>
      <c r="EY71" t="s">
        <v>1309</v>
      </c>
      <c r="EZ71" t="s">
        <v>1309</v>
      </c>
      <c r="FA71" t="s">
        <v>1310</v>
      </c>
      <c r="FB71" t="s">
        <v>1310</v>
      </c>
      <c r="FC71" t="s">
        <v>1309</v>
      </c>
      <c r="FD71" t="s">
        <v>1309</v>
      </c>
      <c r="FE71" t="s">
        <v>1309</v>
      </c>
      <c r="FF71" t="s">
        <v>1309</v>
      </c>
      <c r="FG71" t="s">
        <v>1310</v>
      </c>
      <c r="FH71" t="s">
        <v>1309</v>
      </c>
      <c r="FI71" t="s">
        <v>1309</v>
      </c>
      <c r="FJ71" t="s">
        <v>1309</v>
      </c>
      <c r="FK71" t="s">
        <v>1309</v>
      </c>
      <c r="FL71" t="s">
        <v>1309</v>
      </c>
      <c r="FN71" t="s">
        <v>1319</v>
      </c>
      <c r="FO71" t="s">
        <v>1649</v>
      </c>
      <c r="FP71" t="s">
        <v>1310</v>
      </c>
      <c r="FQ71" t="s">
        <v>1310</v>
      </c>
      <c r="FR71" t="s">
        <v>1309</v>
      </c>
      <c r="FS71" t="s">
        <v>1309</v>
      </c>
      <c r="FT71" t="s">
        <v>1309</v>
      </c>
      <c r="FU71" t="s">
        <v>1309</v>
      </c>
      <c r="FV71" t="s">
        <v>1309</v>
      </c>
      <c r="FW71" t="s">
        <v>1309</v>
      </c>
      <c r="FX71" t="s">
        <v>1309</v>
      </c>
      <c r="FY71" t="s">
        <v>1309</v>
      </c>
      <c r="FZ71" t="s">
        <v>1309</v>
      </c>
      <c r="GA71" t="s">
        <v>1309</v>
      </c>
      <c r="GC71" t="s">
        <v>1324</v>
      </c>
      <c r="GD71" t="s">
        <v>1324</v>
      </c>
      <c r="GN71" t="s">
        <v>1692</v>
      </c>
      <c r="GO71" t="s">
        <v>1824</v>
      </c>
      <c r="GP71" t="s">
        <v>1310</v>
      </c>
      <c r="GQ71" t="s">
        <v>1309</v>
      </c>
      <c r="GR71" t="s">
        <v>1310</v>
      </c>
      <c r="GS71" t="s">
        <v>1309</v>
      </c>
      <c r="GT71" t="s">
        <v>1309</v>
      </c>
      <c r="GU71" t="s">
        <v>1309</v>
      </c>
      <c r="GV71" t="s">
        <v>1309</v>
      </c>
      <c r="GW71" t="s">
        <v>1309</v>
      </c>
      <c r="GX71" t="s">
        <v>1309</v>
      </c>
      <c r="GY71" t="s">
        <v>1309</v>
      </c>
      <c r="GZ71" t="s">
        <v>1309</v>
      </c>
      <c r="HB71" t="s">
        <v>1307</v>
      </c>
      <c r="HR71" t="s">
        <v>1414</v>
      </c>
      <c r="HS71" t="s">
        <v>1309</v>
      </c>
      <c r="HT71" t="s">
        <v>1309</v>
      </c>
      <c r="HU71" t="s">
        <v>1309</v>
      </c>
      <c r="HV71" t="s">
        <v>1309</v>
      </c>
      <c r="HW71" t="s">
        <v>1309</v>
      </c>
      <c r="HX71" t="s">
        <v>1309</v>
      </c>
      <c r="HY71" t="s">
        <v>1310</v>
      </c>
      <c r="HZ71" t="s">
        <v>1309</v>
      </c>
      <c r="IB71" s="92" t="s">
        <v>1333</v>
      </c>
      <c r="IC71" s="92" t="s">
        <v>1334</v>
      </c>
      <c r="ID71" s="92">
        <v>42</v>
      </c>
      <c r="IE71" s="92" t="s">
        <v>1307</v>
      </c>
      <c r="IF71" s="92" t="s">
        <v>4398</v>
      </c>
      <c r="IG71" s="92" t="s">
        <v>1336</v>
      </c>
      <c r="IH71" s="92" t="s">
        <v>1296</v>
      </c>
      <c r="II71" s="92" t="s">
        <v>71</v>
      </c>
      <c r="IJ71" s="92" t="s">
        <v>1397</v>
      </c>
      <c r="IK71" s="92" t="s">
        <v>1337</v>
      </c>
      <c r="IL71" s="92" t="s">
        <v>4845</v>
      </c>
      <c r="IM71" s="92" t="s">
        <v>1370</v>
      </c>
      <c r="IN71" s="92" t="s">
        <v>192</v>
      </c>
      <c r="IO71" s="92" t="s">
        <v>4848</v>
      </c>
      <c r="IP71" s="92" t="s">
        <v>1424</v>
      </c>
      <c r="IQ71" s="92">
        <v>3100</v>
      </c>
      <c r="IR71" s="92" t="s">
        <v>4439</v>
      </c>
      <c r="IS71" s="92" t="s">
        <v>192</v>
      </c>
      <c r="IT71" s="92" t="s">
        <v>192</v>
      </c>
      <c r="IU71" s="92" t="s">
        <v>192</v>
      </c>
      <c r="IV71" s="92" t="s">
        <v>192</v>
      </c>
      <c r="IW71" s="92" t="s">
        <v>1341</v>
      </c>
      <c r="IX71" s="92">
        <v>3100</v>
      </c>
      <c r="IY71" s="92" t="s">
        <v>4439</v>
      </c>
      <c r="IZ71" s="92" t="s">
        <v>1341</v>
      </c>
      <c r="JA71" s="92" t="s">
        <v>1342</v>
      </c>
      <c r="JB71" s="92" t="s">
        <v>192</v>
      </c>
      <c r="JC71" s="92" t="s">
        <v>1403</v>
      </c>
      <c r="JD71" s="92" t="s">
        <v>109</v>
      </c>
      <c r="JE71" s="92" t="s">
        <v>109</v>
      </c>
      <c r="JF71" s="92" t="s">
        <v>4439</v>
      </c>
      <c r="JG71" s="92" t="s">
        <v>4439</v>
      </c>
      <c r="JH71" s="92" t="s">
        <v>192</v>
      </c>
      <c r="JI71" s="92" t="s">
        <v>192</v>
      </c>
    </row>
    <row r="72" spans="1:269" x14ac:dyDescent="0.25">
      <c r="A72" t="s">
        <v>3112</v>
      </c>
      <c r="B72" t="s">
        <v>3113</v>
      </c>
      <c r="C72" t="s">
        <v>1305</v>
      </c>
      <c r="D72" t="s">
        <v>1381</v>
      </c>
      <c r="F72" t="s">
        <v>1319</v>
      </c>
      <c r="G72" t="s">
        <v>1319</v>
      </c>
      <c r="H72">
        <v>5</v>
      </c>
      <c r="I72" t="s">
        <v>1358</v>
      </c>
      <c r="J72" t="s">
        <v>1406</v>
      </c>
      <c r="K72" t="s">
        <v>1309</v>
      </c>
      <c r="L72" t="s">
        <v>1310</v>
      </c>
      <c r="M72" t="s">
        <v>1309</v>
      </c>
      <c r="N72" t="s">
        <v>1309</v>
      </c>
      <c r="O72" t="s">
        <v>1309</v>
      </c>
      <c r="P72" t="s">
        <v>1309</v>
      </c>
      <c r="Q72" t="s">
        <v>1309</v>
      </c>
      <c r="R72" t="s">
        <v>1309</v>
      </c>
      <c r="S72">
        <v>3</v>
      </c>
      <c r="U72" t="s">
        <v>1312</v>
      </c>
      <c r="V72" t="s">
        <v>1312</v>
      </c>
      <c r="W72" t="s">
        <v>1312</v>
      </c>
      <c r="X72" t="s">
        <v>1312</v>
      </c>
      <c r="Y72" t="s">
        <v>1312</v>
      </c>
      <c r="Z72" t="s">
        <v>1312</v>
      </c>
      <c r="AC72">
        <v>1</v>
      </c>
      <c r="AD72">
        <v>13000</v>
      </c>
      <c r="AE72">
        <v>9000</v>
      </c>
      <c r="AF72" t="s">
        <v>1313</v>
      </c>
      <c r="AH72" t="s">
        <v>1319</v>
      </c>
      <c r="AI72" t="s">
        <v>4879</v>
      </c>
      <c r="AK72" t="s">
        <v>1307</v>
      </c>
      <c r="CG72" t="s">
        <v>1698</v>
      </c>
      <c r="CH72" t="s">
        <v>1309</v>
      </c>
      <c r="CI72" t="s">
        <v>1309</v>
      </c>
      <c r="CJ72" t="s">
        <v>1309</v>
      </c>
      <c r="CK72" t="s">
        <v>1309</v>
      </c>
      <c r="CL72" t="s">
        <v>1309</v>
      </c>
      <c r="CM72" t="s">
        <v>1309</v>
      </c>
      <c r="CN72" t="s">
        <v>1309</v>
      </c>
      <c r="CO72" t="s">
        <v>1309</v>
      </c>
      <c r="CP72" t="s">
        <v>1309</v>
      </c>
      <c r="CQ72" t="s">
        <v>1309</v>
      </c>
      <c r="CR72" t="s">
        <v>1309</v>
      </c>
      <c r="CS72" t="s">
        <v>1309</v>
      </c>
      <c r="CT72" t="s">
        <v>1310</v>
      </c>
      <c r="CU72" t="s">
        <v>1309</v>
      </c>
      <c r="CV72" t="s">
        <v>1309</v>
      </c>
      <c r="CW72" t="s">
        <v>3114</v>
      </c>
      <c r="CX72" t="s">
        <v>1355</v>
      </c>
      <c r="CY72" t="s">
        <v>1309</v>
      </c>
      <c r="CZ72" t="s">
        <v>1309</v>
      </c>
      <c r="DA72" t="s">
        <v>1309</v>
      </c>
      <c r="DB72" t="s">
        <v>1309</v>
      </c>
      <c r="DC72" t="s">
        <v>1309</v>
      </c>
      <c r="DD72" t="s">
        <v>1309</v>
      </c>
      <c r="DE72" t="s">
        <v>1309</v>
      </c>
      <c r="DF72" t="s">
        <v>1309</v>
      </c>
      <c r="DG72" t="s">
        <v>1310</v>
      </c>
      <c r="DH72" t="s">
        <v>1309</v>
      </c>
      <c r="DI72" t="s">
        <v>1309</v>
      </c>
      <c r="DJ72" t="s">
        <v>1309</v>
      </c>
      <c r="DK72" t="s">
        <v>1309</v>
      </c>
      <c r="DM72" t="s">
        <v>4435</v>
      </c>
      <c r="DO72" t="s">
        <v>1308</v>
      </c>
      <c r="DP72" t="s">
        <v>1310</v>
      </c>
      <c r="DQ72" t="s">
        <v>1309</v>
      </c>
      <c r="DR72" t="s">
        <v>1309</v>
      </c>
      <c r="DS72" t="s">
        <v>1309</v>
      </c>
      <c r="DT72" t="s">
        <v>1309</v>
      </c>
      <c r="DU72" t="s">
        <v>1309</v>
      </c>
      <c r="DV72" t="s">
        <v>1309</v>
      </c>
      <c r="DX72" t="s">
        <v>1358</v>
      </c>
      <c r="DY72" t="s">
        <v>1319</v>
      </c>
      <c r="EB72">
        <v>1400</v>
      </c>
      <c r="EC72" t="s">
        <v>1358</v>
      </c>
      <c r="EF72">
        <v>1900</v>
      </c>
      <c r="EG72" t="s">
        <v>1703</v>
      </c>
      <c r="EH72" t="s">
        <v>1310</v>
      </c>
      <c r="EI72" t="s">
        <v>1309</v>
      </c>
      <c r="EJ72" t="s">
        <v>1309</v>
      </c>
      <c r="EK72" t="s">
        <v>1309</v>
      </c>
      <c r="EL72" t="s">
        <v>1309</v>
      </c>
      <c r="EM72" t="s">
        <v>1309</v>
      </c>
      <c r="EN72" t="s">
        <v>1309</v>
      </c>
      <c r="EO72" t="s">
        <v>1309</v>
      </c>
      <c r="EQ72" t="s">
        <v>1319</v>
      </c>
      <c r="ER72" t="s">
        <v>1319</v>
      </c>
      <c r="ES72" t="s">
        <v>1319</v>
      </c>
      <c r="EU72" t="s">
        <v>3071</v>
      </c>
      <c r="EV72" t="s">
        <v>1309</v>
      </c>
      <c r="EW72" t="s">
        <v>1309</v>
      </c>
      <c r="EX72" t="s">
        <v>1309</v>
      </c>
      <c r="EY72" t="s">
        <v>1309</v>
      </c>
      <c r="EZ72" t="s">
        <v>1309</v>
      </c>
      <c r="FA72" t="s">
        <v>1310</v>
      </c>
      <c r="FB72" t="s">
        <v>1310</v>
      </c>
      <c r="FC72" t="s">
        <v>1309</v>
      </c>
      <c r="FD72" t="s">
        <v>1309</v>
      </c>
      <c r="FE72" t="s">
        <v>1309</v>
      </c>
      <c r="FF72" t="s">
        <v>1309</v>
      </c>
      <c r="FG72" t="s">
        <v>1310</v>
      </c>
      <c r="FH72" t="s">
        <v>1310</v>
      </c>
      <c r="FI72" t="s">
        <v>1309</v>
      </c>
      <c r="FJ72" t="s">
        <v>1309</v>
      </c>
      <c r="FK72" t="s">
        <v>1309</v>
      </c>
      <c r="FL72" t="s">
        <v>1309</v>
      </c>
      <c r="FN72" t="s">
        <v>1319</v>
      </c>
      <c r="FO72" t="s">
        <v>1635</v>
      </c>
      <c r="FP72" t="s">
        <v>1310</v>
      </c>
      <c r="FQ72" t="s">
        <v>1309</v>
      </c>
      <c r="FR72" t="s">
        <v>1309</v>
      </c>
      <c r="FS72" t="s">
        <v>1309</v>
      </c>
      <c r="FT72" t="s">
        <v>1309</v>
      </c>
      <c r="FU72" t="s">
        <v>1310</v>
      </c>
      <c r="FV72" t="s">
        <v>1309</v>
      </c>
      <c r="FW72" t="s">
        <v>1309</v>
      </c>
      <c r="FX72" t="s">
        <v>1309</v>
      </c>
      <c r="FY72" t="s">
        <v>1309</v>
      </c>
      <c r="FZ72" t="s">
        <v>1309</v>
      </c>
      <c r="GA72" t="s">
        <v>1309</v>
      </c>
      <c r="GC72" t="s">
        <v>1448</v>
      </c>
      <c r="GD72" t="s">
        <v>1448</v>
      </c>
      <c r="GN72" t="s">
        <v>1437</v>
      </c>
      <c r="GO72" t="s">
        <v>1882</v>
      </c>
      <c r="GP72" t="s">
        <v>1309</v>
      </c>
      <c r="GQ72" t="s">
        <v>1309</v>
      </c>
      <c r="GR72" t="s">
        <v>1309</v>
      </c>
      <c r="GS72" t="s">
        <v>1309</v>
      </c>
      <c r="GT72" t="s">
        <v>1310</v>
      </c>
      <c r="GU72" t="s">
        <v>1309</v>
      </c>
      <c r="GV72" t="s">
        <v>1309</v>
      </c>
      <c r="GW72" t="s">
        <v>1309</v>
      </c>
      <c r="GX72" t="s">
        <v>1309</v>
      </c>
      <c r="GY72" t="s">
        <v>1309</v>
      </c>
      <c r="GZ72" t="s">
        <v>1309</v>
      </c>
      <c r="HB72" t="s">
        <v>1414</v>
      </c>
      <c r="HR72" t="s">
        <v>1451</v>
      </c>
      <c r="HS72" t="s">
        <v>1310</v>
      </c>
      <c r="HT72" t="s">
        <v>1309</v>
      </c>
      <c r="HU72" t="s">
        <v>1309</v>
      </c>
      <c r="HV72" t="s">
        <v>1310</v>
      </c>
      <c r="HW72" t="s">
        <v>1309</v>
      </c>
      <c r="HX72" t="s">
        <v>1309</v>
      </c>
      <c r="HY72" t="s">
        <v>1309</v>
      </c>
      <c r="HZ72" t="s">
        <v>1309</v>
      </c>
      <c r="IB72" s="92" t="s">
        <v>1524</v>
      </c>
      <c r="IC72" s="92" t="s">
        <v>1525</v>
      </c>
      <c r="ID72" s="92">
        <v>45</v>
      </c>
      <c r="IE72" s="92" t="s">
        <v>1307</v>
      </c>
      <c r="IF72" s="92" t="s">
        <v>4398</v>
      </c>
      <c r="IG72" s="92" t="s">
        <v>1526</v>
      </c>
      <c r="IH72" s="92" t="s">
        <v>1296</v>
      </c>
      <c r="II72" s="92" t="s">
        <v>71</v>
      </c>
      <c r="IJ72" s="92" t="s">
        <v>1397</v>
      </c>
      <c r="IK72" s="92" t="s">
        <v>1337</v>
      </c>
      <c r="IL72" s="92" t="s">
        <v>4846</v>
      </c>
      <c r="IM72" s="92" t="s">
        <v>1415</v>
      </c>
      <c r="IN72" s="92" t="s">
        <v>109</v>
      </c>
      <c r="IO72" s="92" t="s">
        <v>4844</v>
      </c>
      <c r="IP72" s="92" t="s">
        <v>1371</v>
      </c>
      <c r="IQ72" s="92">
        <v>1400</v>
      </c>
      <c r="IR72" s="92" t="s">
        <v>4438</v>
      </c>
      <c r="IS72" s="92" t="s">
        <v>109</v>
      </c>
      <c r="IT72" s="92" t="s">
        <v>109</v>
      </c>
      <c r="IU72" s="92" t="s">
        <v>109</v>
      </c>
      <c r="IV72" s="92" t="s">
        <v>109</v>
      </c>
      <c r="IW72" s="92" t="s">
        <v>1440</v>
      </c>
      <c r="IX72" s="92">
        <v>1900</v>
      </c>
      <c r="IY72" s="92" t="s">
        <v>4438</v>
      </c>
      <c r="IZ72" s="92" t="s">
        <v>1440</v>
      </c>
      <c r="JA72" s="92" t="s">
        <v>1342</v>
      </c>
      <c r="JB72" s="92" t="s">
        <v>192</v>
      </c>
      <c r="JC72" s="92" t="s">
        <v>1403</v>
      </c>
      <c r="JD72" s="92" t="s">
        <v>109</v>
      </c>
      <c r="JE72" s="92" t="s">
        <v>109</v>
      </c>
      <c r="JF72" s="92" t="s">
        <v>4438</v>
      </c>
      <c r="JG72" s="92" t="s">
        <v>4438</v>
      </c>
      <c r="JH72" s="92" t="s">
        <v>109</v>
      </c>
      <c r="JI72" s="92" t="s">
        <v>109</v>
      </c>
    </row>
    <row r="73" spans="1:269" x14ac:dyDescent="0.25">
      <c r="A73" t="s">
        <v>3115</v>
      </c>
      <c r="B73" t="s">
        <v>3116</v>
      </c>
      <c r="C73" t="s">
        <v>1305</v>
      </c>
      <c r="D73" t="s">
        <v>1381</v>
      </c>
      <c r="F73" t="s">
        <v>1319</v>
      </c>
      <c r="G73" t="s">
        <v>1319</v>
      </c>
      <c r="H73">
        <v>2</v>
      </c>
      <c r="I73" t="s">
        <v>1358</v>
      </c>
      <c r="J73" t="s">
        <v>1382</v>
      </c>
      <c r="K73" t="s">
        <v>1309</v>
      </c>
      <c r="L73" t="s">
        <v>1310</v>
      </c>
      <c r="M73" t="s">
        <v>1309</v>
      </c>
      <c r="N73" t="s">
        <v>1309</v>
      </c>
      <c r="O73" t="s">
        <v>1309</v>
      </c>
      <c r="P73" t="s">
        <v>1310</v>
      </c>
      <c r="Q73" t="s">
        <v>1309</v>
      </c>
      <c r="R73" t="s">
        <v>1309</v>
      </c>
      <c r="S73">
        <v>1</v>
      </c>
      <c r="U73" t="s">
        <v>1312</v>
      </c>
      <c r="V73" t="s">
        <v>1312</v>
      </c>
      <c r="W73" t="s">
        <v>1312</v>
      </c>
      <c r="X73" t="s">
        <v>1312</v>
      </c>
      <c r="Y73" t="s">
        <v>1312</v>
      </c>
      <c r="Z73" t="s">
        <v>1311</v>
      </c>
      <c r="AC73">
        <v>2</v>
      </c>
      <c r="AD73">
        <v>7000</v>
      </c>
      <c r="AE73">
        <v>5000</v>
      </c>
      <c r="AF73" t="s">
        <v>1313</v>
      </c>
      <c r="AH73" t="s">
        <v>1319</v>
      </c>
      <c r="AI73" t="s">
        <v>4879</v>
      </c>
      <c r="AK73" t="s">
        <v>1307</v>
      </c>
      <c r="CG73" t="s">
        <v>2853</v>
      </c>
      <c r="CH73" t="s">
        <v>1309</v>
      </c>
      <c r="CI73" t="s">
        <v>1309</v>
      </c>
      <c r="CJ73" t="s">
        <v>1309</v>
      </c>
      <c r="CK73" t="s">
        <v>1310</v>
      </c>
      <c r="CL73" t="s">
        <v>1309</v>
      </c>
      <c r="CM73" t="s">
        <v>1309</v>
      </c>
      <c r="CN73" t="s">
        <v>1309</v>
      </c>
      <c r="CO73" t="s">
        <v>1309</v>
      </c>
      <c r="CP73" t="s">
        <v>1309</v>
      </c>
      <c r="CQ73" t="s">
        <v>1309</v>
      </c>
      <c r="CR73" t="s">
        <v>1309</v>
      </c>
      <c r="CS73" t="s">
        <v>1309</v>
      </c>
      <c r="CT73" t="s">
        <v>1309</v>
      </c>
      <c r="CU73" t="s">
        <v>1309</v>
      </c>
      <c r="CV73" t="s">
        <v>1309</v>
      </c>
      <c r="CX73" t="s">
        <v>1702</v>
      </c>
      <c r="CY73" t="s">
        <v>1310</v>
      </c>
      <c r="CZ73" t="s">
        <v>1309</v>
      </c>
      <c r="DA73" t="s">
        <v>1309</v>
      </c>
      <c r="DB73" t="s">
        <v>1309</v>
      </c>
      <c r="DC73" t="s">
        <v>1309</v>
      </c>
      <c r="DD73" t="s">
        <v>1309</v>
      </c>
      <c r="DE73" t="s">
        <v>1309</v>
      </c>
      <c r="DF73" t="s">
        <v>1309</v>
      </c>
      <c r="DG73" t="s">
        <v>1309</v>
      </c>
      <c r="DH73" t="s">
        <v>1310</v>
      </c>
      <c r="DI73" t="s">
        <v>1309</v>
      </c>
      <c r="DJ73" t="s">
        <v>1309</v>
      </c>
      <c r="DK73" t="s">
        <v>1309</v>
      </c>
      <c r="DM73" t="s">
        <v>4434</v>
      </c>
      <c r="DO73" t="s">
        <v>1357</v>
      </c>
      <c r="DP73" t="s">
        <v>1309</v>
      </c>
      <c r="DQ73" t="s">
        <v>1309</v>
      </c>
      <c r="DR73" t="s">
        <v>1309</v>
      </c>
      <c r="DS73" t="s">
        <v>1309</v>
      </c>
      <c r="DT73" t="s">
        <v>1310</v>
      </c>
      <c r="DU73" t="s">
        <v>1309</v>
      </c>
      <c r="DV73" t="s">
        <v>1309</v>
      </c>
      <c r="DX73" t="s">
        <v>1358</v>
      </c>
      <c r="DZ73">
        <v>2000</v>
      </c>
      <c r="EB73">
        <v>1000</v>
      </c>
      <c r="EC73" t="s">
        <v>1358</v>
      </c>
      <c r="ED73">
        <v>2000</v>
      </c>
      <c r="EF73">
        <v>1000</v>
      </c>
      <c r="EG73" t="s">
        <v>3117</v>
      </c>
      <c r="EH73" t="s">
        <v>1309</v>
      </c>
      <c r="EI73" t="s">
        <v>1310</v>
      </c>
      <c r="EJ73" t="s">
        <v>1309</v>
      </c>
      <c r="EK73" t="s">
        <v>1309</v>
      </c>
      <c r="EL73" t="s">
        <v>1310</v>
      </c>
      <c r="EM73" t="s">
        <v>1309</v>
      </c>
      <c r="EN73" t="s">
        <v>1309</v>
      </c>
      <c r="EO73" t="s">
        <v>1309</v>
      </c>
      <c r="EQ73" t="s">
        <v>1307</v>
      </c>
      <c r="ER73" t="s">
        <v>1319</v>
      </c>
      <c r="ES73" t="s">
        <v>1319</v>
      </c>
      <c r="EU73" t="s">
        <v>3118</v>
      </c>
      <c r="EV73" t="s">
        <v>1310</v>
      </c>
      <c r="EW73" t="s">
        <v>1309</v>
      </c>
      <c r="EX73" t="s">
        <v>1310</v>
      </c>
      <c r="EY73" t="s">
        <v>1310</v>
      </c>
      <c r="EZ73" t="s">
        <v>1309</v>
      </c>
      <c r="FA73" t="s">
        <v>1310</v>
      </c>
      <c r="FB73" t="s">
        <v>1309</v>
      </c>
      <c r="FC73" t="s">
        <v>1310</v>
      </c>
      <c r="FD73" t="s">
        <v>1309</v>
      </c>
      <c r="FE73" t="s">
        <v>1309</v>
      </c>
      <c r="FF73" t="s">
        <v>1309</v>
      </c>
      <c r="FG73" t="s">
        <v>1309</v>
      </c>
      <c r="FH73" t="s">
        <v>1310</v>
      </c>
      <c r="FI73" t="s">
        <v>1309</v>
      </c>
      <c r="FJ73" t="s">
        <v>1309</v>
      </c>
      <c r="FK73" t="s">
        <v>1309</v>
      </c>
      <c r="FL73" t="s">
        <v>1309</v>
      </c>
      <c r="FN73" t="s">
        <v>1307</v>
      </c>
      <c r="GC73" t="s">
        <v>1324</v>
      </c>
      <c r="GD73" t="s">
        <v>1324</v>
      </c>
      <c r="GN73" t="s">
        <v>1364</v>
      </c>
      <c r="HB73" t="s">
        <v>1319</v>
      </c>
      <c r="HC73" t="s">
        <v>1423</v>
      </c>
      <c r="HD73" t="s">
        <v>1309</v>
      </c>
      <c r="HE73" t="s">
        <v>1309</v>
      </c>
      <c r="HF73" t="s">
        <v>1309</v>
      </c>
      <c r="HG73" t="s">
        <v>1309</v>
      </c>
      <c r="HH73" t="s">
        <v>1310</v>
      </c>
      <c r="HI73" t="s">
        <v>1309</v>
      </c>
      <c r="HJ73" t="s">
        <v>1309</v>
      </c>
      <c r="HK73" t="s">
        <v>1309</v>
      </c>
      <c r="HL73" t="s">
        <v>1309</v>
      </c>
      <c r="HM73" t="s">
        <v>1309</v>
      </c>
      <c r="HN73" t="s">
        <v>1309</v>
      </c>
      <c r="HO73" t="s">
        <v>1309</v>
      </c>
      <c r="HP73" t="s">
        <v>1309</v>
      </c>
      <c r="HR73" t="s">
        <v>1414</v>
      </c>
      <c r="HS73" t="s">
        <v>1309</v>
      </c>
      <c r="HT73" t="s">
        <v>1309</v>
      </c>
      <c r="HU73" t="s">
        <v>1309</v>
      </c>
      <c r="HV73" t="s">
        <v>1309</v>
      </c>
      <c r="HW73" t="s">
        <v>1309</v>
      </c>
      <c r="HX73" t="s">
        <v>1309</v>
      </c>
      <c r="HY73" t="s">
        <v>1310</v>
      </c>
      <c r="HZ73" t="s">
        <v>1309</v>
      </c>
      <c r="IB73" s="92" t="s">
        <v>2092</v>
      </c>
      <c r="IC73" s="92" t="s">
        <v>2093</v>
      </c>
      <c r="ID73" s="92">
        <v>29</v>
      </c>
      <c r="IE73" s="92" t="s">
        <v>1307</v>
      </c>
      <c r="IF73" s="92" t="s">
        <v>4398</v>
      </c>
      <c r="IG73" s="92" t="s">
        <v>1368</v>
      </c>
      <c r="IH73" s="92" t="s">
        <v>1296</v>
      </c>
      <c r="II73" s="92" t="s">
        <v>71</v>
      </c>
      <c r="IJ73" s="92" t="s">
        <v>1397</v>
      </c>
      <c r="IK73" s="92" t="s">
        <v>1398</v>
      </c>
      <c r="IL73" s="92" t="s">
        <v>4845</v>
      </c>
      <c r="IM73" s="92" t="s">
        <v>1399</v>
      </c>
      <c r="IN73" s="92" t="s">
        <v>109</v>
      </c>
      <c r="IO73" s="92" t="s">
        <v>4847</v>
      </c>
      <c r="IP73" s="92" t="s">
        <v>1424</v>
      </c>
      <c r="IQ73" s="92">
        <v>3000</v>
      </c>
      <c r="IR73" s="92" t="s">
        <v>4439</v>
      </c>
      <c r="IS73" s="92" t="s">
        <v>192</v>
      </c>
      <c r="IT73" s="92" t="s">
        <v>109</v>
      </c>
      <c r="IU73" s="92" t="s">
        <v>192</v>
      </c>
      <c r="IV73" s="92" t="s">
        <v>109</v>
      </c>
      <c r="IW73" s="92" t="s">
        <v>1425</v>
      </c>
      <c r="IX73" s="92">
        <v>3000</v>
      </c>
      <c r="IY73" s="92" t="s">
        <v>4439</v>
      </c>
      <c r="IZ73" s="92" t="s">
        <v>1425</v>
      </c>
      <c r="JA73" s="92" t="s">
        <v>1375</v>
      </c>
      <c r="JB73" s="92" t="s">
        <v>192</v>
      </c>
      <c r="JC73" s="92" t="s">
        <v>1403</v>
      </c>
      <c r="JD73" s="92" t="s">
        <v>109</v>
      </c>
      <c r="JE73" s="92" t="s">
        <v>109</v>
      </c>
      <c r="JF73" s="92" t="s">
        <v>4439</v>
      </c>
      <c r="JG73" s="92" t="s">
        <v>4439</v>
      </c>
      <c r="JH73" s="92" t="s">
        <v>192</v>
      </c>
      <c r="JI73" s="92" t="s">
        <v>192</v>
      </c>
    </row>
    <row r="74" spans="1:269" x14ac:dyDescent="0.25">
      <c r="A74" t="s">
        <v>3119</v>
      </c>
      <c r="B74" t="s">
        <v>3120</v>
      </c>
      <c r="C74" t="s">
        <v>1305</v>
      </c>
      <c r="D74" t="s">
        <v>1381</v>
      </c>
      <c r="F74" t="s">
        <v>1319</v>
      </c>
      <c r="G74" t="s">
        <v>1319</v>
      </c>
      <c r="H74">
        <v>3</v>
      </c>
      <c r="I74" t="s">
        <v>1358</v>
      </c>
      <c r="J74" t="s">
        <v>1382</v>
      </c>
      <c r="K74" t="s">
        <v>1309</v>
      </c>
      <c r="L74" t="s">
        <v>1310</v>
      </c>
      <c r="M74" t="s">
        <v>1309</v>
      </c>
      <c r="N74" t="s">
        <v>1309</v>
      </c>
      <c r="O74" t="s">
        <v>1309</v>
      </c>
      <c r="P74" t="s">
        <v>1310</v>
      </c>
      <c r="Q74" t="s">
        <v>1309</v>
      </c>
      <c r="R74" t="s">
        <v>1309</v>
      </c>
      <c r="S74">
        <v>2</v>
      </c>
      <c r="U74" t="s">
        <v>1312</v>
      </c>
      <c r="V74" t="s">
        <v>1312</v>
      </c>
      <c r="W74" t="s">
        <v>1312</v>
      </c>
      <c r="X74" t="s">
        <v>1312</v>
      </c>
      <c r="Y74" t="s">
        <v>1312</v>
      </c>
      <c r="Z74" t="s">
        <v>1311</v>
      </c>
      <c r="AC74">
        <v>1</v>
      </c>
      <c r="AD74">
        <v>8000</v>
      </c>
      <c r="AE74">
        <v>6000</v>
      </c>
      <c r="AF74" t="s">
        <v>1313</v>
      </c>
      <c r="AH74" t="s">
        <v>1319</v>
      </c>
      <c r="AI74" t="s">
        <v>4879</v>
      </c>
      <c r="AK74" t="s">
        <v>1307</v>
      </c>
      <c r="CG74" t="s">
        <v>3121</v>
      </c>
      <c r="CH74" t="s">
        <v>1309</v>
      </c>
      <c r="CI74" t="s">
        <v>1309</v>
      </c>
      <c r="CJ74" t="s">
        <v>1310</v>
      </c>
      <c r="CK74" t="s">
        <v>1309</v>
      </c>
      <c r="CL74" t="s">
        <v>1310</v>
      </c>
      <c r="CM74" t="s">
        <v>1309</v>
      </c>
      <c r="CN74" t="s">
        <v>1309</v>
      </c>
      <c r="CO74" t="s">
        <v>1309</v>
      </c>
      <c r="CP74" t="s">
        <v>1309</v>
      </c>
      <c r="CQ74" t="s">
        <v>1309</v>
      </c>
      <c r="CR74" t="s">
        <v>1309</v>
      </c>
      <c r="CS74" t="s">
        <v>1309</v>
      </c>
      <c r="CT74" t="s">
        <v>1309</v>
      </c>
      <c r="CU74" t="s">
        <v>1309</v>
      </c>
      <c r="CV74" t="s">
        <v>1309</v>
      </c>
      <c r="CX74" t="s">
        <v>3122</v>
      </c>
      <c r="CY74" t="s">
        <v>1310</v>
      </c>
      <c r="CZ74" t="s">
        <v>1309</v>
      </c>
      <c r="DA74" t="s">
        <v>1309</v>
      </c>
      <c r="DB74" t="s">
        <v>1310</v>
      </c>
      <c r="DC74" t="s">
        <v>1309</v>
      </c>
      <c r="DD74" t="s">
        <v>1309</v>
      </c>
      <c r="DE74" t="s">
        <v>1310</v>
      </c>
      <c r="DF74" t="s">
        <v>1309</v>
      </c>
      <c r="DG74" t="s">
        <v>1309</v>
      </c>
      <c r="DH74" t="s">
        <v>1309</v>
      </c>
      <c r="DI74" t="s">
        <v>1309</v>
      </c>
      <c r="DJ74" t="s">
        <v>1309</v>
      </c>
      <c r="DK74" t="s">
        <v>1309</v>
      </c>
      <c r="DM74" t="s">
        <v>4434</v>
      </c>
      <c r="DO74" t="s">
        <v>1308</v>
      </c>
      <c r="DP74" t="s">
        <v>1310</v>
      </c>
      <c r="DQ74" t="s">
        <v>1309</v>
      </c>
      <c r="DR74" t="s">
        <v>1309</v>
      </c>
      <c r="DS74" t="s">
        <v>1309</v>
      </c>
      <c r="DT74" t="s">
        <v>1309</v>
      </c>
      <c r="DU74" t="s">
        <v>1309</v>
      </c>
      <c r="DV74" t="s">
        <v>1309</v>
      </c>
      <c r="DX74" t="s">
        <v>1358</v>
      </c>
      <c r="DZ74">
        <v>1500</v>
      </c>
      <c r="EB74">
        <v>300</v>
      </c>
      <c r="EC74" t="s">
        <v>1358</v>
      </c>
      <c r="ED74">
        <v>2000</v>
      </c>
      <c r="EF74">
        <v>500</v>
      </c>
      <c r="EG74" t="s">
        <v>2911</v>
      </c>
      <c r="EH74" t="s">
        <v>1310</v>
      </c>
      <c r="EI74" t="s">
        <v>1309</v>
      </c>
      <c r="EJ74" t="s">
        <v>1309</v>
      </c>
      <c r="EK74" t="s">
        <v>1310</v>
      </c>
      <c r="EL74" t="s">
        <v>1309</v>
      </c>
      <c r="EM74" t="s">
        <v>1309</v>
      </c>
      <c r="EN74" t="s">
        <v>1309</v>
      </c>
      <c r="EO74" t="s">
        <v>1309</v>
      </c>
      <c r="EQ74" t="s">
        <v>1307</v>
      </c>
      <c r="ER74" t="s">
        <v>1319</v>
      </c>
      <c r="ES74" t="s">
        <v>1319</v>
      </c>
      <c r="EU74" t="s">
        <v>2414</v>
      </c>
      <c r="EV74" t="s">
        <v>1310</v>
      </c>
      <c r="EW74" t="s">
        <v>1309</v>
      </c>
      <c r="EX74" t="s">
        <v>1310</v>
      </c>
      <c r="EY74" t="s">
        <v>1309</v>
      </c>
      <c r="EZ74" t="s">
        <v>1309</v>
      </c>
      <c r="FA74" t="s">
        <v>1309</v>
      </c>
      <c r="FB74" t="s">
        <v>1309</v>
      </c>
      <c r="FC74" t="s">
        <v>1310</v>
      </c>
      <c r="FD74" t="s">
        <v>1309</v>
      </c>
      <c r="FE74" t="s">
        <v>1309</v>
      </c>
      <c r="FF74" t="s">
        <v>1309</v>
      </c>
      <c r="FG74" t="s">
        <v>1309</v>
      </c>
      <c r="FH74" t="s">
        <v>1309</v>
      </c>
      <c r="FI74" t="s">
        <v>1309</v>
      </c>
      <c r="FJ74" t="s">
        <v>1309</v>
      </c>
      <c r="FK74" t="s">
        <v>1309</v>
      </c>
      <c r="FL74" t="s">
        <v>1309</v>
      </c>
      <c r="FN74" t="s">
        <v>1307</v>
      </c>
      <c r="GC74" t="s">
        <v>1324</v>
      </c>
      <c r="GD74" t="s">
        <v>1324</v>
      </c>
      <c r="GN74" t="s">
        <v>1364</v>
      </c>
      <c r="HB74" t="s">
        <v>1319</v>
      </c>
      <c r="HC74" t="s">
        <v>1423</v>
      </c>
      <c r="HD74" t="s">
        <v>1309</v>
      </c>
      <c r="HE74" t="s">
        <v>1309</v>
      </c>
      <c r="HF74" t="s">
        <v>1309</v>
      </c>
      <c r="HG74" t="s">
        <v>1309</v>
      </c>
      <c r="HH74" t="s">
        <v>1310</v>
      </c>
      <c r="HI74" t="s">
        <v>1309</v>
      </c>
      <c r="HJ74" t="s">
        <v>1309</v>
      </c>
      <c r="HK74" t="s">
        <v>1309</v>
      </c>
      <c r="HL74" t="s">
        <v>1309</v>
      </c>
      <c r="HM74" t="s">
        <v>1309</v>
      </c>
      <c r="HN74" t="s">
        <v>1309</v>
      </c>
      <c r="HO74" t="s">
        <v>1309</v>
      </c>
      <c r="HP74" t="s">
        <v>1309</v>
      </c>
      <c r="HR74" t="s">
        <v>1507</v>
      </c>
      <c r="HS74" t="s">
        <v>1309</v>
      </c>
      <c r="HT74" t="s">
        <v>1309</v>
      </c>
      <c r="HU74" t="s">
        <v>1310</v>
      </c>
      <c r="HV74" t="s">
        <v>1310</v>
      </c>
      <c r="HW74" t="s">
        <v>1309</v>
      </c>
      <c r="HX74" t="s">
        <v>1309</v>
      </c>
      <c r="HY74" t="s">
        <v>1309</v>
      </c>
      <c r="HZ74" t="s">
        <v>1309</v>
      </c>
      <c r="IB74" s="92" t="s">
        <v>2092</v>
      </c>
      <c r="IC74" s="92" t="s">
        <v>2093</v>
      </c>
      <c r="ID74" s="92">
        <v>42</v>
      </c>
      <c r="IE74" s="92" t="s">
        <v>1307</v>
      </c>
      <c r="IF74" s="92" t="s">
        <v>4398</v>
      </c>
      <c r="IG74" s="92" t="s">
        <v>1368</v>
      </c>
      <c r="IH74" s="92" t="s">
        <v>1296</v>
      </c>
      <c r="II74" s="92" t="s">
        <v>71</v>
      </c>
      <c r="IJ74" s="92" t="s">
        <v>1397</v>
      </c>
      <c r="IK74" s="92" t="s">
        <v>1337</v>
      </c>
      <c r="IL74" s="92" t="s">
        <v>4845</v>
      </c>
      <c r="IM74" s="92" t="s">
        <v>1399</v>
      </c>
      <c r="IN74" s="92" t="s">
        <v>109</v>
      </c>
      <c r="IO74" s="92" t="s">
        <v>4844</v>
      </c>
      <c r="IP74" s="92" t="s">
        <v>1424</v>
      </c>
      <c r="IQ74" s="92">
        <v>1800</v>
      </c>
      <c r="IR74" s="92" t="s">
        <v>4438</v>
      </c>
      <c r="IS74" s="92" t="s">
        <v>192</v>
      </c>
      <c r="IT74" s="92" t="s">
        <v>109</v>
      </c>
      <c r="IU74" s="92" t="s">
        <v>192</v>
      </c>
      <c r="IV74" s="92" t="s">
        <v>109</v>
      </c>
      <c r="IW74" s="92" t="s">
        <v>1440</v>
      </c>
      <c r="IX74" s="92">
        <v>2500</v>
      </c>
      <c r="IY74" s="92" t="s">
        <v>4439</v>
      </c>
      <c r="IZ74" s="92" t="s">
        <v>1425</v>
      </c>
      <c r="JA74" s="92" t="s">
        <v>1460</v>
      </c>
      <c r="JB74" s="92" t="s">
        <v>192</v>
      </c>
      <c r="JC74" s="92" t="s">
        <v>1403</v>
      </c>
      <c r="JD74" s="92" t="s">
        <v>109</v>
      </c>
      <c r="JE74" s="92" t="s">
        <v>109</v>
      </c>
      <c r="JF74" s="92" t="s">
        <v>4438</v>
      </c>
      <c r="JG74" s="92" t="s">
        <v>4439</v>
      </c>
      <c r="JH74" s="92" t="s">
        <v>109</v>
      </c>
      <c r="JI74" s="92" t="s">
        <v>192</v>
      </c>
    </row>
    <row r="75" spans="1:269" x14ac:dyDescent="0.25">
      <c r="A75" t="s">
        <v>3123</v>
      </c>
      <c r="B75" t="s">
        <v>3124</v>
      </c>
      <c r="C75" t="s">
        <v>1305</v>
      </c>
      <c r="D75" t="s">
        <v>1306</v>
      </c>
      <c r="F75" t="s">
        <v>1307</v>
      </c>
      <c r="G75" t="s">
        <v>1319</v>
      </c>
      <c r="H75">
        <v>3</v>
      </c>
      <c r="I75" t="s">
        <v>1318</v>
      </c>
      <c r="J75" t="s">
        <v>2165</v>
      </c>
      <c r="K75" t="s">
        <v>1309</v>
      </c>
      <c r="L75" t="s">
        <v>1309</v>
      </c>
      <c r="M75" t="s">
        <v>1310</v>
      </c>
      <c r="N75" t="s">
        <v>1310</v>
      </c>
      <c r="O75" t="s">
        <v>1310</v>
      </c>
      <c r="P75" t="s">
        <v>1309</v>
      </c>
      <c r="Q75" t="s">
        <v>1309</v>
      </c>
      <c r="R75" t="s">
        <v>1309</v>
      </c>
      <c r="T75">
        <v>2</v>
      </c>
      <c r="U75" t="s">
        <v>1486</v>
      </c>
      <c r="V75" t="s">
        <v>1486</v>
      </c>
      <c r="W75" t="s">
        <v>1455</v>
      </c>
      <c r="X75" t="s">
        <v>1455</v>
      </c>
      <c r="Y75" t="s">
        <v>1455</v>
      </c>
      <c r="Z75" t="s">
        <v>1455</v>
      </c>
      <c r="AA75">
        <v>2</v>
      </c>
      <c r="AB75">
        <v>2</v>
      </c>
      <c r="AC75">
        <v>3</v>
      </c>
      <c r="AD75">
        <v>6000</v>
      </c>
      <c r="AE75">
        <v>6000</v>
      </c>
      <c r="AF75" t="s">
        <v>1313</v>
      </c>
      <c r="AH75" t="s">
        <v>1307</v>
      </c>
      <c r="AI75" t="s">
        <v>4876</v>
      </c>
      <c r="AK75" t="s">
        <v>1307</v>
      </c>
      <c r="CG75" t="s">
        <v>3125</v>
      </c>
      <c r="CH75" t="s">
        <v>1309</v>
      </c>
      <c r="CI75" t="s">
        <v>1310</v>
      </c>
      <c r="CJ75" t="s">
        <v>1310</v>
      </c>
      <c r="CK75" t="s">
        <v>1309</v>
      </c>
      <c r="CL75" t="s">
        <v>1309</v>
      </c>
      <c r="CM75" t="s">
        <v>1309</v>
      </c>
      <c r="CN75" t="s">
        <v>1309</v>
      </c>
      <c r="CO75" t="s">
        <v>1309</v>
      </c>
      <c r="CP75" t="s">
        <v>1309</v>
      </c>
      <c r="CQ75" t="s">
        <v>1309</v>
      </c>
      <c r="CR75" t="s">
        <v>1309</v>
      </c>
      <c r="CS75" t="s">
        <v>1309</v>
      </c>
      <c r="CT75" t="s">
        <v>1309</v>
      </c>
      <c r="CU75" t="s">
        <v>1309</v>
      </c>
      <c r="CV75" t="s">
        <v>1309</v>
      </c>
      <c r="CX75" t="s">
        <v>3126</v>
      </c>
      <c r="CY75" t="s">
        <v>1310</v>
      </c>
      <c r="CZ75" t="s">
        <v>1309</v>
      </c>
      <c r="DA75" t="s">
        <v>1310</v>
      </c>
      <c r="DB75" t="s">
        <v>1309</v>
      </c>
      <c r="DC75" t="s">
        <v>1309</v>
      </c>
      <c r="DD75" t="s">
        <v>1309</v>
      </c>
      <c r="DE75" t="s">
        <v>1309</v>
      </c>
      <c r="DF75" t="s">
        <v>1309</v>
      </c>
      <c r="DG75" t="s">
        <v>1309</v>
      </c>
      <c r="DH75" t="s">
        <v>1310</v>
      </c>
      <c r="DI75" t="s">
        <v>1309</v>
      </c>
      <c r="DJ75" t="s">
        <v>1309</v>
      </c>
      <c r="DK75" t="s">
        <v>1309</v>
      </c>
      <c r="DM75" t="s">
        <v>4435</v>
      </c>
      <c r="DO75" t="s">
        <v>1357</v>
      </c>
      <c r="DP75" t="s">
        <v>1309</v>
      </c>
      <c r="DQ75" t="s">
        <v>1309</v>
      </c>
      <c r="DR75" t="s">
        <v>1309</v>
      </c>
      <c r="DS75" t="s">
        <v>1309</v>
      </c>
      <c r="DT75" t="s">
        <v>1310</v>
      </c>
      <c r="DU75" t="s">
        <v>1309</v>
      </c>
      <c r="DV75" t="s">
        <v>1309</v>
      </c>
      <c r="DX75" t="s">
        <v>1318</v>
      </c>
      <c r="DY75" t="s">
        <v>1319</v>
      </c>
      <c r="DZ75">
        <v>500</v>
      </c>
      <c r="EA75">
        <v>4000</v>
      </c>
      <c r="EB75">
        <v>2000</v>
      </c>
      <c r="EC75" t="s">
        <v>1318</v>
      </c>
      <c r="ED75">
        <v>1500</v>
      </c>
      <c r="EE75">
        <v>4500</v>
      </c>
      <c r="EF75">
        <v>1800</v>
      </c>
      <c r="EG75" t="s">
        <v>1703</v>
      </c>
      <c r="EH75" t="s">
        <v>1310</v>
      </c>
      <c r="EI75" t="s">
        <v>1309</v>
      </c>
      <c r="EJ75" t="s">
        <v>1309</v>
      </c>
      <c r="EK75" t="s">
        <v>1309</v>
      </c>
      <c r="EL75" t="s">
        <v>1309</v>
      </c>
      <c r="EM75" t="s">
        <v>1309</v>
      </c>
      <c r="EN75" t="s">
        <v>1309</v>
      </c>
      <c r="EO75" t="s">
        <v>1309</v>
      </c>
      <c r="EQ75" t="s">
        <v>1307</v>
      </c>
      <c r="ER75" t="s">
        <v>1319</v>
      </c>
      <c r="ES75" t="s">
        <v>1319</v>
      </c>
      <c r="EU75" t="s">
        <v>2157</v>
      </c>
      <c r="EV75" t="s">
        <v>1309</v>
      </c>
      <c r="EW75" t="s">
        <v>1309</v>
      </c>
      <c r="EX75" t="s">
        <v>1309</v>
      </c>
      <c r="EY75" t="s">
        <v>1309</v>
      </c>
      <c r="EZ75" t="s">
        <v>1309</v>
      </c>
      <c r="FA75" t="s">
        <v>1310</v>
      </c>
      <c r="FB75" t="s">
        <v>1310</v>
      </c>
      <c r="FC75" t="s">
        <v>1309</v>
      </c>
      <c r="FD75" t="s">
        <v>1309</v>
      </c>
      <c r="FE75" t="s">
        <v>1310</v>
      </c>
      <c r="FF75" t="s">
        <v>1309</v>
      </c>
      <c r="FG75" t="s">
        <v>1309</v>
      </c>
      <c r="FH75" t="s">
        <v>1309</v>
      </c>
      <c r="FI75" t="s">
        <v>1309</v>
      </c>
      <c r="FJ75" t="s">
        <v>1309</v>
      </c>
      <c r="FK75" t="s">
        <v>1309</v>
      </c>
      <c r="FL75" t="s">
        <v>1309</v>
      </c>
      <c r="FN75" t="s">
        <v>1319</v>
      </c>
      <c r="FO75" t="s">
        <v>1635</v>
      </c>
      <c r="FP75" t="s">
        <v>1310</v>
      </c>
      <c r="FQ75" t="s">
        <v>1309</v>
      </c>
      <c r="FR75" t="s">
        <v>1309</v>
      </c>
      <c r="FS75" t="s">
        <v>1309</v>
      </c>
      <c r="FT75" t="s">
        <v>1309</v>
      </c>
      <c r="FU75" t="s">
        <v>1310</v>
      </c>
      <c r="FV75" t="s">
        <v>1309</v>
      </c>
      <c r="FW75" t="s">
        <v>1309</v>
      </c>
      <c r="FX75" t="s">
        <v>1309</v>
      </c>
      <c r="FY75" t="s">
        <v>1309</v>
      </c>
      <c r="FZ75" t="s">
        <v>1309</v>
      </c>
      <c r="GA75" t="s">
        <v>1309</v>
      </c>
      <c r="GC75" t="s">
        <v>1436</v>
      </c>
      <c r="GD75" t="s">
        <v>1436</v>
      </c>
      <c r="GE75" t="s">
        <v>1319</v>
      </c>
      <c r="GF75" t="s">
        <v>1619</v>
      </c>
      <c r="GG75" t="s">
        <v>1310</v>
      </c>
      <c r="GH75" t="s">
        <v>1309</v>
      </c>
      <c r="GI75" t="s">
        <v>1309</v>
      </c>
      <c r="GJ75" t="s">
        <v>1309</v>
      </c>
      <c r="GK75" t="s">
        <v>1309</v>
      </c>
      <c r="GL75" t="s">
        <v>1309</v>
      </c>
      <c r="GN75" t="s">
        <v>1437</v>
      </c>
      <c r="GO75" t="s">
        <v>1803</v>
      </c>
      <c r="GP75" t="s">
        <v>1310</v>
      </c>
      <c r="GQ75" t="s">
        <v>1310</v>
      </c>
      <c r="GR75" t="s">
        <v>1309</v>
      </c>
      <c r="GS75" t="s">
        <v>1309</v>
      </c>
      <c r="GT75" t="s">
        <v>1310</v>
      </c>
      <c r="GU75" t="s">
        <v>1310</v>
      </c>
      <c r="GV75" t="s">
        <v>1309</v>
      </c>
      <c r="GW75" t="s">
        <v>1309</v>
      </c>
      <c r="GX75" t="s">
        <v>1309</v>
      </c>
      <c r="GY75" t="s">
        <v>1309</v>
      </c>
      <c r="GZ75" t="s">
        <v>1309</v>
      </c>
      <c r="HB75" t="s">
        <v>1307</v>
      </c>
      <c r="HR75" t="s">
        <v>1523</v>
      </c>
      <c r="HS75" t="s">
        <v>1309</v>
      </c>
      <c r="HT75" t="s">
        <v>1309</v>
      </c>
      <c r="HU75" t="s">
        <v>1309</v>
      </c>
      <c r="HV75" t="s">
        <v>1310</v>
      </c>
      <c r="HW75" t="s">
        <v>1309</v>
      </c>
      <c r="HX75" t="s">
        <v>1309</v>
      </c>
      <c r="HY75" t="s">
        <v>1309</v>
      </c>
      <c r="HZ75" t="s">
        <v>1309</v>
      </c>
      <c r="IB75" s="92" t="s">
        <v>1567</v>
      </c>
      <c r="IC75" s="92" t="s">
        <v>1568</v>
      </c>
      <c r="ID75" s="92">
        <v>62</v>
      </c>
      <c r="IE75" s="92" t="s">
        <v>1307</v>
      </c>
      <c r="IF75" s="92" t="s">
        <v>4396</v>
      </c>
      <c r="IG75" s="92" t="s">
        <v>1336</v>
      </c>
      <c r="IH75" s="92" t="s">
        <v>1296</v>
      </c>
      <c r="II75" s="92" t="s">
        <v>71</v>
      </c>
      <c r="IJ75" s="92" t="s">
        <v>5549</v>
      </c>
      <c r="IK75" s="92" t="s">
        <v>1369</v>
      </c>
      <c r="IL75" s="92" t="s">
        <v>4845</v>
      </c>
      <c r="IM75" s="92" t="s">
        <v>1439</v>
      </c>
      <c r="IN75" s="92" t="s">
        <v>192</v>
      </c>
      <c r="IO75" s="92" t="s">
        <v>4848</v>
      </c>
      <c r="IP75" s="92" t="s">
        <v>1424</v>
      </c>
      <c r="IQ75" s="92">
        <v>6500</v>
      </c>
      <c r="IR75" s="92" t="s">
        <v>1426</v>
      </c>
      <c r="IS75" s="92" t="s">
        <v>192</v>
      </c>
      <c r="IT75" s="92" t="s">
        <v>192</v>
      </c>
      <c r="IU75" s="92" t="s">
        <v>192</v>
      </c>
      <c r="IV75" s="92" t="s">
        <v>192</v>
      </c>
      <c r="IW75" s="92" t="s">
        <v>1341</v>
      </c>
      <c r="IX75" s="92">
        <v>7800</v>
      </c>
      <c r="IY75" s="92" t="s">
        <v>1426</v>
      </c>
      <c r="IZ75" s="92" t="s">
        <v>1341</v>
      </c>
      <c r="JA75" s="92" t="s">
        <v>1375</v>
      </c>
      <c r="JB75" s="92" t="s">
        <v>192</v>
      </c>
      <c r="JC75" s="92" t="s">
        <v>1378</v>
      </c>
      <c r="JD75" s="92" t="s">
        <v>192</v>
      </c>
      <c r="JE75" s="92" t="s">
        <v>192</v>
      </c>
      <c r="JF75" s="92" t="s">
        <v>1400</v>
      </c>
      <c r="JG75" s="92" t="s">
        <v>1400</v>
      </c>
      <c r="JH75" s="92" t="s">
        <v>192</v>
      </c>
      <c r="JI75" s="92" t="s">
        <v>192</v>
      </c>
    </row>
    <row r="76" spans="1:269" x14ac:dyDescent="0.25">
      <c r="A76" t="s">
        <v>3127</v>
      </c>
      <c r="B76" t="s">
        <v>3128</v>
      </c>
      <c r="C76" t="s">
        <v>1305</v>
      </c>
      <c r="D76" t="s">
        <v>1306</v>
      </c>
      <c r="F76" t="s">
        <v>1307</v>
      </c>
      <c r="G76" t="s">
        <v>1319</v>
      </c>
      <c r="H76">
        <v>3</v>
      </c>
      <c r="I76" t="s">
        <v>1307</v>
      </c>
      <c r="J76" t="s">
        <v>1485</v>
      </c>
      <c r="K76" t="s">
        <v>1309</v>
      </c>
      <c r="L76" t="s">
        <v>1310</v>
      </c>
      <c r="M76" t="s">
        <v>1310</v>
      </c>
      <c r="N76" t="s">
        <v>1310</v>
      </c>
      <c r="O76" t="s">
        <v>1309</v>
      </c>
      <c r="P76" t="s">
        <v>1309</v>
      </c>
      <c r="Q76" t="s">
        <v>1309</v>
      </c>
      <c r="R76" t="s">
        <v>1309</v>
      </c>
      <c r="S76">
        <v>1</v>
      </c>
      <c r="T76">
        <v>1</v>
      </c>
      <c r="U76" t="s">
        <v>1312</v>
      </c>
      <c r="V76" t="s">
        <v>1312</v>
      </c>
      <c r="W76" t="s">
        <v>1455</v>
      </c>
      <c r="X76" t="s">
        <v>1311</v>
      </c>
      <c r="Y76" t="s">
        <v>1455</v>
      </c>
      <c r="Z76" t="s">
        <v>1486</v>
      </c>
      <c r="AA76">
        <v>1</v>
      </c>
      <c r="AB76">
        <v>1</v>
      </c>
      <c r="AC76">
        <v>2</v>
      </c>
      <c r="AD76">
        <v>34000</v>
      </c>
      <c r="AE76">
        <v>25000</v>
      </c>
      <c r="AF76" t="s">
        <v>1351</v>
      </c>
      <c r="AH76" t="s">
        <v>1319</v>
      </c>
      <c r="AI76" t="s">
        <v>4879</v>
      </c>
      <c r="AK76" t="s">
        <v>1319</v>
      </c>
      <c r="AL76" t="s">
        <v>1315</v>
      </c>
      <c r="AN76" t="s">
        <v>1316</v>
      </c>
      <c r="BU76" t="s">
        <v>3129</v>
      </c>
      <c r="BV76" t="s">
        <v>1310</v>
      </c>
      <c r="BW76" t="s">
        <v>1310</v>
      </c>
      <c r="BX76" t="s">
        <v>1309</v>
      </c>
      <c r="BY76" t="s">
        <v>1310</v>
      </c>
      <c r="BZ76" t="s">
        <v>1310</v>
      </c>
      <c r="CA76" t="s">
        <v>1309</v>
      </c>
      <c r="CB76" t="s">
        <v>1309</v>
      </c>
      <c r="CC76" t="s">
        <v>1309</v>
      </c>
      <c r="CD76" t="s">
        <v>1309</v>
      </c>
      <c r="CE76" t="s">
        <v>1309</v>
      </c>
      <c r="CX76" t="s">
        <v>3130</v>
      </c>
      <c r="CY76" t="s">
        <v>1310</v>
      </c>
      <c r="CZ76" t="s">
        <v>1309</v>
      </c>
      <c r="DA76" t="s">
        <v>1309</v>
      </c>
      <c r="DB76" t="s">
        <v>1310</v>
      </c>
      <c r="DC76" t="s">
        <v>1310</v>
      </c>
      <c r="DD76" t="s">
        <v>1310</v>
      </c>
      <c r="DE76" t="s">
        <v>1309</v>
      </c>
      <c r="DF76" t="s">
        <v>1309</v>
      </c>
      <c r="DG76" t="s">
        <v>1309</v>
      </c>
      <c r="DH76" t="s">
        <v>1310</v>
      </c>
      <c r="DI76" t="s">
        <v>1309</v>
      </c>
      <c r="DJ76" t="s">
        <v>1309</v>
      </c>
      <c r="DK76" t="s">
        <v>1309</v>
      </c>
      <c r="DM76" t="s">
        <v>4434</v>
      </c>
      <c r="DO76" t="s">
        <v>1357</v>
      </c>
      <c r="DP76" t="s">
        <v>1309</v>
      </c>
      <c r="DQ76" t="s">
        <v>1309</v>
      </c>
      <c r="DR76" t="s">
        <v>1309</v>
      </c>
      <c r="DS76" t="s">
        <v>1309</v>
      </c>
      <c r="DT76" t="s">
        <v>1310</v>
      </c>
      <c r="DU76" t="s">
        <v>1309</v>
      </c>
      <c r="DV76" t="s">
        <v>1309</v>
      </c>
      <c r="DX76" t="s">
        <v>1358</v>
      </c>
      <c r="DZ76">
        <v>3200</v>
      </c>
      <c r="EB76">
        <v>850</v>
      </c>
      <c r="EC76" t="s">
        <v>1358</v>
      </c>
      <c r="ED76">
        <v>3950</v>
      </c>
      <c r="EF76">
        <v>1000</v>
      </c>
      <c r="EG76" t="s">
        <v>2911</v>
      </c>
      <c r="EH76" t="s">
        <v>1310</v>
      </c>
      <c r="EI76" t="s">
        <v>1309</v>
      </c>
      <c r="EJ76" t="s">
        <v>1309</v>
      </c>
      <c r="EK76" t="s">
        <v>1310</v>
      </c>
      <c r="EL76" t="s">
        <v>1309</v>
      </c>
      <c r="EM76" t="s">
        <v>1309</v>
      </c>
      <c r="EN76" t="s">
        <v>1309</v>
      </c>
      <c r="EO76" t="s">
        <v>1309</v>
      </c>
      <c r="EQ76" t="s">
        <v>1319</v>
      </c>
      <c r="ER76" t="s">
        <v>1319</v>
      </c>
      <c r="ES76" t="s">
        <v>1319</v>
      </c>
      <c r="EU76" t="s">
        <v>3131</v>
      </c>
      <c r="EV76" t="s">
        <v>1309</v>
      </c>
      <c r="EW76" t="s">
        <v>1310</v>
      </c>
      <c r="EX76" t="s">
        <v>1309</v>
      </c>
      <c r="EY76" t="s">
        <v>1309</v>
      </c>
      <c r="EZ76" t="s">
        <v>1309</v>
      </c>
      <c r="FA76" t="s">
        <v>1310</v>
      </c>
      <c r="FB76" t="s">
        <v>1309</v>
      </c>
      <c r="FC76" t="s">
        <v>1309</v>
      </c>
      <c r="FD76" t="s">
        <v>1309</v>
      </c>
      <c r="FE76" t="s">
        <v>1309</v>
      </c>
      <c r="FF76" t="s">
        <v>1309</v>
      </c>
      <c r="FG76" t="s">
        <v>1310</v>
      </c>
      <c r="FH76" t="s">
        <v>1309</v>
      </c>
      <c r="FI76" t="s">
        <v>1309</v>
      </c>
      <c r="FJ76" t="s">
        <v>1309</v>
      </c>
      <c r="FK76" t="s">
        <v>1309</v>
      </c>
      <c r="FL76" t="s">
        <v>1309</v>
      </c>
      <c r="FN76" t="s">
        <v>1307</v>
      </c>
      <c r="GC76" t="s">
        <v>1448</v>
      </c>
      <c r="GD76" t="s">
        <v>1448</v>
      </c>
      <c r="GN76" t="s">
        <v>1364</v>
      </c>
      <c r="HB76" t="s">
        <v>1307</v>
      </c>
      <c r="HR76" t="s">
        <v>1414</v>
      </c>
      <c r="HS76" t="s">
        <v>1309</v>
      </c>
      <c r="HT76" t="s">
        <v>1309</v>
      </c>
      <c r="HU76" t="s">
        <v>1309</v>
      </c>
      <c r="HV76" t="s">
        <v>1309</v>
      </c>
      <c r="HW76" t="s">
        <v>1309</v>
      </c>
      <c r="HX76" t="s">
        <v>1309</v>
      </c>
      <c r="HY76" t="s">
        <v>1310</v>
      </c>
      <c r="HZ76" t="s">
        <v>1309</v>
      </c>
      <c r="IB76" s="92" t="s">
        <v>2061</v>
      </c>
      <c r="IC76" s="92" t="s">
        <v>3132</v>
      </c>
      <c r="ID76" s="92">
        <v>39</v>
      </c>
      <c r="IE76" s="92" t="s">
        <v>1307</v>
      </c>
      <c r="IF76" s="92" t="s">
        <v>4396</v>
      </c>
      <c r="IG76" s="92" t="s">
        <v>1526</v>
      </c>
      <c r="IH76" s="92" t="s">
        <v>1296</v>
      </c>
      <c r="II76" s="92" t="s">
        <v>70</v>
      </c>
      <c r="IJ76" s="92" t="s">
        <v>5549</v>
      </c>
      <c r="IK76" s="92" t="s">
        <v>1337</v>
      </c>
      <c r="IL76" s="92" t="s">
        <v>4845</v>
      </c>
      <c r="IM76" s="92" t="s">
        <v>1370</v>
      </c>
      <c r="IN76" s="92" t="s">
        <v>192</v>
      </c>
      <c r="IO76" s="92" t="s">
        <v>4847</v>
      </c>
      <c r="IP76" s="92" t="s">
        <v>1416</v>
      </c>
      <c r="IQ76" s="92">
        <v>4050</v>
      </c>
      <c r="IR76" s="92" t="s">
        <v>4438</v>
      </c>
      <c r="IS76" s="92" t="s">
        <v>192</v>
      </c>
      <c r="IT76" s="92" t="s">
        <v>109</v>
      </c>
      <c r="IU76" s="92" t="s">
        <v>192</v>
      </c>
      <c r="IV76" s="92" t="s">
        <v>109</v>
      </c>
      <c r="IW76" s="92" t="s">
        <v>1341</v>
      </c>
      <c r="IX76" s="92">
        <v>4950</v>
      </c>
      <c r="IY76" s="92" t="s">
        <v>4438</v>
      </c>
      <c r="IZ76" s="92" t="s">
        <v>1341</v>
      </c>
      <c r="JA76" s="92" t="s">
        <v>1375</v>
      </c>
      <c r="JB76" s="92" t="s">
        <v>192</v>
      </c>
      <c r="JC76" s="92" t="s">
        <v>5795</v>
      </c>
      <c r="JD76" s="92" t="s">
        <v>192</v>
      </c>
      <c r="JE76" s="92" t="s">
        <v>192</v>
      </c>
      <c r="JF76" s="92" t="s">
        <v>4438</v>
      </c>
      <c r="JG76" s="92" t="s">
        <v>4438</v>
      </c>
      <c r="JH76" s="92" t="s">
        <v>109</v>
      </c>
      <c r="JI76" s="92" t="s">
        <v>109</v>
      </c>
    </row>
    <row r="77" spans="1:269" x14ac:dyDescent="0.25">
      <c r="A77" t="s">
        <v>3133</v>
      </c>
      <c r="B77" t="s">
        <v>3134</v>
      </c>
      <c r="C77" t="s">
        <v>1305</v>
      </c>
      <c r="D77" t="s">
        <v>1381</v>
      </c>
      <c r="F77" t="s">
        <v>1319</v>
      </c>
      <c r="G77" t="s">
        <v>1319</v>
      </c>
      <c r="H77">
        <v>4</v>
      </c>
      <c r="I77" t="s">
        <v>1358</v>
      </c>
      <c r="J77" t="s">
        <v>1614</v>
      </c>
      <c r="K77" t="s">
        <v>1309</v>
      </c>
      <c r="L77" t="s">
        <v>1310</v>
      </c>
      <c r="M77" t="s">
        <v>1310</v>
      </c>
      <c r="N77" t="s">
        <v>1309</v>
      </c>
      <c r="O77" t="s">
        <v>1310</v>
      </c>
      <c r="P77" t="s">
        <v>1309</v>
      </c>
      <c r="Q77" t="s">
        <v>1309</v>
      </c>
      <c r="R77" t="s">
        <v>1309</v>
      </c>
      <c r="S77">
        <v>2</v>
      </c>
      <c r="T77">
        <v>1</v>
      </c>
      <c r="U77" t="s">
        <v>1311</v>
      </c>
      <c r="V77" t="s">
        <v>1312</v>
      </c>
      <c r="W77" t="s">
        <v>1486</v>
      </c>
      <c r="X77" t="s">
        <v>1311</v>
      </c>
      <c r="Y77" t="s">
        <v>1312</v>
      </c>
      <c r="Z77" t="s">
        <v>1312</v>
      </c>
      <c r="AC77">
        <v>3</v>
      </c>
      <c r="AD77">
        <v>6500</v>
      </c>
      <c r="AE77">
        <v>5000</v>
      </c>
      <c r="AF77" t="s">
        <v>1313</v>
      </c>
      <c r="AH77" t="s">
        <v>1307</v>
      </c>
      <c r="AI77" t="s">
        <v>4879</v>
      </c>
      <c r="AK77" t="s">
        <v>1307</v>
      </c>
      <c r="CG77" t="s">
        <v>1544</v>
      </c>
      <c r="CH77" t="s">
        <v>1309</v>
      </c>
      <c r="CI77" t="s">
        <v>1310</v>
      </c>
      <c r="CJ77" t="s">
        <v>1309</v>
      </c>
      <c r="CK77" t="s">
        <v>1309</v>
      </c>
      <c r="CL77" t="s">
        <v>1309</v>
      </c>
      <c r="CM77" t="s">
        <v>1309</v>
      </c>
      <c r="CN77" t="s">
        <v>1309</v>
      </c>
      <c r="CO77" t="s">
        <v>1309</v>
      </c>
      <c r="CP77" t="s">
        <v>1309</v>
      </c>
      <c r="CQ77" t="s">
        <v>1309</v>
      </c>
      <c r="CR77" t="s">
        <v>1309</v>
      </c>
      <c r="CS77" t="s">
        <v>1309</v>
      </c>
      <c r="CT77" t="s">
        <v>1309</v>
      </c>
      <c r="CU77" t="s">
        <v>1309</v>
      </c>
      <c r="CV77" t="s">
        <v>1309</v>
      </c>
      <c r="CX77" t="s">
        <v>2508</v>
      </c>
      <c r="CY77" t="s">
        <v>1309</v>
      </c>
      <c r="CZ77" t="s">
        <v>1309</v>
      </c>
      <c r="DA77" t="s">
        <v>1309</v>
      </c>
      <c r="DB77" t="s">
        <v>1309</v>
      </c>
      <c r="DC77" t="s">
        <v>1309</v>
      </c>
      <c r="DD77" t="s">
        <v>1309</v>
      </c>
      <c r="DE77" t="s">
        <v>1309</v>
      </c>
      <c r="DF77" t="s">
        <v>1310</v>
      </c>
      <c r="DG77" t="s">
        <v>1309</v>
      </c>
      <c r="DH77" t="s">
        <v>1309</v>
      </c>
      <c r="DI77" t="s">
        <v>1309</v>
      </c>
      <c r="DJ77" t="s">
        <v>1309</v>
      </c>
      <c r="DK77" t="s">
        <v>1309</v>
      </c>
      <c r="DM77" t="s">
        <v>4435</v>
      </c>
      <c r="DO77" t="s">
        <v>1357</v>
      </c>
      <c r="DP77" t="s">
        <v>1309</v>
      </c>
      <c r="DQ77" t="s">
        <v>1309</v>
      </c>
      <c r="DR77" t="s">
        <v>1309</v>
      </c>
      <c r="DS77" t="s">
        <v>1309</v>
      </c>
      <c r="DT77" t="s">
        <v>1310</v>
      </c>
      <c r="DU77" t="s">
        <v>1309</v>
      </c>
      <c r="DV77" t="s">
        <v>1309</v>
      </c>
      <c r="DX77" t="s">
        <v>1358</v>
      </c>
      <c r="DY77" t="s">
        <v>1319</v>
      </c>
      <c r="DZ77">
        <v>200</v>
      </c>
      <c r="EA77">
        <v>4000</v>
      </c>
      <c r="EB77">
        <v>2000</v>
      </c>
      <c r="EC77" t="s">
        <v>1318</v>
      </c>
      <c r="ED77">
        <v>200</v>
      </c>
      <c r="EE77">
        <v>4400</v>
      </c>
      <c r="EF77">
        <v>2100</v>
      </c>
      <c r="EG77" t="s">
        <v>2930</v>
      </c>
      <c r="EH77" t="s">
        <v>1309</v>
      </c>
      <c r="EI77" t="s">
        <v>1309</v>
      </c>
      <c r="EJ77" t="s">
        <v>1309</v>
      </c>
      <c r="EK77" t="s">
        <v>1309</v>
      </c>
      <c r="EL77" t="s">
        <v>1310</v>
      </c>
      <c r="EM77" t="s">
        <v>1309</v>
      </c>
      <c r="EN77" t="s">
        <v>1309</v>
      </c>
      <c r="EO77" t="s">
        <v>1309</v>
      </c>
      <c r="EQ77" t="s">
        <v>1307</v>
      </c>
      <c r="ER77" t="s">
        <v>1319</v>
      </c>
      <c r="ES77" t="s">
        <v>1319</v>
      </c>
      <c r="EU77" t="s">
        <v>3135</v>
      </c>
      <c r="EV77" t="s">
        <v>1309</v>
      </c>
      <c r="EW77" t="s">
        <v>1309</v>
      </c>
      <c r="EX77" t="s">
        <v>1309</v>
      </c>
      <c r="EY77" t="s">
        <v>1309</v>
      </c>
      <c r="EZ77" t="s">
        <v>1309</v>
      </c>
      <c r="FA77" t="s">
        <v>1310</v>
      </c>
      <c r="FB77" t="s">
        <v>1310</v>
      </c>
      <c r="FC77" t="s">
        <v>1310</v>
      </c>
      <c r="FD77" t="s">
        <v>1309</v>
      </c>
      <c r="FE77" t="s">
        <v>1310</v>
      </c>
      <c r="FF77" t="s">
        <v>1309</v>
      </c>
      <c r="FG77" t="s">
        <v>1309</v>
      </c>
      <c r="FH77" t="s">
        <v>1309</v>
      </c>
      <c r="FI77" t="s">
        <v>1309</v>
      </c>
      <c r="FJ77" t="s">
        <v>1309</v>
      </c>
      <c r="FK77" t="s">
        <v>1309</v>
      </c>
      <c r="FL77" t="s">
        <v>1309</v>
      </c>
      <c r="FN77" t="s">
        <v>1319</v>
      </c>
      <c r="FO77" t="s">
        <v>1389</v>
      </c>
      <c r="FP77" t="s">
        <v>1310</v>
      </c>
      <c r="FQ77" t="s">
        <v>1310</v>
      </c>
      <c r="FR77" t="s">
        <v>1309</v>
      </c>
      <c r="FS77" t="s">
        <v>1309</v>
      </c>
      <c r="FT77" t="s">
        <v>1309</v>
      </c>
      <c r="FU77" t="s">
        <v>1310</v>
      </c>
      <c r="FV77" t="s">
        <v>1309</v>
      </c>
      <c r="FW77" t="s">
        <v>1309</v>
      </c>
      <c r="FX77" t="s">
        <v>1309</v>
      </c>
      <c r="FY77" t="s">
        <v>1309</v>
      </c>
      <c r="FZ77" t="s">
        <v>1309</v>
      </c>
      <c r="GA77" t="s">
        <v>1309</v>
      </c>
      <c r="GC77" t="s">
        <v>1324</v>
      </c>
      <c r="GD77" t="s">
        <v>1324</v>
      </c>
      <c r="GN77" t="s">
        <v>1437</v>
      </c>
      <c r="GO77" t="s">
        <v>1555</v>
      </c>
      <c r="GP77" t="s">
        <v>1310</v>
      </c>
      <c r="GQ77" t="s">
        <v>1310</v>
      </c>
      <c r="GR77" t="s">
        <v>1309</v>
      </c>
      <c r="GS77" t="s">
        <v>1309</v>
      </c>
      <c r="GT77" t="s">
        <v>1309</v>
      </c>
      <c r="GU77" t="s">
        <v>1310</v>
      </c>
      <c r="GV77" t="s">
        <v>1309</v>
      </c>
      <c r="GW77" t="s">
        <v>1309</v>
      </c>
      <c r="GX77" t="s">
        <v>1309</v>
      </c>
      <c r="GY77" t="s">
        <v>1309</v>
      </c>
      <c r="GZ77" t="s">
        <v>1309</v>
      </c>
      <c r="HB77" t="s">
        <v>1307</v>
      </c>
      <c r="HR77" t="s">
        <v>1523</v>
      </c>
      <c r="HS77" t="s">
        <v>1309</v>
      </c>
      <c r="HT77" t="s">
        <v>1309</v>
      </c>
      <c r="HU77" t="s">
        <v>1309</v>
      </c>
      <c r="HV77" t="s">
        <v>1310</v>
      </c>
      <c r="HW77" t="s">
        <v>1309</v>
      </c>
      <c r="HX77" t="s">
        <v>1309</v>
      </c>
      <c r="HY77" t="s">
        <v>1309</v>
      </c>
      <c r="HZ77" t="s">
        <v>1309</v>
      </c>
      <c r="IB77" s="92" t="s">
        <v>1333</v>
      </c>
      <c r="IC77" s="92" t="s">
        <v>1334</v>
      </c>
      <c r="ID77" s="92">
        <v>35</v>
      </c>
      <c r="IE77" s="92" t="s">
        <v>1307</v>
      </c>
      <c r="IF77" s="92" t="s">
        <v>4398</v>
      </c>
      <c r="IG77" s="92" t="s">
        <v>1336</v>
      </c>
      <c r="IH77" s="92" t="s">
        <v>1296</v>
      </c>
      <c r="II77" s="92" t="s">
        <v>71</v>
      </c>
      <c r="IJ77" s="92" t="s">
        <v>1397</v>
      </c>
      <c r="IK77" s="92" t="s">
        <v>1337</v>
      </c>
      <c r="IL77" s="92" t="s">
        <v>4845</v>
      </c>
      <c r="IM77" s="92" t="s">
        <v>1370</v>
      </c>
      <c r="IN77" s="92" t="s">
        <v>192</v>
      </c>
      <c r="IO77" s="92" t="s">
        <v>4848</v>
      </c>
      <c r="IP77" s="92" t="s">
        <v>1424</v>
      </c>
      <c r="IQ77" s="92">
        <v>6200</v>
      </c>
      <c r="IR77" s="92" t="s">
        <v>1426</v>
      </c>
      <c r="IS77" s="92" t="s">
        <v>192</v>
      </c>
      <c r="IT77" s="92" t="s">
        <v>192</v>
      </c>
      <c r="IU77" s="92" t="s">
        <v>192</v>
      </c>
      <c r="IV77" s="92" t="s">
        <v>192</v>
      </c>
      <c r="IW77" s="92" t="s">
        <v>1341</v>
      </c>
      <c r="IX77" s="92">
        <v>6700</v>
      </c>
      <c r="IY77" s="92" t="s">
        <v>1426</v>
      </c>
      <c r="IZ77" s="92" t="s">
        <v>1341</v>
      </c>
      <c r="JA77" s="92" t="s">
        <v>1375</v>
      </c>
      <c r="JB77" s="92" t="s">
        <v>192</v>
      </c>
      <c r="JC77" s="92" t="s">
        <v>1403</v>
      </c>
      <c r="JD77" s="92" t="s">
        <v>109</v>
      </c>
      <c r="JE77" s="92" t="s">
        <v>109</v>
      </c>
      <c r="JF77" s="92" t="s">
        <v>1400</v>
      </c>
      <c r="JG77" s="92" t="s">
        <v>1400</v>
      </c>
      <c r="JH77" s="92" t="s">
        <v>192</v>
      </c>
      <c r="JI77" s="92" t="s">
        <v>192</v>
      </c>
    </row>
    <row r="78" spans="1:269" x14ac:dyDescent="0.25">
      <c r="A78" t="s">
        <v>3136</v>
      </c>
      <c r="B78" t="s">
        <v>3137</v>
      </c>
      <c r="C78" t="s">
        <v>1305</v>
      </c>
      <c r="D78" t="s">
        <v>1381</v>
      </c>
      <c r="F78" t="s">
        <v>1319</v>
      </c>
      <c r="G78" t="s">
        <v>1319</v>
      </c>
      <c r="H78">
        <v>2</v>
      </c>
      <c r="I78" t="s">
        <v>1358</v>
      </c>
      <c r="J78" t="s">
        <v>1430</v>
      </c>
      <c r="K78" t="s">
        <v>1309</v>
      </c>
      <c r="L78" t="s">
        <v>1309</v>
      </c>
      <c r="M78" t="s">
        <v>1310</v>
      </c>
      <c r="N78" t="s">
        <v>1309</v>
      </c>
      <c r="O78" t="s">
        <v>1309</v>
      </c>
      <c r="P78" t="s">
        <v>1309</v>
      </c>
      <c r="Q78" t="s">
        <v>1309</v>
      </c>
      <c r="R78" t="s">
        <v>1309</v>
      </c>
      <c r="T78">
        <v>2</v>
      </c>
      <c r="U78" t="s">
        <v>1311</v>
      </c>
      <c r="V78" t="s">
        <v>1312</v>
      </c>
      <c r="W78" t="s">
        <v>1486</v>
      </c>
      <c r="X78" t="s">
        <v>1312</v>
      </c>
      <c r="Y78" t="s">
        <v>1312</v>
      </c>
      <c r="Z78" t="s">
        <v>1312</v>
      </c>
      <c r="AC78">
        <v>1</v>
      </c>
      <c r="AD78">
        <v>4000</v>
      </c>
      <c r="AE78">
        <v>5000</v>
      </c>
      <c r="AF78" t="s">
        <v>1313</v>
      </c>
      <c r="AH78" t="s">
        <v>1307</v>
      </c>
      <c r="AI78" t="s">
        <v>4879</v>
      </c>
      <c r="AK78" t="s">
        <v>1319</v>
      </c>
      <c r="AL78" t="s">
        <v>1315</v>
      </c>
      <c r="AN78" t="s">
        <v>1316</v>
      </c>
      <c r="BU78" t="s">
        <v>1414</v>
      </c>
      <c r="BV78" t="s">
        <v>1309</v>
      </c>
      <c r="BW78" t="s">
        <v>1309</v>
      </c>
      <c r="BX78" t="s">
        <v>1309</v>
      </c>
      <c r="BY78" t="s">
        <v>1309</v>
      </c>
      <c r="BZ78" t="s">
        <v>1309</v>
      </c>
      <c r="CA78" t="s">
        <v>1309</v>
      </c>
      <c r="CB78" t="s">
        <v>1309</v>
      </c>
      <c r="CC78" t="s">
        <v>1309</v>
      </c>
      <c r="CD78" t="s">
        <v>1310</v>
      </c>
      <c r="CE78" t="s">
        <v>1309</v>
      </c>
      <c r="CX78" t="s">
        <v>2135</v>
      </c>
      <c r="CY78" t="s">
        <v>1309</v>
      </c>
      <c r="CZ78" t="s">
        <v>1309</v>
      </c>
      <c r="DA78" t="s">
        <v>1309</v>
      </c>
      <c r="DB78" t="s">
        <v>1309</v>
      </c>
      <c r="DC78" t="s">
        <v>1309</v>
      </c>
      <c r="DD78" t="s">
        <v>1310</v>
      </c>
      <c r="DE78" t="s">
        <v>1309</v>
      </c>
      <c r="DF78" t="s">
        <v>1309</v>
      </c>
      <c r="DG78" t="s">
        <v>1309</v>
      </c>
      <c r="DH78" t="s">
        <v>1309</v>
      </c>
      <c r="DI78" t="s">
        <v>1309</v>
      </c>
      <c r="DJ78" t="s">
        <v>1309</v>
      </c>
      <c r="DK78" t="s">
        <v>1309</v>
      </c>
      <c r="DM78" t="s">
        <v>4435</v>
      </c>
      <c r="DO78" t="s">
        <v>1308</v>
      </c>
      <c r="DP78" t="s">
        <v>1310</v>
      </c>
      <c r="DQ78" t="s">
        <v>1309</v>
      </c>
      <c r="DR78" t="s">
        <v>1309</v>
      </c>
      <c r="DS78" t="s">
        <v>1309</v>
      </c>
      <c r="DT78" t="s">
        <v>1309</v>
      </c>
      <c r="DU78" t="s">
        <v>1309</v>
      </c>
      <c r="DV78" t="s">
        <v>1309</v>
      </c>
      <c r="DX78" t="s">
        <v>1358</v>
      </c>
      <c r="DY78" t="s">
        <v>1319</v>
      </c>
      <c r="DZ78">
        <v>300</v>
      </c>
      <c r="EA78">
        <v>1900</v>
      </c>
      <c r="EB78">
        <v>250</v>
      </c>
      <c r="EC78" t="s">
        <v>1358</v>
      </c>
      <c r="ED78">
        <v>250</v>
      </c>
      <c r="EE78">
        <v>2000</v>
      </c>
      <c r="EF78">
        <v>250</v>
      </c>
      <c r="EG78" t="s">
        <v>1703</v>
      </c>
      <c r="EH78" t="s">
        <v>1310</v>
      </c>
      <c r="EI78" t="s">
        <v>1309</v>
      </c>
      <c r="EJ78" t="s">
        <v>1309</v>
      </c>
      <c r="EK78" t="s">
        <v>1309</v>
      </c>
      <c r="EL78" t="s">
        <v>1309</v>
      </c>
      <c r="EM78" t="s">
        <v>1309</v>
      </c>
      <c r="EN78" t="s">
        <v>1309</v>
      </c>
      <c r="EO78" t="s">
        <v>1309</v>
      </c>
      <c r="EQ78" t="s">
        <v>1307</v>
      </c>
      <c r="ER78" t="s">
        <v>1319</v>
      </c>
      <c r="ES78" t="s">
        <v>1319</v>
      </c>
      <c r="EU78" t="s">
        <v>2181</v>
      </c>
      <c r="EV78" t="s">
        <v>1309</v>
      </c>
      <c r="EW78" t="s">
        <v>1309</v>
      </c>
      <c r="EX78" t="s">
        <v>1309</v>
      </c>
      <c r="EY78" t="s">
        <v>1309</v>
      </c>
      <c r="EZ78" t="s">
        <v>1309</v>
      </c>
      <c r="FA78" t="s">
        <v>1310</v>
      </c>
      <c r="FB78" t="s">
        <v>1310</v>
      </c>
      <c r="FC78" t="s">
        <v>1310</v>
      </c>
      <c r="FD78" t="s">
        <v>1309</v>
      </c>
      <c r="FE78" t="s">
        <v>1309</v>
      </c>
      <c r="FF78" t="s">
        <v>1309</v>
      </c>
      <c r="FG78" t="s">
        <v>1309</v>
      </c>
      <c r="FH78" t="s">
        <v>1310</v>
      </c>
      <c r="FI78" t="s">
        <v>1309</v>
      </c>
      <c r="FJ78" t="s">
        <v>1309</v>
      </c>
      <c r="FK78" t="s">
        <v>1309</v>
      </c>
      <c r="FL78" t="s">
        <v>1309</v>
      </c>
      <c r="FN78" t="s">
        <v>1307</v>
      </c>
      <c r="GC78" t="s">
        <v>1448</v>
      </c>
      <c r="GD78" t="s">
        <v>1448</v>
      </c>
      <c r="GN78" t="s">
        <v>1364</v>
      </c>
      <c r="HB78" t="s">
        <v>1414</v>
      </c>
      <c r="HR78" t="s">
        <v>1523</v>
      </c>
      <c r="HS78" t="s">
        <v>1309</v>
      </c>
      <c r="HT78" t="s">
        <v>1309</v>
      </c>
      <c r="HU78" t="s">
        <v>1309</v>
      </c>
      <c r="HV78" t="s">
        <v>1310</v>
      </c>
      <c r="HW78" t="s">
        <v>1309</v>
      </c>
      <c r="HX78" t="s">
        <v>1309</v>
      </c>
      <c r="HY78" t="s">
        <v>1309</v>
      </c>
      <c r="HZ78" t="s">
        <v>1309</v>
      </c>
      <c r="IB78" s="92" t="s">
        <v>1333</v>
      </c>
      <c r="IC78" s="92" t="s">
        <v>1334</v>
      </c>
      <c r="ID78" s="92">
        <v>68</v>
      </c>
      <c r="IE78" s="92" t="s">
        <v>1307</v>
      </c>
      <c r="IF78" s="92" t="s">
        <v>4398</v>
      </c>
      <c r="IG78" s="92" t="s">
        <v>1336</v>
      </c>
      <c r="IH78" s="92" t="s">
        <v>1296</v>
      </c>
      <c r="II78" s="92" t="s">
        <v>71</v>
      </c>
      <c r="IJ78" s="92" t="s">
        <v>1397</v>
      </c>
      <c r="IK78" s="92" t="s">
        <v>1369</v>
      </c>
      <c r="IL78" s="92" t="s">
        <v>4845</v>
      </c>
      <c r="IM78" s="92" t="s">
        <v>1476</v>
      </c>
      <c r="IN78" s="92" t="s">
        <v>192</v>
      </c>
      <c r="IO78" s="92" t="s">
        <v>4844</v>
      </c>
      <c r="IP78" s="92" t="s">
        <v>5560</v>
      </c>
      <c r="IQ78" s="92">
        <v>2450</v>
      </c>
      <c r="IR78" s="92" t="s">
        <v>1400</v>
      </c>
      <c r="IS78" s="92" t="s">
        <v>192</v>
      </c>
      <c r="IT78" s="92" t="s">
        <v>192</v>
      </c>
      <c r="IU78" s="92" t="s">
        <v>192</v>
      </c>
      <c r="IV78" s="92" t="s">
        <v>192</v>
      </c>
      <c r="IW78" s="92" t="s">
        <v>1425</v>
      </c>
      <c r="IX78" s="92">
        <v>2500</v>
      </c>
      <c r="IY78" s="92" t="s">
        <v>1400</v>
      </c>
      <c r="IZ78" s="92" t="s">
        <v>1425</v>
      </c>
      <c r="JA78" s="92" t="s">
        <v>1342</v>
      </c>
      <c r="JB78" s="92" t="s">
        <v>192</v>
      </c>
      <c r="JC78" s="92" t="s">
        <v>1403</v>
      </c>
      <c r="JD78" s="92" t="s">
        <v>109</v>
      </c>
      <c r="JE78" s="92" t="s">
        <v>109</v>
      </c>
      <c r="JF78" s="92" t="s">
        <v>4439</v>
      </c>
      <c r="JG78" s="92" t="s">
        <v>4439</v>
      </c>
      <c r="JH78" s="92" t="s">
        <v>192</v>
      </c>
      <c r="JI78" s="92" t="s">
        <v>192</v>
      </c>
    </row>
    <row r="79" spans="1:269" x14ac:dyDescent="0.25">
      <c r="A79" t="s">
        <v>3138</v>
      </c>
      <c r="B79" t="s">
        <v>3139</v>
      </c>
      <c r="C79" t="s">
        <v>1305</v>
      </c>
      <c r="D79" t="s">
        <v>1306</v>
      </c>
      <c r="F79" t="s">
        <v>1319</v>
      </c>
      <c r="G79" t="s">
        <v>1319</v>
      </c>
      <c r="H79">
        <v>3</v>
      </c>
      <c r="I79" t="s">
        <v>1358</v>
      </c>
      <c r="J79" t="s">
        <v>1406</v>
      </c>
      <c r="K79" t="s">
        <v>1309</v>
      </c>
      <c r="L79" t="s">
        <v>1310</v>
      </c>
      <c r="M79" t="s">
        <v>1309</v>
      </c>
      <c r="N79" t="s">
        <v>1309</v>
      </c>
      <c r="O79" t="s">
        <v>1309</v>
      </c>
      <c r="P79" t="s">
        <v>1309</v>
      </c>
      <c r="Q79" t="s">
        <v>1309</v>
      </c>
      <c r="R79" t="s">
        <v>1309</v>
      </c>
      <c r="S79">
        <v>1</v>
      </c>
      <c r="U79" t="s">
        <v>1312</v>
      </c>
      <c r="V79" t="s">
        <v>1312</v>
      </c>
      <c r="W79" t="s">
        <v>1312</v>
      </c>
      <c r="X79" t="s">
        <v>1312</v>
      </c>
      <c r="Y79" t="s">
        <v>1312</v>
      </c>
      <c r="Z79" t="s">
        <v>1312</v>
      </c>
      <c r="AC79">
        <v>2</v>
      </c>
      <c r="AD79">
        <v>7000</v>
      </c>
      <c r="AE79">
        <v>5000</v>
      </c>
      <c r="AF79" t="s">
        <v>1351</v>
      </c>
      <c r="AH79" t="s">
        <v>1307</v>
      </c>
      <c r="AI79" t="s">
        <v>4876</v>
      </c>
      <c r="AK79" t="s">
        <v>1307</v>
      </c>
      <c r="CG79" t="s">
        <v>1698</v>
      </c>
      <c r="CH79" t="s">
        <v>1309</v>
      </c>
      <c r="CI79" t="s">
        <v>1309</v>
      </c>
      <c r="CJ79" t="s">
        <v>1309</v>
      </c>
      <c r="CK79" t="s">
        <v>1309</v>
      </c>
      <c r="CL79" t="s">
        <v>1309</v>
      </c>
      <c r="CM79" t="s">
        <v>1309</v>
      </c>
      <c r="CN79" t="s">
        <v>1309</v>
      </c>
      <c r="CO79" t="s">
        <v>1309</v>
      </c>
      <c r="CP79" t="s">
        <v>1309</v>
      </c>
      <c r="CQ79" t="s">
        <v>1309</v>
      </c>
      <c r="CR79" t="s">
        <v>1309</v>
      </c>
      <c r="CS79" t="s">
        <v>1309</v>
      </c>
      <c r="CT79" t="s">
        <v>1310</v>
      </c>
      <c r="CU79" t="s">
        <v>1309</v>
      </c>
      <c r="CV79" t="s">
        <v>1309</v>
      </c>
      <c r="CW79" t="s">
        <v>3140</v>
      </c>
      <c r="CX79" t="s">
        <v>1414</v>
      </c>
      <c r="CY79" t="s">
        <v>1309</v>
      </c>
      <c r="CZ79" t="s">
        <v>1309</v>
      </c>
      <c r="DA79" t="s">
        <v>1309</v>
      </c>
      <c r="DB79" t="s">
        <v>1309</v>
      </c>
      <c r="DC79" t="s">
        <v>1309</v>
      </c>
      <c r="DD79" t="s">
        <v>1309</v>
      </c>
      <c r="DE79" t="s">
        <v>1309</v>
      </c>
      <c r="DF79" t="s">
        <v>1309</v>
      </c>
      <c r="DG79" t="s">
        <v>1309</v>
      </c>
      <c r="DH79" t="s">
        <v>1309</v>
      </c>
      <c r="DI79" t="s">
        <v>1309</v>
      </c>
      <c r="DJ79" t="s">
        <v>1310</v>
      </c>
      <c r="DK79" t="s">
        <v>1309</v>
      </c>
      <c r="DM79" t="s">
        <v>4436</v>
      </c>
      <c r="DO79" t="s">
        <v>1308</v>
      </c>
      <c r="DP79" t="s">
        <v>1310</v>
      </c>
      <c r="DQ79" t="s">
        <v>1309</v>
      </c>
      <c r="DR79" t="s">
        <v>1309</v>
      </c>
      <c r="DS79" t="s">
        <v>1309</v>
      </c>
      <c r="DT79" t="s">
        <v>1309</v>
      </c>
      <c r="DU79" t="s">
        <v>1309</v>
      </c>
      <c r="DV79" t="s">
        <v>1309</v>
      </c>
      <c r="DX79" t="s">
        <v>1358</v>
      </c>
      <c r="DY79" t="s">
        <v>1319</v>
      </c>
      <c r="DZ79">
        <v>500</v>
      </c>
      <c r="EB79">
        <v>300</v>
      </c>
      <c r="EC79" t="s">
        <v>1318</v>
      </c>
      <c r="EF79">
        <v>800</v>
      </c>
      <c r="EG79" t="s">
        <v>2911</v>
      </c>
      <c r="EH79" t="s">
        <v>1310</v>
      </c>
      <c r="EI79" t="s">
        <v>1309</v>
      </c>
      <c r="EJ79" t="s">
        <v>1309</v>
      </c>
      <c r="EK79" t="s">
        <v>1310</v>
      </c>
      <c r="EL79" t="s">
        <v>1309</v>
      </c>
      <c r="EM79" t="s">
        <v>1309</v>
      </c>
      <c r="EN79" t="s">
        <v>1309</v>
      </c>
      <c r="EO79" t="s">
        <v>1309</v>
      </c>
      <c r="EQ79" t="s">
        <v>1307</v>
      </c>
      <c r="ER79" t="s">
        <v>1319</v>
      </c>
      <c r="ES79" t="s">
        <v>1307</v>
      </c>
      <c r="ET79" t="s">
        <v>1307</v>
      </c>
      <c r="EU79" t="s">
        <v>1697</v>
      </c>
      <c r="EV79" t="s">
        <v>1309</v>
      </c>
      <c r="EW79" t="s">
        <v>1309</v>
      </c>
      <c r="EX79" t="s">
        <v>1309</v>
      </c>
      <c r="EY79" t="s">
        <v>1309</v>
      </c>
      <c r="EZ79" t="s">
        <v>1309</v>
      </c>
      <c r="FA79" t="s">
        <v>1309</v>
      </c>
      <c r="FB79" t="s">
        <v>1309</v>
      </c>
      <c r="FC79" t="s">
        <v>1310</v>
      </c>
      <c r="FD79" t="s">
        <v>1309</v>
      </c>
      <c r="FE79" t="s">
        <v>1309</v>
      </c>
      <c r="FF79" t="s">
        <v>1309</v>
      </c>
      <c r="FG79" t="s">
        <v>1309</v>
      </c>
      <c r="FH79" t="s">
        <v>1309</v>
      </c>
      <c r="FI79" t="s">
        <v>1309</v>
      </c>
      <c r="FJ79" t="s">
        <v>1309</v>
      </c>
      <c r="FK79" t="s">
        <v>1309</v>
      </c>
      <c r="FL79" t="s">
        <v>1309</v>
      </c>
      <c r="FN79" t="s">
        <v>1307</v>
      </c>
      <c r="GC79" t="s">
        <v>1324</v>
      </c>
      <c r="GD79" t="s">
        <v>1324</v>
      </c>
      <c r="GN79" t="s">
        <v>1328</v>
      </c>
      <c r="GO79" t="s">
        <v>1329</v>
      </c>
      <c r="GP79" t="s">
        <v>1309</v>
      </c>
      <c r="GQ79" t="s">
        <v>1309</v>
      </c>
      <c r="GR79" t="s">
        <v>1309</v>
      </c>
      <c r="GS79" t="s">
        <v>1310</v>
      </c>
      <c r="GT79" t="s">
        <v>1309</v>
      </c>
      <c r="GU79" t="s">
        <v>1309</v>
      </c>
      <c r="GV79" t="s">
        <v>1309</v>
      </c>
      <c r="GW79" t="s">
        <v>1309</v>
      </c>
      <c r="GX79" t="s">
        <v>1309</v>
      </c>
      <c r="GY79" t="s">
        <v>1309</v>
      </c>
      <c r="GZ79" t="s">
        <v>1309</v>
      </c>
      <c r="HB79" t="s">
        <v>1319</v>
      </c>
      <c r="HC79" t="s">
        <v>1423</v>
      </c>
      <c r="HD79" t="s">
        <v>1309</v>
      </c>
      <c r="HE79" t="s">
        <v>1309</v>
      </c>
      <c r="HF79" t="s">
        <v>1309</v>
      </c>
      <c r="HG79" t="s">
        <v>1309</v>
      </c>
      <c r="HH79" t="s">
        <v>1310</v>
      </c>
      <c r="HI79" t="s">
        <v>1309</v>
      </c>
      <c r="HJ79" t="s">
        <v>1309</v>
      </c>
      <c r="HK79" t="s">
        <v>1309</v>
      </c>
      <c r="HL79" t="s">
        <v>1309</v>
      </c>
      <c r="HM79" t="s">
        <v>1309</v>
      </c>
      <c r="HN79" t="s">
        <v>1309</v>
      </c>
      <c r="HO79" t="s">
        <v>1309</v>
      </c>
      <c r="HP79" t="s">
        <v>1309</v>
      </c>
      <c r="HR79" t="s">
        <v>1332</v>
      </c>
      <c r="HS79" t="s">
        <v>1309</v>
      </c>
      <c r="HT79" t="s">
        <v>1309</v>
      </c>
      <c r="HU79" t="s">
        <v>1309</v>
      </c>
      <c r="HV79" t="s">
        <v>1309</v>
      </c>
      <c r="HW79" t="s">
        <v>1310</v>
      </c>
      <c r="HX79" t="s">
        <v>1309</v>
      </c>
      <c r="HY79" t="s">
        <v>1309</v>
      </c>
      <c r="HZ79" t="s">
        <v>1309</v>
      </c>
      <c r="IB79" s="92" t="s">
        <v>2092</v>
      </c>
      <c r="IC79" s="92" t="s">
        <v>3141</v>
      </c>
      <c r="ID79" s="92">
        <v>28</v>
      </c>
      <c r="IE79" s="92" t="s">
        <v>1307</v>
      </c>
      <c r="IF79" s="92" t="s">
        <v>4395</v>
      </c>
      <c r="IG79" s="92" t="s">
        <v>1368</v>
      </c>
      <c r="IH79" s="92" t="s">
        <v>1296</v>
      </c>
      <c r="II79" s="92" t="s">
        <v>70</v>
      </c>
      <c r="IJ79" s="92" t="s">
        <v>1397</v>
      </c>
      <c r="IK79" s="92" t="s">
        <v>1398</v>
      </c>
      <c r="IL79" s="92" t="s">
        <v>4845</v>
      </c>
      <c r="IM79" s="92" t="s">
        <v>1415</v>
      </c>
      <c r="IN79" s="92" t="s">
        <v>109</v>
      </c>
      <c r="IO79" s="92" t="s">
        <v>4847</v>
      </c>
      <c r="IP79" s="92" t="s">
        <v>1424</v>
      </c>
      <c r="IQ79" s="92">
        <v>800</v>
      </c>
      <c r="IR79" s="92" t="s">
        <v>4438</v>
      </c>
      <c r="IS79" s="92" t="s">
        <v>192</v>
      </c>
      <c r="IT79" s="92" t="s">
        <v>109</v>
      </c>
      <c r="IU79" s="92" t="s">
        <v>109</v>
      </c>
      <c r="IV79" s="92" t="s">
        <v>109</v>
      </c>
      <c r="IW79" s="92" t="s">
        <v>1374</v>
      </c>
      <c r="IX79" s="92">
        <v>800</v>
      </c>
      <c r="IY79" s="92" t="s">
        <v>4438</v>
      </c>
      <c r="IZ79" s="92" t="s">
        <v>1374</v>
      </c>
      <c r="JA79" s="92" t="s">
        <v>1401</v>
      </c>
      <c r="JB79" s="92" t="s">
        <v>192</v>
      </c>
      <c r="JC79" s="92" t="s">
        <v>1403</v>
      </c>
      <c r="JD79" s="92" t="s">
        <v>109</v>
      </c>
      <c r="JE79" s="92" t="s">
        <v>109</v>
      </c>
      <c r="JF79" s="92" t="s">
        <v>4438</v>
      </c>
      <c r="JG79" s="92" t="s">
        <v>4438</v>
      </c>
      <c r="JH79" s="92" t="s">
        <v>109</v>
      </c>
      <c r="JI79" s="92" t="s">
        <v>109</v>
      </c>
    </row>
    <row r="80" spans="1:269" x14ac:dyDescent="0.25">
      <c r="A80" t="s">
        <v>3142</v>
      </c>
      <c r="B80" t="s">
        <v>3143</v>
      </c>
      <c r="C80" t="s">
        <v>1305</v>
      </c>
      <c r="D80" t="s">
        <v>1381</v>
      </c>
      <c r="F80" t="s">
        <v>1319</v>
      </c>
      <c r="G80" t="s">
        <v>1319</v>
      </c>
      <c r="H80">
        <v>1</v>
      </c>
      <c r="J80" t="s">
        <v>1308</v>
      </c>
      <c r="K80" t="s">
        <v>1309</v>
      </c>
      <c r="L80" t="s">
        <v>1309</v>
      </c>
      <c r="M80" t="s">
        <v>1309</v>
      </c>
      <c r="N80" t="s">
        <v>1309</v>
      </c>
      <c r="O80" t="s">
        <v>1309</v>
      </c>
      <c r="P80" t="s">
        <v>1309</v>
      </c>
      <c r="Q80" t="s">
        <v>1310</v>
      </c>
      <c r="R80" t="s">
        <v>1309</v>
      </c>
      <c r="U80" t="s">
        <v>1312</v>
      </c>
      <c r="V80" t="s">
        <v>1312</v>
      </c>
      <c r="W80" t="s">
        <v>1312</v>
      </c>
      <c r="X80" t="s">
        <v>1312</v>
      </c>
      <c r="Y80" t="s">
        <v>1312</v>
      </c>
      <c r="Z80" t="s">
        <v>1312</v>
      </c>
      <c r="AC80">
        <v>1</v>
      </c>
      <c r="AE80">
        <v>11000</v>
      </c>
      <c r="AF80" t="s">
        <v>1313</v>
      </c>
      <c r="AH80" t="s">
        <v>1307</v>
      </c>
      <c r="AI80" t="s">
        <v>4879</v>
      </c>
      <c r="AK80" t="s">
        <v>1307</v>
      </c>
      <c r="CG80" t="s">
        <v>1544</v>
      </c>
      <c r="CH80" t="s">
        <v>1309</v>
      </c>
      <c r="CI80" t="s">
        <v>1310</v>
      </c>
      <c r="CJ80" t="s">
        <v>1309</v>
      </c>
      <c r="CK80" t="s">
        <v>1309</v>
      </c>
      <c r="CL80" t="s">
        <v>1309</v>
      </c>
      <c r="CM80" t="s">
        <v>1309</v>
      </c>
      <c r="CN80" t="s">
        <v>1309</v>
      </c>
      <c r="CO80" t="s">
        <v>1309</v>
      </c>
      <c r="CP80" t="s">
        <v>1309</v>
      </c>
      <c r="CQ80" t="s">
        <v>1309</v>
      </c>
      <c r="CR80" t="s">
        <v>1309</v>
      </c>
      <c r="CS80" t="s">
        <v>1309</v>
      </c>
      <c r="CT80" t="s">
        <v>1309</v>
      </c>
      <c r="CU80" t="s">
        <v>1309</v>
      </c>
      <c r="CV80" t="s">
        <v>1309</v>
      </c>
      <c r="CX80" t="s">
        <v>2135</v>
      </c>
      <c r="CY80" t="s">
        <v>1309</v>
      </c>
      <c r="CZ80" t="s">
        <v>1309</v>
      </c>
      <c r="DA80" t="s">
        <v>1309</v>
      </c>
      <c r="DB80" t="s">
        <v>1309</v>
      </c>
      <c r="DC80" t="s">
        <v>1309</v>
      </c>
      <c r="DD80" t="s">
        <v>1310</v>
      </c>
      <c r="DE80" t="s">
        <v>1309</v>
      </c>
      <c r="DF80" t="s">
        <v>1309</v>
      </c>
      <c r="DG80" t="s">
        <v>1309</v>
      </c>
      <c r="DH80" t="s">
        <v>1309</v>
      </c>
      <c r="DI80" t="s">
        <v>1309</v>
      </c>
      <c r="DJ80" t="s">
        <v>1309</v>
      </c>
      <c r="DK80" t="s">
        <v>1309</v>
      </c>
      <c r="DM80" t="s">
        <v>4435</v>
      </c>
      <c r="DO80" t="s">
        <v>1308</v>
      </c>
      <c r="DP80" t="s">
        <v>1310</v>
      </c>
      <c r="DQ80" t="s">
        <v>1309</v>
      </c>
      <c r="DR80" t="s">
        <v>1309</v>
      </c>
      <c r="DS80" t="s">
        <v>1309</v>
      </c>
      <c r="DT80" t="s">
        <v>1309</v>
      </c>
      <c r="DU80" t="s">
        <v>1309</v>
      </c>
      <c r="DV80" t="s">
        <v>1309</v>
      </c>
      <c r="DX80" t="s">
        <v>1358</v>
      </c>
      <c r="DY80" t="s">
        <v>1319</v>
      </c>
      <c r="DZ80">
        <v>50</v>
      </c>
      <c r="EA80">
        <v>1700</v>
      </c>
      <c r="EB80">
        <v>600</v>
      </c>
      <c r="EC80" t="s">
        <v>1358</v>
      </c>
      <c r="ED80">
        <v>50</v>
      </c>
      <c r="EE80">
        <v>1700</v>
      </c>
      <c r="EF80">
        <v>600</v>
      </c>
      <c r="EG80" t="s">
        <v>1423</v>
      </c>
      <c r="EH80" t="s">
        <v>1309</v>
      </c>
      <c r="EI80" t="s">
        <v>1310</v>
      </c>
      <c r="EJ80" t="s">
        <v>1309</v>
      </c>
      <c r="EK80" t="s">
        <v>1309</v>
      </c>
      <c r="EL80" t="s">
        <v>1309</v>
      </c>
      <c r="EM80" t="s">
        <v>1309</v>
      </c>
      <c r="EN80" t="s">
        <v>1309</v>
      </c>
      <c r="EO80" t="s">
        <v>1309</v>
      </c>
      <c r="EQ80" t="s">
        <v>1319</v>
      </c>
      <c r="ER80" t="s">
        <v>1319</v>
      </c>
      <c r="ES80" t="s">
        <v>1319</v>
      </c>
      <c r="EU80" t="s">
        <v>3144</v>
      </c>
      <c r="EV80" t="s">
        <v>1309</v>
      </c>
      <c r="EW80" t="s">
        <v>1309</v>
      </c>
      <c r="EX80" t="s">
        <v>1309</v>
      </c>
      <c r="EY80" t="s">
        <v>1309</v>
      </c>
      <c r="EZ80" t="s">
        <v>1309</v>
      </c>
      <c r="FA80" t="s">
        <v>1310</v>
      </c>
      <c r="FB80" t="s">
        <v>1309</v>
      </c>
      <c r="FC80" t="s">
        <v>1310</v>
      </c>
      <c r="FD80" t="s">
        <v>1310</v>
      </c>
      <c r="FE80" t="s">
        <v>1309</v>
      </c>
      <c r="FF80" t="s">
        <v>1309</v>
      </c>
      <c r="FG80" t="s">
        <v>1309</v>
      </c>
      <c r="FH80" t="s">
        <v>1309</v>
      </c>
      <c r="FI80" t="s">
        <v>1309</v>
      </c>
      <c r="FJ80" t="s">
        <v>1309</v>
      </c>
      <c r="FK80" t="s">
        <v>1309</v>
      </c>
      <c r="FL80" t="s">
        <v>1309</v>
      </c>
      <c r="FN80" t="s">
        <v>1319</v>
      </c>
      <c r="FO80" t="s">
        <v>1626</v>
      </c>
      <c r="FP80" t="s">
        <v>1309</v>
      </c>
      <c r="FQ80" t="s">
        <v>1310</v>
      </c>
      <c r="FR80" t="s">
        <v>1309</v>
      </c>
      <c r="FS80" t="s">
        <v>1309</v>
      </c>
      <c r="FT80" t="s">
        <v>1309</v>
      </c>
      <c r="FU80" t="s">
        <v>1309</v>
      </c>
      <c r="FV80" t="s">
        <v>1309</v>
      </c>
      <c r="FW80" t="s">
        <v>1309</v>
      </c>
      <c r="FX80" t="s">
        <v>1309</v>
      </c>
      <c r="FY80" t="s">
        <v>1309</v>
      </c>
      <c r="FZ80" t="s">
        <v>1309</v>
      </c>
      <c r="GA80" t="s">
        <v>1309</v>
      </c>
      <c r="GC80" t="s">
        <v>1411</v>
      </c>
      <c r="GD80" t="s">
        <v>1411</v>
      </c>
      <c r="GN80" t="s">
        <v>1692</v>
      </c>
      <c r="GO80" t="s">
        <v>1726</v>
      </c>
      <c r="GP80" t="s">
        <v>1310</v>
      </c>
      <c r="GQ80" t="s">
        <v>1310</v>
      </c>
      <c r="GR80" t="s">
        <v>1309</v>
      </c>
      <c r="GS80" t="s">
        <v>1309</v>
      </c>
      <c r="GT80" t="s">
        <v>1310</v>
      </c>
      <c r="GU80" t="s">
        <v>1309</v>
      </c>
      <c r="GV80" t="s">
        <v>1309</v>
      </c>
      <c r="GW80" t="s">
        <v>1309</v>
      </c>
      <c r="GX80" t="s">
        <v>1309</v>
      </c>
      <c r="GY80" t="s">
        <v>1309</v>
      </c>
      <c r="GZ80" t="s">
        <v>1309</v>
      </c>
      <c r="HB80" t="s">
        <v>1307</v>
      </c>
      <c r="HR80" t="s">
        <v>1332</v>
      </c>
      <c r="HS80" t="s">
        <v>1309</v>
      </c>
      <c r="HT80" t="s">
        <v>1309</v>
      </c>
      <c r="HU80" t="s">
        <v>1309</v>
      </c>
      <c r="HV80" t="s">
        <v>1309</v>
      </c>
      <c r="HW80" t="s">
        <v>1310</v>
      </c>
      <c r="HX80" t="s">
        <v>1309</v>
      </c>
      <c r="HY80" t="s">
        <v>1309</v>
      </c>
      <c r="HZ80" t="s">
        <v>1309</v>
      </c>
      <c r="IB80" s="92" t="s">
        <v>1333</v>
      </c>
      <c r="IC80" s="92" t="s">
        <v>1334</v>
      </c>
      <c r="ID80" s="92">
        <v>53</v>
      </c>
      <c r="IE80" s="92" t="s">
        <v>1307</v>
      </c>
      <c r="IF80" s="92" t="s">
        <v>4398</v>
      </c>
      <c r="IG80" s="92" t="s">
        <v>1336</v>
      </c>
      <c r="IH80" s="92" t="s">
        <v>1296</v>
      </c>
      <c r="II80" s="92" t="s">
        <v>71</v>
      </c>
      <c r="IJ80" s="92" t="s">
        <v>1397</v>
      </c>
      <c r="IK80" s="92" t="s">
        <v>1337</v>
      </c>
      <c r="IL80" s="92" t="s">
        <v>4844</v>
      </c>
      <c r="IM80" s="92" t="s">
        <v>1338</v>
      </c>
      <c r="IN80" s="92" t="s">
        <v>109</v>
      </c>
      <c r="IO80" s="92" t="s">
        <v>4844</v>
      </c>
      <c r="IP80" s="92" t="s">
        <v>1340</v>
      </c>
      <c r="IQ80" s="92">
        <v>2350</v>
      </c>
      <c r="IR80" s="92" t="s">
        <v>1340</v>
      </c>
      <c r="IS80" s="92" t="s">
        <v>192</v>
      </c>
      <c r="IT80" s="92" t="s">
        <v>192</v>
      </c>
      <c r="IU80" s="92" t="s">
        <v>192</v>
      </c>
      <c r="IV80" s="92" t="s">
        <v>192</v>
      </c>
      <c r="IW80" s="92" t="s">
        <v>1425</v>
      </c>
      <c r="IX80" s="92">
        <v>2350</v>
      </c>
      <c r="IY80" s="92" t="s">
        <v>1340</v>
      </c>
      <c r="IZ80" s="92" t="s">
        <v>1425</v>
      </c>
      <c r="JA80" s="92" t="s">
        <v>1342</v>
      </c>
      <c r="JB80" s="92" t="s">
        <v>192</v>
      </c>
      <c r="JC80" s="92" t="s">
        <v>1403</v>
      </c>
      <c r="JD80" s="92" t="s">
        <v>109</v>
      </c>
      <c r="JE80" s="92" t="s">
        <v>109</v>
      </c>
      <c r="JF80" s="92" t="s">
        <v>1340</v>
      </c>
      <c r="JG80" s="92" t="s">
        <v>1340</v>
      </c>
      <c r="JH80" s="92"/>
      <c r="JI80" s="92"/>
    </row>
    <row r="81" spans="1:269" x14ac:dyDescent="0.25">
      <c r="A81" t="s">
        <v>3145</v>
      </c>
      <c r="B81" t="s">
        <v>3146</v>
      </c>
      <c r="C81" t="s">
        <v>1429</v>
      </c>
      <c r="D81" t="s">
        <v>1381</v>
      </c>
      <c r="F81" t="s">
        <v>1319</v>
      </c>
      <c r="G81" t="s">
        <v>1319</v>
      </c>
      <c r="H81">
        <v>4</v>
      </c>
      <c r="I81" t="s">
        <v>1358</v>
      </c>
      <c r="J81" t="s">
        <v>1382</v>
      </c>
      <c r="K81" t="s">
        <v>1309</v>
      </c>
      <c r="L81" t="s">
        <v>1310</v>
      </c>
      <c r="M81" t="s">
        <v>1309</v>
      </c>
      <c r="N81" t="s">
        <v>1309</v>
      </c>
      <c r="O81" t="s">
        <v>1309</v>
      </c>
      <c r="P81" t="s">
        <v>1310</v>
      </c>
      <c r="Q81" t="s">
        <v>1309</v>
      </c>
      <c r="R81" t="s">
        <v>1309</v>
      </c>
      <c r="S81">
        <v>3</v>
      </c>
      <c r="U81" t="s">
        <v>1311</v>
      </c>
      <c r="V81" t="s">
        <v>1312</v>
      </c>
      <c r="W81" t="s">
        <v>1312</v>
      </c>
      <c r="X81" t="s">
        <v>1312</v>
      </c>
      <c r="Y81" t="s">
        <v>1312</v>
      </c>
      <c r="Z81" t="s">
        <v>1312</v>
      </c>
      <c r="AC81">
        <v>4</v>
      </c>
      <c r="AD81">
        <v>10000</v>
      </c>
      <c r="AE81">
        <v>7000</v>
      </c>
      <c r="AF81" t="s">
        <v>1351</v>
      </c>
      <c r="AH81" t="s">
        <v>1307</v>
      </c>
      <c r="AI81" t="s">
        <v>30</v>
      </c>
      <c r="AJ81" t="s">
        <v>2969</v>
      </c>
      <c r="AK81" t="s">
        <v>1307</v>
      </c>
      <c r="CG81" t="s">
        <v>1544</v>
      </c>
      <c r="CH81" t="s">
        <v>1309</v>
      </c>
      <c r="CI81" t="s">
        <v>1310</v>
      </c>
      <c r="CJ81" t="s">
        <v>1309</v>
      </c>
      <c r="CK81" t="s">
        <v>1309</v>
      </c>
      <c r="CL81" t="s">
        <v>1309</v>
      </c>
      <c r="CM81" t="s">
        <v>1309</v>
      </c>
      <c r="CN81" t="s">
        <v>1309</v>
      </c>
      <c r="CO81" t="s">
        <v>1309</v>
      </c>
      <c r="CP81" t="s">
        <v>1309</v>
      </c>
      <c r="CQ81" t="s">
        <v>1309</v>
      </c>
      <c r="CR81" t="s">
        <v>1309</v>
      </c>
      <c r="CS81" t="s">
        <v>1309</v>
      </c>
      <c r="CT81" t="s">
        <v>1309</v>
      </c>
      <c r="CU81" t="s">
        <v>1309</v>
      </c>
      <c r="CV81" t="s">
        <v>1309</v>
      </c>
      <c r="CX81" t="s">
        <v>1597</v>
      </c>
      <c r="CY81" t="s">
        <v>1309</v>
      </c>
      <c r="CZ81" t="s">
        <v>1309</v>
      </c>
      <c r="DA81" t="s">
        <v>1309</v>
      </c>
      <c r="DB81" t="s">
        <v>1309</v>
      </c>
      <c r="DC81" t="s">
        <v>1309</v>
      </c>
      <c r="DD81" t="s">
        <v>1309</v>
      </c>
      <c r="DE81" t="s">
        <v>1310</v>
      </c>
      <c r="DF81" t="s">
        <v>1309</v>
      </c>
      <c r="DG81" t="s">
        <v>1309</v>
      </c>
      <c r="DH81" t="s">
        <v>1309</v>
      </c>
      <c r="DI81" t="s">
        <v>1309</v>
      </c>
      <c r="DJ81" t="s">
        <v>1309</v>
      </c>
      <c r="DK81" t="s">
        <v>1309</v>
      </c>
      <c r="DM81" t="s">
        <v>4436</v>
      </c>
      <c r="DO81" t="s">
        <v>1308</v>
      </c>
      <c r="DP81" t="s">
        <v>1310</v>
      </c>
      <c r="DQ81" t="s">
        <v>1309</v>
      </c>
      <c r="DR81" t="s">
        <v>1309</v>
      </c>
      <c r="DS81" t="s">
        <v>1309</v>
      </c>
      <c r="DT81" t="s">
        <v>1309</v>
      </c>
      <c r="DU81" t="s">
        <v>1309</v>
      </c>
      <c r="DV81" t="s">
        <v>1309</v>
      </c>
      <c r="DX81" t="s">
        <v>1358</v>
      </c>
      <c r="DY81" t="s">
        <v>1319</v>
      </c>
      <c r="EA81">
        <v>2000</v>
      </c>
      <c r="EB81">
        <v>200</v>
      </c>
      <c r="EC81" t="s">
        <v>1358</v>
      </c>
      <c r="EE81">
        <v>3000</v>
      </c>
      <c r="EF81">
        <v>250</v>
      </c>
      <c r="EG81" t="s">
        <v>2930</v>
      </c>
      <c r="EH81" t="s">
        <v>1309</v>
      </c>
      <c r="EI81" t="s">
        <v>1309</v>
      </c>
      <c r="EJ81" t="s">
        <v>1309</v>
      </c>
      <c r="EK81" t="s">
        <v>1309</v>
      </c>
      <c r="EL81" t="s">
        <v>1310</v>
      </c>
      <c r="EM81" t="s">
        <v>1309</v>
      </c>
      <c r="EN81" t="s">
        <v>1309</v>
      </c>
      <c r="EO81" t="s">
        <v>1309</v>
      </c>
      <c r="EQ81" t="s">
        <v>1307</v>
      </c>
      <c r="ER81" t="s">
        <v>1307</v>
      </c>
      <c r="ES81" t="s">
        <v>1307</v>
      </c>
      <c r="ET81" t="s">
        <v>1319</v>
      </c>
      <c r="EU81" t="s">
        <v>3147</v>
      </c>
      <c r="EV81" t="s">
        <v>1310</v>
      </c>
      <c r="EW81" t="s">
        <v>1310</v>
      </c>
      <c r="EX81" t="s">
        <v>1309</v>
      </c>
      <c r="EY81" t="s">
        <v>1309</v>
      </c>
      <c r="EZ81" t="s">
        <v>1309</v>
      </c>
      <c r="FA81" t="s">
        <v>1309</v>
      </c>
      <c r="FB81" t="s">
        <v>1309</v>
      </c>
      <c r="FC81" t="s">
        <v>1309</v>
      </c>
      <c r="FD81" t="s">
        <v>1309</v>
      </c>
      <c r="FE81" t="s">
        <v>1309</v>
      </c>
      <c r="FF81" t="s">
        <v>1309</v>
      </c>
      <c r="FG81" t="s">
        <v>1309</v>
      </c>
      <c r="FH81" t="s">
        <v>1309</v>
      </c>
      <c r="FI81" t="s">
        <v>1309</v>
      </c>
      <c r="FJ81" t="s">
        <v>1309</v>
      </c>
      <c r="FK81" t="s">
        <v>1309</v>
      </c>
      <c r="FL81" t="s">
        <v>1309</v>
      </c>
      <c r="FN81" t="s">
        <v>1307</v>
      </c>
      <c r="GC81" t="s">
        <v>1324</v>
      </c>
      <c r="GD81" t="s">
        <v>1324</v>
      </c>
      <c r="GN81" t="s">
        <v>1364</v>
      </c>
      <c r="HB81" t="s">
        <v>1319</v>
      </c>
      <c r="HC81" t="s">
        <v>1666</v>
      </c>
      <c r="HD81" t="s">
        <v>1309</v>
      </c>
      <c r="HE81" t="s">
        <v>1309</v>
      </c>
      <c r="HF81" t="s">
        <v>1309</v>
      </c>
      <c r="HG81" t="s">
        <v>1309</v>
      </c>
      <c r="HH81" t="s">
        <v>1309</v>
      </c>
      <c r="HI81" t="s">
        <v>1309</v>
      </c>
      <c r="HJ81" t="s">
        <v>1310</v>
      </c>
      <c r="HK81" t="s">
        <v>1309</v>
      </c>
      <c r="HL81" t="s">
        <v>1309</v>
      </c>
      <c r="HM81" t="s">
        <v>1310</v>
      </c>
      <c r="HN81" t="s">
        <v>1309</v>
      </c>
      <c r="HO81" t="s">
        <v>1309</v>
      </c>
      <c r="HP81" t="s">
        <v>1309</v>
      </c>
      <c r="HR81" t="s">
        <v>1332</v>
      </c>
      <c r="HS81" t="s">
        <v>1309</v>
      </c>
      <c r="HT81" t="s">
        <v>1309</v>
      </c>
      <c r="HU81" t="s">
        <v>1309</v>
      </c>
      <c r="HV81" t="s">
        <v>1309</v>
      </c>
      <c r="HW81" t="s">
        <v>1310</v>
      </c>
      <c r="HX81" t="s">
        <v>1309</v>
      </c>
      <c r="HY81" t="s">
        <v>1309</v>
      </c>
      <c r="HZ81" t="s">
        <v>1309</v>
      </c>
      <c r="IB81" s="92" t="s">
        <v>2092</v>
      </c>
      <c r="IC81" s="92" t="s">
        <v>3148</v>
      </c>
      <c r="ID81" s="92">
        <v>39</v>
      </c>
      <c r="IE81" s="92" t="s">
        <v>1307</v>
      </c>
      <c r="IF81" s="92" t="s">
        <v>4398</v>
      </c>
      <c r="IG81" s="92" t="s">
        <v>1368</v>
      </c>
      <c r="IH81" s="92" t="s">
        <v>1296</v>
      </c>
      <c r="II81" s="92" t="s">
        <v>70</v>
      </c>
      <c r="IJ81" s="92" t="s">
        <v>1397</v>
      </c>
      <c r="IK81" s="92" t="s">
        <v>1337</v>
      </c>
      <c r="IL81" s="92" t="s">
        <v>4845</v>
      </c>
      <c r="IM81" s="92" t="s">
        <v>1399</v>
      </c>
      <c r="IN81" s="92" t="s">
        <v>109</v>
      </c>
      <c r="IO81" s="92" t="s">
        <v>4848</v>
      </c>
      <c r="IP81" s="92" t="s">
        <v>1424</v>
      </c>
      <c r="IQ81" s="92">
        <v>2200</v>
      </c>
      <c r="IR81" s="92" t="s">
        <v>4438</v>
      </c>
      <c r="IS81" s="92" t="s">
        <v>109</v>
      </c>
      <c r="IT81" s="92" t="s">
        <v>192</v>
      </c>
      <c r="IU81" s="92" t="s">
        <v>109</v>
      </c>
      <c r="IV81" s="92" t="s">
        <v>192</v>
      </c>
      <c r="IW81" s="92" t="s">
        <v>1425</v>
      </c>
      <c r="IX81" s="92">
        <v>3250</v>
      </c>
      <c r="IY81" s="92" t="s">
        <v>4439</v>
      </c>
      <c r="IZ81" s="92" t="s">
        <v>1341</v>
      </c>
      <c r="JA81" s="92" t="s">
        <v>1401</v>
      </c>
      <c r="JB81" s="92" t="s">
        <v>192</v>
      </c>
      <c r="JC81" s="92" t="s">
        <v>1403</v>
      </c>
      <c r="JD81" s="92" t="s">
        <v>109</v>
      </c>
      <c r="JE81" s="92" t="s">
        <v>109</v>
      </c>
      <c r="JF81" s="92" t="s">
        <v>4438</v>
      </c>
      <c r="JG81" s="92" t="s">
        <v>4439</v>
      </c>
      <c r="JH81" s="92" t="s">
        <v>109</v>
      </c>
      <c r="JI81" s="92" t="s">
        <v>192</v>
      </c>
    </row>
    <row r="82" spans="1:269" x14ac:dyDescent="0.25">
      <c r="A82" t="s">
        <v>3149</v>
      </c>
      <c r="B82" t="s">
        <v>3150</v>
      </c>
      <c r="C82" t="s">
        <v>1429</v>
      </c>
      <c r="D82" t="s">
        <v>1381</v>
      </c>
      <c r="F82" t="s">
        <v>1319</v>
      </c>
      <c r="G82" t="s">
        <v>1319</v>
      </c>
      <c r="H82">
        <v>2</v>
      </c>
      <c r="I82" t="s">
        <v>1358</v>
      </c>
      <c r="J82" t="s">
        <v>1308</v>
      </c>
      <c r="K82" t="s">
        <v>1309</v>
      </c>
      <c r="L82" t="s">
        <v>1309</v>
      </c>
      <c r="M82" t="s">
        <v>1309</v>
      </c>
      <c r="N82" t="s">
        <v>1309</v>
      </c>
      <c r="O82" t="s">
        <v>1309</v>
      </c>
      <c r="P82" t="s">
        <v>1309</v>
      </c>
      <c r="Q82" t="s">
        <v>1310</v>
      </c>
      <c r="R82" t="s">
        <v>1309</v>
      </c>
      <c r="U82" t="s">
        <v>1312</v>
      </c>
      <c r="V82" t="s">
        <v>1312</v>
      </c>
      <c r="W82" t="s">
        <v>1312</v>
      </c>
      <c r="X82" t="s">
        <v>1312</v>
      </c>
      <c r="Y82" t="s">
        <v>1312</v>
      </c>
      <c r="Z82" t="s">
        <v>1312</v>
      </c>
      <c r="AC82">
        <v>2</v>
      </c>
      <c r="AF82" t="s">
        <v>1351</v>
      </c>
      <c r="AH82" t="s">
        <v>1307</v>
      </c>
      <c r="AI82" t="s">
        <v>30</v>
      </c>
      <c r="AJ82" t="s">
        <v>2969</v>
      </c>
      <c r="AK82" t="s">
        <v>1307</v>
      </c>
      <c r="CG82" t="s">
        <v>1544</v>
      </c>
      <c r="CH82" t="s">
        <v>1309</v>
      </c>
      <c r="CI82" t="s">
        <v>1310</v>
      </c>
      <c r="CJ82" t="s">
        <v>1309</v>
      </c>
      <c r="CK82" t="s">
        <v>1309</v>
      </c>
      <c r="CL82" t="s">
        <v>1309</v>
      </c>
      <c r="CM82" t="s">
        <v>1309</v>
      </c>
      <c r="CN82" t="s">
        <v>1309</v>
      </c>
      <c r="CO82" t="s">
        <v>1309</v>
      </c>
      <c r="CP82" t="s">
        <v>1309</v>
      </c>
      <c r="CQ82" t="s">
        <v>1309</v>
      </c>
      <c r="CR82" t="s">
        <v>1309</v>
      </c>
      <c r="CS82" t="s">
        <v>1309</v>
      </c>
      <c r="CT82" t="s">
        <v>1309</v>
      </c>
      <c r="CU82" t="s">
        <v>1309</v>
      </c>
      <c r="CV82" t="s">
        <v>1309</v>
      </c>
      <c r="CX82" t="s">
        <v>2376</v>
      </c>
      <c r="CY82" t="s">
        <v>1309</v>
      </c>
      <c r="CZ82" t="s">
        <v>1309</v>
      </c>
      <c r="DA82" t="s">
        <v>1309</v>
      </c>
      <c r="DB82" t="s">
        <v>1309</v>
      </c>
      <c r="DC82" t="s">
        <v>1309</v>
      </c>
      <c r="DD82" t="s">
        <v>1309</v>
      </c>
      <c r="DE82" t="s">
        <v>1309</v>
      </c>
      <c r="DF82" t="s">
        <v>1309</v>
      </c>
      <c r="DG82" t="s">
        <v>1309</v>
      </c>
      <c r="DH82" t="s">
        <v>1310</v>
      </c>
      <c r="DI82" t="s">
        <v>1309</v>
      </c>
      <c r="DJ82" t="s">
        <v>1309</v>
      </c>
      <c r="DK82" t="s">
        <v>1309</v>
      </c>
      <c r="DM82" t="s">
        <v>4436</v>
      </c>
      <c r="DO82" t="s">
        <v>1308</v>
      </c>
      <c r="DP82" t="s">
        <v>1310</v>
      </c>
      <c r="DQ82" t="s">
        <v>1309</v>
      </c>
      <c r="DR82" t="s">
        <v>1309</v>
      </c>
      <c r="DS82" t="s">
        <v>1309</v>
      </c>
      <c r="DT82" t="s">
        <v>1309</v>
      </c>
      <c r="DU82" t="s">
        <v>1309</v>
      </c>
      <c r="DV82" t="s">
        <v>1309</v>
      </c>
      <c r="DX82" t="s">
        <v>1358</v>
      </c>
      <c r="DY82" t="s">
        <v>1319</v>
      </c>
      <c r="DZ82">
        <v>200</v>
      </c>
      <c r="EB82">
        <v>200</v>
      </c>
      <c r="EC82" t="s">
        <v>1358</v>
      </c>
      <c r="ED82">
        <v>200</v>
      </c>
      <c r="EE82">
        <v>2000</v>
      </c>
      <c r="EF82">
        <v>250</v>
      </c>
      <c r="EG82" t="s">
        <v>2966</v>
      </c>
      <c r="EH82" t="s">
        <v>1309</v>
      </c>
      <c r="EI82" t="s">
        <v>1310</v>
      </c>
      <c r="EJ82" t="s">
        <v>1309</v>
      </c>
      <c r="EK82" t="s">
        <v>1310</v>
      </c>
      <c r="EL82" t="s">
        <v>1309</v>
      </c>
      <c r="EM82" t="s">
        <v>1309</v>
      </c>
      <c r="EN82" t="s">
        <v>1309</v>
      </c>
      <c r="EO82" t="s">
        <v>1309</v>
      </c>
      <c r="EQ82" t="s">
        <v>1307</v>
      </c>
      <c r="ER82" t="s">
        <v>1307</v>
      </c>
      <c r="ES82" t="s">
        <v>1307</v>
      </c>
      <c r="ET82" t="s">
        <v>1307</v>
      </c>
      <c r="FN82" t="s">
        <v>1307</v>
      </c>
      <c r="GC82" t="s">
        <v>1324</v>
      </c>
      <c r="GD82" t="s">
        <v>1324</v>
      </c>
      <c r="GN82" t="s">
        <v>1364</v>
      </c>
      <c r="HB82" t="s">
        <v>1319</v>
      </c>
      <c r="HC82" t="s">
        <v>3151</v>
      </c>
      <c r="HD82" t="s">
        <v>1309</v>
      </c>
      <c r="HE82" t="s">
        <v>1309</v>
      </c>
      <c r="HF82" t="s">
        <v>1309</v>
      </c>
      <c r="HG82" t="s">
        <v>1310</v>
      </c>
      <c r="HH82" t="s">
        <v>1309</v>
      </c>
      <c r="HI82" t="s">
        <v>1309</v>
      </c>
      <c r="HJ82" t="s">
        <v>1309</v>
      </c>
      <c r="HK82" t="s">
        <v>1309</v>
      </c>
      <c r="HL82" t="s">
        <v>1309</v>
      </c>
      <c r="HM82" t="s">
        <v>1310</v>
      </c>
      <c r="HN82" t="s">
        <v>1309</v>
      </c>
      <c r="HO82" t="s">
        <v>1309</v>
      </c>
      <c r="HP82" t="s">
        <v>1309</v>
      </c>
      <c r="HR82" t="s">
        <v>1414</v>
      </c>
      <c r="HS82" t="s">
        <v>1309</v>
      </c>
      <c r="HT82" t="s">
        <v>1309</v>
      </c>
      <c r="HU82" t="s">
        <v>1309</v>
      </c>
      <c r="HV82" t="s">
        <v>1309</v>
      </c>
      <c r="HW82" t="s">
        <v>1309</v>
      </c>
      <c r="HX82" t="s">
        <v>1309</v>
      </c>
      <c r="HY82" t="s">
        <v>1310</v>
      </c>
      <c r="HZ82" t="s">
        <v>1309</v>
      </c>
      <c r="IB82" s="92" t="s">
        <v>2092</v>
      </c>
      <c r="IC82" s="92" t="s">
        <v>3148</v>
      </c>
      <c r="ID82" s="92">
        <v>35</v>
      </c>
      <c r="IE82" s="92" t="s">
        <v>1307</v>
      </c>
      <c r="IF82" s="92" t="s">
        <v>4398</v>
      </c>
      <c r="IG82" s="92" t="s">
        <v>1368</v>
      </c>
      <c r="IH82" s="92" t="s">
        <v>1296</v>
      </c>
      <c r="II82" s="92" t="s">
        <v>70</v>
      </c>
      <c r="IJ82" s="92" t="s">
        <v>1397</v>
      </c>
      <c r="IK82" s="92" t="s">
        <v>1337</v>
      </c>
      <c r="IL82" s="92" t="s">
        <v>4845</v>
      </c>
      <c r="IM82" s="92" t="s">
        <v>1338</v>
      </c>
      <c r="IN82" s="92" t="s">
        <v>109</v>
      </c>
      <c r="IO82" s="92" t="s">
        <v>4847</v>
      </c>
      <c r="IP82" s="92" t="s">
        <v>1340</v>
      </c>
      <c r="IQ82" s="92">
        <v>400</v>
      </c>
      <c r="IR82" s="92" t="s">
        <v>1340</v>
      </c>
      <c r="IS82" s="92" t="s">
        <v>192</v>
      </c>
      <c r="IT82" s="92" t="s">
        <v>109</v>
      </c>
      <c r="IU82" s="92" t="s">
        <v>192</v>
      </c>
      <c r="IV82" s="92" t="s">
        <v>192</v>
      </c>
      <c r="IW82" s="92" t="s">
        <v>1373</v>
      </c>
      <c r="IX82" s="92">
        <v>2450</v>
      </c>
      <c r="IY82" s="92" t="s">
        <v>1340</v>
      </c>
      <c r="IZ82" s="92" t="s">
        <v>1425</v>
      </c>
      <c r="JA82" s="92" t="s">
        <v>1401</v>
      </c>
      <c r="JB82" s="92" t="s">
        <v>192</v>
      </c>
      <c r="JC82" s="92" t="s">
        <v>1403</v>
      </c>
      <c r="JD82" s="92" t="s">
        <v>109</v>
      </c>
      <c r="JE82" s="92" t="s">
        <v>109</v>
      </c>
      <c r="JF82" s="92" t="s">
        <v>1340</v>
      </c>
      <c r="JG82" s="92" t="s">
        <v>1340</v>
      </c>
      <c r="JH82" s="92"/>
      <c r="JI82" s="92"/>
    </row>
    <row r="83" spans="1:269" x14ac:dyDescent="0.25">
      <c r="A83" t="s">
        <v>3152</v>
      </c>
      <c r="B83" t="s">
        <v>3153</v>
      </c>
      <c r="C83" t="s">
        <v>1429</v>
      </c>
      <c r="D83" t="s">
        <v>1381</v>
      </c>
      <c r="F83" t="s">
        <v>1319</v>
      </c>
      <c r="G83" t="s">
        <v>1307</v>
      </c>
      <c r="H83">
        <v>6</v>
      </c>
      <c r="I83" t="s">
        <v>1358</v>
      </c>
      <c r="J83" t="s">
        <v>1406</v>
      </c>
      <c r="K83" t="s">
        <v>1309</v>
      </c>
      <c r="L83" t="s">
        <v>1310</v>
      </c>
      <c r="M83" t="s">
        <v>1309</v>
      </c>
      <c r="N83" t="s">
        <v>1309</v>
      </c>
      <c r="O83" t="s">
        <v>1309</v>
      </c>
      <c r="P83" t="s">
        <v>1309</v>
      </c>
      <c r="Q83" t="s">
        <v>1309</v>
      </c>
      <c r="R83" t="s">
        <v>1309</v>
      </c>
      <c r="S83">
        <v>4</v>
      </c>
      <c r="U83" t="s">
        <v>1311</v>
      </c>
      <c r="V83" t="s">
        <v>1312</v>
      </c>
      <c r="W83" t="s">
        <v>1312</v>
      </c>
      <c r="X83" t="s">
        <v>1312</v>
      </c>
      <c r="Y83" t="s">
        <v>1312</v>
      </c>
      <c r="Z83" t="s">
        <v>1312</v>
      </c>
      <c r="AC83">
        <v>6</v>
      </c>
      <c r="AD83">
        <v>13000</v>
      </c>
      <c r="AE83">
        <v>10000</v>
      </c>
      <c r="AF83" t="s">
        <v>1351</v>
      </c>
      <c r="AH83" t="s">
        <v>1307</v>
      </c>
      <c r="AI83" t="s">
        <v>4732</v>
      </c>
      <c r="AK83" t="s">
        <v>1307</v>
      </c>
      <c r="CG83" t="s">
        <v>1544</v>
      </c>
      <c r="CH83" t="s">
        <v>1309</v>
      </c>
      <c r="CI83" t="s">
        <v>1310</v>
      </c>
      <c r="CJ83" t="s">
        <v>1309</v>
      </c>
      <c r="CK83" t="s">
        <v>1309</v>
      </c>
      <c r="CL83" t="s">
        <v>1309</v>
      </c>
      <c r="CM83" t="s">
        <v>1309</v>
      </c>
      <c r="CN83" t="s">
        <v>1309</v>
      </c>
      <c r="CO83" t="s">
        <v>1309</v>
      </c>
      <c r="CP83" t="s">
        <v>1309</v>
      </c>
      <c r="CQ83" t="s">
        <v>1309</v>
      </c>
      <c r="CR83" t="s">
        <v>1309</v>
      </c>
      <c r="CS83" t="s">
        <v>1309</v>
      </c>
      <c r="CT83" t="s">
        <v>1309</v>
      </c>
      <c r="CU83" t="s">
        <v>1309</v>
      </c>
      <c r="CV83" t="s">
        <v>1309</v>
      </c>
      <c r="CX83" t="s">
        <v>3154</v>
      </c>
      <c r="CY83" t="s">
        <v>1310</v>
      </c>
      <c r="CZ83" t="s">
        <v>1309</v>
      </c>
      <c r="DA83" t="s">
        <v>1309</v>
      </c>
      <c r="DB83" t="s">
        <v>1309</v>
      </c>
      <c r="DC83" t="s">
        <v>1310</v>
      </c>
      <c r="DD83" t="s">
        <v>1310</v>
      </c>
      <c r="DE83" t="s">
        <v>1309</v>
      </c>
      <c r="DF83" t="s">
        <v>1309</v>
      </c>
      <c r="DG83" t="s">
        <v>1310</v>
      </c>
      <c r="DH83" t="s">
        <v>1310</v>
      </c>
      <c r="DI83" t="s">
        <v>1309</v>
      </c>
      <c r="DJ83" t="s">
        <v>1309</v>
      </c>
      <c r="DK83" t="s">
        <v>1309</v>
      </c>
      <c r="DM83" t="s">
        <v>4436</v>
      </c>
      <c r="DO83" t="s">
        <v>1308</v>
      </c>
      <c r="DP83" t="s">
        <v>1310</v>
      </c>
      <c r="DQ83" t="s">
        <v>1309</v>
      </c>
      <c r="DR83" t="s">
        <v>1309</v>
      </c>
      <c r="DS83" t="s">
        <v>1309</v>
      </c>
      <c r="DT83" t="s">
        <v>1309</v>
      </c>
      <c r="DU83" t="s">
        <v>1309</v>
      </c>
      <c r="DV83" t="s">
        <v>1309</v>
      </c>
      <c r="DX83" t="s">
        <v>1358</v>
      </c>
      <c r="DY83" t="s">
        <v>1319</v>
      </c>
      <c r="EA83">
        <v>10000</v>
      </c>
      <c r="EC83" t="s">
        <v>1358</v>
      </c>
      <c r="EG83" t="s">
        <v>1703</v>
      </c>
      <c r="EH83" t="s">
        <v>1310</v>
      </c>
      <c r="EI83" t="s">
        <v>1309</v>
      </c>
      <c r="EJ83" t="s">
        <v>1309</v>
      </c>
      <c r="EK83" t="s">
        <v>1309</v>
      </c>
      <c r="EL83" t="s">
        <v>1309</v>
      </c>
      <c r="EM83" t="s">
        <v>1309</v>
      </c>
      <c r="EN83" t="s">
        <v>1309</v>
      </c>
      <c r="EO83" t="s">
        <v>1309</v>
      </c>
      <c r="EQ83" t="s">
        <v>1307</v>
      </c>
      <c r="ER83" t="s">
        <v>1319</v>
      </c>
      <c r="ES83" t="s">
        <v>1319</v>
      </c>
      <c r="ET83" t="s">
        <v>1319</v>
      </c>
      <c r="EU83" t="s">
        <v>3039</v>
      </c>
      <c r="EV83" t="s">
        <v>1309</v>
      </c>
      <c r="EW83" t="s">
        <v>1309</v>
      </c>
      <c r="EX83" t="s">
        <v>1310</v>
      </c>
      <c r="EY83" t="s">
        <v>1309</v>
      </c>
      <c r="EZ83" t="s">
        <v>1309</v>
      </c>
      <c r="FA83" t="s">
        <v>1309</v>
      </c>
      <c r="FB83" t="s">
        <v>1309</v>
      </c>
      <c r="FC83" t="s">
        <v>1310</v>
      </c>
      <c r="FD83" t="s">
        <v>1309</v>
      </c>
      <c r="FE83" t="s">
        <v>1309</v>
      </c>
      <c r="FF83" t="s">
        <v>1309</v>
      </c>
      <c r="FG83" t="s">
        <v>1309</v>
      </c>
      <c r="FH83" t="s">
        <v>1310</v>
      </c>
      <c r="FI83" t="s">
        <v>1309</v>
      </c>
      <c r="FJ83" t="s">
        <v>1309</v>
      </c>
      <c r="FK83" t="s">
        <v>1309</v>
      </c>
      <c r="FL83" t="s">
        <v>1309</v>
      </c>
      <c r="FN83" t="s">
        <v>1319</v>
      </c>
      <c r="FO83" t="s">
        <v>1649</v>
      </c>
      <c r="FP83" t="s">
        <v>1310</v>
      </c>
      <c r="FQ83" t="s">
        <v>1310</v>
      </c>
      <c r="FR83" t="s">
        <v>1309</v>
      </c>
      <c r="FS83" t="s">
        <v>1309</v>
      </c>
      <c r="FT83" t="s">
        <v>1309</v>
      </c>
      <c r="FU83" t="s">
        <v>1309</v>
      </c>
      <c r="FV83" t="s">
        <v>1309</v>
      </c>
      <c r="FW83" t="s">
        <v>1309</v>
      </c>
      <c r="FX83" t="s">
        <v>1309</v>
      </c>
      <c r="FY83" t="s">
        <v>1309</v>
      </c>
      <c r="FZ83" t="s">
        <v>1309</v>
      </c>
      <c r="GA83" t="s">
        <v>1309</v>
      </c>
      <c r="GC83" t="s">
        <v>1324</v>
      </c>
      <c r="GD83" t="s">
        <v>1324</v>
      </c>
      <c r="GN83" t="s">
        <v>1364</v>
      </c>
      <c r="HB83" t="s">
        <v>1414</v>
      </c>
      <c r="HR83" t="s">
        <v>1414</v>
      </c>
      <c r="HS83" t="s">
        <v>1309</v>
      </c>
      <c r="HT83" t="s">
        <v>1309</v>
      </c>
      <c r="HU83" t="s">
        <v>1309</v>
      </c>
      <c r="HV83" t="s">
        <v>1309</v>
      </c>
      <c r="HW83" t="s">
        <v>1309</v>
      </c>
      <c r="HX83" t="s">
        <v>1309</v>
      </c>
      <c r="HY83" t="s">
        <v>1310</v>
      </c>
      <c r="HZ83" t="s">
        <v>1309</v>
      </c>
      <c r="IB83" s="92" t="s">
        <v>1333</v>
      </c>
      <c r="IC83" s="92" t="s">
        <v>3155</v>
      </c>
      <c r="ID83" s="92">
        <v>38</v>
      </c>
      <c r="IE83" s="92" t="s">
        <v>1307</v>
      </c>
      <c r="IF83" s="92" t="s">
        <v>4395</v>
      </c>
      <c r="IG83" s="92" t="s">
        <v>1336</v>
      </c>
      <c r="IH83" s="92" t="s">
        <v>1296</v>
      </c>
      <c r="II83" s="92" t="s">
        <v>71</v>
      </c>
      <c r="IJ83" s="92" t="s">
        <v>1397</v>
      </c>
      <c r="IK83" s="92" t="s">
        <v>1337</v>
      </c>
      <c r="IL83" s="92" t="s">
        <v>4846</v>
      </c>
      <c r="IM83" s="92" t="s">
        <v>1415</v>
      </c>
      <c r="IN83" s="92" t="s">
        <v>109</v>
      </c>
      <c r="IO83" s="92" t="s">
        <v>4848</v>
      </c>
      <c r="IP83" s="92" t="s">
        <v>1371</v>
      </c>
      <c r="IQ83" s="92">
        <v>10000</v>
      </c>
      <c r="IR83" s="92" t="s">
        <v>1426</v>
      </c>
      <c r="IS83" s="92" t="s">
        <v>109</v>
      </c>
      <c r="IT83" s="92" t="s">
        <v>192</v>
      </c>
      <c r="IU83" s="92" t="s">
        <v>109</v>
      </c>
      <c r="IV83" s="92" t="s">
        <v>109</v>
      </c>
      <c r="IW83" s="92" t="s">
        <v>1341</v>
      </c>
      <c r="IX83" s="92">
        <v>0</v>
      </c>
      <c r="IY83" s="92" t="s">
        <v>1372</v>
      </c>
      <c r="IZ83" s="92" t="s">
        <v>1373</v>
      </c>
      <c r="JA83" s="92" t="s">
        <v>1401</v>
      </c>
      <c r="JB83" s="92" t="s">
        <v>192</v>
      </c>
      <c r="JC83" s="92" t="s">
        <v>1403</v>
      </c>
      <c r="JD83" s="92" t="s">
        <v>109</v>
      </c>
      <c r="JE83" s="92" t="s">
        <v>109</v>
      </c>
      <c r="JF83" s="92" t="s">
        <v>4439</v>
      </c>
      <c r="JG83" s="92" t="s">
        <v>1372</v>
      </c>
      <c r="JH83" s="92" t="s">
        <v>192</v>
      </c>
      <c r="JI83" s="92" t="s">
        <v>109</v>
      </c>
    </row>
    <row r="84" spans="1:269" x14ac:dyDescent="0.25">
      <c r="A84" t="s">
        <v>3156</v>
      </c>
      <c r="B84" t="s">
        <v>3157</v>
      </c>
      <c r="C84" t="s">
        <v>1305</v>
      </c>
      <c r="D84" t="s">
        <v>1381</v>
      </c>
      <c r="F84" t="s">
        <v>1319</v>
      </c>
      <c r="G84" t="s">
        <v>1319</v>
      </c>
      <c r="H84">
        <v>2</v>
      </c>
      <c r="I84" t="s">
        <v>1307</v>
      </c>
      <c r="J84" t="s">
        <v>2165</v>
      </c>
      <c r="K84" t="s">
        <v>1309</v>
      </c>
      <c r="L84" t="s">
        <v>1309</v>
      </c>
      <c r="M84" t="s">
        <v>1310</v>
      </c>
      <c r="N84" t="s">
        <v>1310</v>
      </c>
      <c r="O84" t="s">
        <v>1310</v>
      </c>
      <c r="P84" t="s">
        <v>1309</v>
      </c>
      <c r="Q84" t="s">
        <v>1309</v>
      </c>
      <c r="R84" t="s">
        <v>1309</v>
      </c>
      <c r="T84">
        <v>1</v>
      </c>
      <c r="U84" t="s">
        <v>1312</v>
      </c>
      <c r="V84" t="s">
        <v>1312</v>
      </c>
      <c r="W84" t="s">
        <v>1486</v>
      </c>
      <c r="X84" t="s">
        <v>1312</v>
      </c>
      <c r="Y84" t="s">
        <v>1312</v>
      </c>
      <c r="Z84" t="s">
        <v>1312</v>
      </c>
      <c r="AA84">
        <v>1</v>
      </c>
      <c r="AC84">
        <v>2</v>
      </c>
      <c r="AF84" t="s">
        <v>1351</v>
      </c>
      <c r="AH84" t="s">
        <v>1307</v>
      </c>
      <c r="AI84" t="s">
        <v>4879</v>
      </c>
      <c r="AK84" t="s">
        <v>1307</v>
      </c>
      <c r="CG84" t="s">
        <v>1544</v>
      </c>
      <c r="CH84" t="s">
        <v>1309</v>
      </c>
      <c r="CI84" t="s">
        <v>1310</v>
      </c>
      <c r="CJ84" t="s">
        <v>1309</v>
      </c>
      <c r="CK84" t="s">
        <v>1309</v>
      </c>
      <c r="CL84" t="s">
        <v>1309</v>
      </c>
      <c r="CM84" t="s">
        <v>1309</v>
      </c>
      <c r="CN84" t="s">
        <v>1309</v>
      </c>
      <c r="CO84" t="s">
        <v>1309</v>
      </c>
      <c r="CP84" t="s">
        <v>1309</v>
      </c>
      <c r="CQ84" t="s">
        <v>1309</v>
      </c>
      <c r="CR84" t="s">
        <v>1309</v>
      </c>
      <c r="CS84" t="s">
        <v>1309</v>
      </c>
      <c r="CT84" t="s">
        <v>1309</v>
      </c>
      <c r="CU84" t="s">
        <v>1309</v>
      </c>
      <c r="CV84" t="s">
        <v>1309</v>
      </c>
      <c r="CX84" t="s">
        <v>2508</v>
      </c>
      <c r="CY84" t="s">
        <v>1309</v>
      </c>
      <c r="CZ84" t="s">
        <v>1309</v>
      </c>
      <c r="DA84" t="s">
        <v>1309</v>
      </c>
      <c r="DB84" t="s">
        <v>1309</v>
      </c>
      <c r="DC84" t="s">
        <v>1309</v>
      </c>
      <c r="DD84" t="s">
        <v>1309</v>
      </c>
      <c r="DE84" t="s">
        <v>1309</v>
      </c>
      <c r="DF84" t="s">
        <v>1310</v>
      </c>
      <c r="DG84" t="s">
        <v>1309</v>
      </c>
      <c r="DH84" t="s">
        <v>1309</v>
      </c>
      <c r="DI84" t="s">
        <v>1309</v>
      </c>
      <c r="DJ84" t="s">
        <v>1309</v>
      </c>
      <c r="DK84" t="s">
        <v>1309</v>
      </c>
      <c r="DM84" t="s">
        <v>4436</v>
      </c>
      <c r="DO84" t="s">
        <v>1308</v>
      </c>
      <c r="DP84" t="s">
        <v>1310</v>
      </c>
      <c r="DQ84" t="s">
        <v>1309</v>
      </c>
      <c r="DR84" t="s">
        <v>1309</v>
      </c>
      <c r="DS84" t="s">
        <v>1309</v>
      </c>
      <c r="DT84" t="s">
        <v>1309</v>
      </c>
      <c r="DU84" t="s">
        <v>1309</v>
      </c>
      <c r="DV84" t="s">
        <v>1309</v>
      </c>
      <c r="DX84" t="s">
        <v>1358</v>
      </c>
      <c r="DY84" t="s">
        <v>1319</v>
      </c>
      <c r="DZ84">
        <v>100</v>
      </c>
      <c r="EB84">
        <v>500</v>
      </c>
      <c r="EC84" t="s">
        <v>1358</v>
      </c>
      <c r="ED84">
        <v>100</v>
      </c>
      <c r="EF84">
        <v>500</v>
      </c>
      <c r="EG84" t="s">
        <v>2930</v>
      </c>
      <c r="EH84" t="s">
        <v>1309</v>
      </c>
      <c r="EI84" t="s">
        <v>1309</v>
      </c>
      <c r="EJ84" t="s">
        <v>1309</v>
      </c>
      <c r="EK84" t="s">
        <v>1309</v>
      </c>
      <c r="EL84" t="s">
        <v>1310</v>
      </c>
      <c r="EM84" t="s">
        <v>1309</v>
      </c>
      <c r="EN84" t="s">
        <v>1309</v>
      </c>
      <c r="EO84" t="s">
        <v>1309</v>
      </c>
      <c r="EQ84" t="s">
        <v>1414</v>
      </c>
      <c r="ER84" t="s">
        <v>1307</v>
      </c>
      <c r="ES84" t="s">
        <v>1307</v>
      </c>
      <c r="ET84" t="s">
        <v>1307</v>
      </c>
      <c r="FN84" t="s">
        <v>1319</v>
      </c>
      <c r="FO84" t="s">
        <v>1649</v>
      </c>
      <c r="FP84" t="s">
        <v>1310</v>
      </c>
      <c r="FQ84" t="s">
        <v>1310</v>
      </c>
      <c r="FR84" t="s">
        <v>1309</v>
      </c>
      <c r="FS84" t="s">
        <v>1309</v>
      </c>
      <c r="FT84" t="s">
        <v>1309</v>
      </c>
      <c r="FU84" t="s">
        <v>1309</v>
      </c>
      <c r="FV84" t="s">
        <v>1309</v>
      </c>
      <c r="FW84" t="s">
        <v>1309</v>
      </c>
      <c r="FX84" t="s">
        <v>1309</v>
      </c>
      <c r="FY84" t="s">
        <v>1309</v>
      </c>
      <c r="FZ84" t="s">
        <v>1309</v>
      </c>
      <c r="GA84" t="s">
        <v>1309</v>
      </c>
      <c r="GC84" t="s">
        <v>1324</v>
      </c>
      <c r="GD84" t="s">
        <v>1324</v>
      </c>
      <c r="GN84" t="s">
        <v>1437</v>
      </c>
      <c r="GO84" t="s">
        <v>1549</v>
      </c>
      <c r="GP84" t="s">
        <v>1310</v>
      </c>
      <c r="GQ84" t="s">
        <v>1310</v>
      </c>
      <c r="GR84" t="s">
        <v>1309</v>
      </c>
      <c r="GS84" t="s">
        <v>1309</v>
      </c>
      <c r="GT84" t="s">
        <v>1309</v>
      </c>
      <c r="GU84" t="s">
        <v>1309</v>
      </c>
      <c r="GV84" t="s">
        <v>1309</v>
      </c>
      <c r="GW84" t="s">
        <v>1309</v>
      </c>
      <c r="GX84" t="s">
        <v>1309</v>
      </c>
      <c r="GY84" t="s">
        <v>1309</v>
      </c>
      <c r="GZ84" t="s">
        <v>1309</v>
      </c>
      <c r="HB84" t="s">
        <v>1307</v>
      </c>
      <c r="HR84" t="s">
        <v>1332</v>
      </c>
      <c r="HS84" t="s">
        <v>1309</v>
      </c>
      <c r="HT84" t="s">
        <v>1309</v>
      </c>
      <c r="HU84" t="s">
        <v>1309</v>
      </c>
      <c r="HV84" t="s">
        <v>1309</v>
      </c>
      <c r="HW84" t="s">
        <v>1310</v>
      </c>
      <c r="HX84" t="s">
        <v>1309</v>
      </c>
      <c r="HY84" t="s">
        <v>1309</v>
      </c>
      <c r="HZ84" t="s">
        <v>1309</v>
      </c>
      <c r="IB84" s="92" t="s">
        <v>2158</v>
      </c>
      <c r="IC84" s="92" t="s">
        <v>3158</v>
      </c>
      <c r="ID84" s="92">
        <v>48</v>
      </c>
      <c r="IE84" s="92" t="s">
        <v>1307</v>
      </c>
      <c r="IF84" s="92" t="s">
        <v>4399</v>
      </c>
      <c r="IG84" s="92" t="s">
        <v>1526</v>
      </c>
      <c r="IH84" s="92" t="s">
        <v>1296</v>
      </c>
      <c r="II84" s="92" t="s">
        <v>70</v>
      </c>
      <c r="IJ84" s="92" t="s">
        <v>5549</v>
      </c>
      <c r="IK84" s="92" t="s">
        <v>1337</v>
      </c>
      <c r="IL84" s="92" t="s">
        <v>4845</v>
      </c>
      <c r="IM84" s="92" t="s">
        <v>1439</v>
      </c>
      <c r="IN84" s="92" t="s">
        <v>192</v>
      </c>
      <c r="IO84" s="92" t="s">
        <v>4847</v>
      </c>
      <c r="IP84" s="92" t="s">
        <v>1340</v>
      </c>
      <c r="IQ84" s="92">
        <v>600</v>
      </c>
      <c r="IR84" s="92" t="s">
        <v>1340</v>
      </c>
      <c r="IS84" s="92" t="s">
        <v>192</v>
      </c>
      <c r="IT84" s="92" t="s">
        <v>109</v>
      </c>
      <c r="IU84" s="92" t="s">
        <v>192</v>
      </c>
      <c r="IV84" s="92" t="s">
        <v>109</v>
      </c>
      <c r="IW84" s="92" t="s">
        <v>1374</v>
      </c>
      <c r="IX84" s="92">
        <v>600</v>
      </c>
      <c r="IY84" s="92" t="s">
        <v>1340</v>
      </c>
      <c r="IZ84" s="92" t="s">
        <v>1374</v>
      </c>
      <c r="JA84" s="92" t="s">
        <v>1401</v>
      </c>
      <c r="JB84" s="92" t="s">
        <v>192</v>
      </c>
      <c r="JC84" s="92" t="s">
        <v>1378</v>
      </c>
      <c r="JD84" s="92" t="s">
        <v>109</v>
      </c>
      <c r="JE84" s="92" t="s">
        <v>192</v>
      </c>
      <c r="JF84" s="92" t="s">
        <v>1340</v>
      </c>
      <c r="JG84" s="92" t="s">
        <v>1340</v>
      </c>
      <c r="JH84" s="92"/>
      <c r="JI84" s="92"/>
    </row>
    <row r="85" spans="1:269" x14ac:dyDescent="0.25">
      <c r="A85" t="s">
        <v>3159</v>
      </c>
      <c r="B85" t="s">
        <v>3160</v>
      </c>
      <c r="C85" t="s">
        <v>1429</v>
      </c>
      <c r="D85" t="s">
        <v>1381</v>
      </c>
      <c r="F85" t="s">
        <v>1319</v>
      </c>
      <c r="G85" t="s">
        <v>1319</v>
      </c>
      <c r="H85">
        <v>2</v>
      </c>
      <c r="I85" t="s">
        <v>1358</v>
      </c>
      <c r="J85" t="s">
        <v>1479</v>
      </c>
      <c r="K85" t="s">
        <v>1309</v>
      </c>
      <c r="L85" t="s">
        <v>1309</v>
      </c>
      <c r="M85" t="s">
        <v>1309</v>
      </c>
      <c r="N85" t="s">
        <v>1309</v>
      </c>
      <c r="O85" t="s">
        <v>1310</v>
      </c>
      <c r="P85" t="s">
        <v>1309</v>
      </c>
      <c r="Q85" t="s">
        <v>1309</v>
      </c>
      <c r="R85" t="s">
        <v>1309</v>
      </c>
      <c r="U85" t="s">
        <v>1312</v>
      </c>
      <c r="V85" t="s">
        <v>1312</v>
      </c>
      <c r="W85" t="s">
        <v>1312</v>
      </c>
      <c r="X85" t="s">
        <v>1312</v>
      </c>
      <c r="Y85" t="s">
        <v>1312</v>
      </c>
      <c r="Z85" t="s">
        <v>1312</v>
      </c>
      <c r="AC85">
        <v>2</v>
      </c>
      <c r="AD85">
        <v>20000</v>
      </c>
      <c r="AE85">
        <v>15000</v>
      </c>
      <c r="AF85" t="s">
        <v>1313</v>
      </c>
      <c r="AH85" t="s">
        <v>1307</v>
      </c>
      <c r="AI85" t="s">
        <v>4879</v>
      </c>
      <c r="AK85" t="s">
        <v>1307</v>
      </c>
      <c r="CG85" t="s">
        <v>1544</v>
      </c>
      <c r="CH85" t="s">
        <v>1309</v>
      </c>
      <c r="CI85" t="s">
        <v>1310</v>
      </c>
      <c r="CJ85" t="s">
        <v>1309</v>
      </c>
      <c r="CK85" t="s">
        <v>1309</v>
      </c>
      <c r="CL85" t="s">
        <v>1309</v>
      </c>
      <c r="CM85" t="s">
        <v>1309</v>
      </c>
      <c r="CN85" t="s">
        <v>1309</v>
      </c>
      <c r="CO85" t="s">
        <v>1309</v>
      </c>
      <c r="CP85" t="s">
        <v>1309</v>
      </c>
      <c r="CQ85" t="s">
        <v>1309</v>
      </c>
      <c r="CR85" t="s">
        <v>1309</v>
      </c>
      <c r="CS85" t="s">
        <v>1309</v>
      </c>
      <c r="CT85" t="s">
        <v>1309</v>
      </c>
      <c r="CU85" t="s">
        <v>1309</v>
      </c>
      <c r="CV85" t="s">
        <v>1309</v>
      </c>
      <c r="CX85" t="s">
        <v>1414</v>
      </c>
      <c r="CY85" t="s">
        <v>1309</v>
      </c>
      <c r="CZ85" t="s">
        <v>1309</v>
      </c>
      <c r="DA85" t="s">
        <v>1309</v>
      </c>
      <c r="DB85" t="s">
        <v>1309</v>
      </c>
      <c r="DC85" t="s">
        <v>1309</v>
      </c>
      <c r="DD85" t="s">
        <v>1309</v>
      </c>
      <c r="DE85" t="s">
        <v>1309</v>
      </c>
      <c r="DF85" t="s">
        <v>1309</v>
      </c>
      <c r="DG85" t="s">
        <v>1309</v>
      </c>
      <c r="DH85" t="s">
        <v>1309</v>
      </c>
      <c r="DI85" t="s">
        <v>1309</v>
      </c>
      <c r="DJ85" t="s">
        <v>1310</v>
      </c>
      <c r="DK85" t="s">
        <v>1309</v>
      </c>
      <c r="DM85" t="s">
        <v>4435</v>
      </c>
      <c r="DO85" t="s">
        <v>1308</v>
      </c>
      <c r="DP85" t="s">
        <v>1310</v>
      </c>
      <c r="DQ85" t="s">
        <v>1309</v>
      </c>
      <c r="DR85" t="s">
        <v>1309</v>
      </c>
      <c r="DS85" t="s">
        <v>1309</v>
      </c>
      <c r="DT85" t="s">
        <v>1309</v>
      </c>
      <c r="DU85" t="s">
        <v>1309</v>
      </c>
      <c r="DV85" t="s">
        <v>1309</v>
      </c>
      <c r="DX85" t="s">
        <v>1358</v>
      </c>
      <c r="DY85" t="s">
        <v>1307</v>
      </c>
      <c r="EA85">
        <v>1200</v>
      </c>
      <c r="EB85">
        <v>900</v>
      </c>
      <c r="EC85" t="s">
        <v>1358</v>
      </c>
      <c r="EE85">
        <v>1200</v>
      </c>
      <c r="EF85">
        <v>900</v>
      </c>
      <c r="EG85" t="s">
        <v>1703</v>
      </c>
      <c r="EH85" t="s">
        <v>1310</v>
      </c>
      <c r="EI85" t="s">
        <v>1309</v>
      </c>
      <c r="EJ85" t="s">
        <v>1309</v>
      </c>
      <c r="EK85" t="s">
        <v>1309</v>
      </c>
      <c r="EL85" t="s">
        <v>1309</v>
      </c>
      <c r="EM85" t="s">
        <v>1309</v>
      </c>
      <c r="EN85" t="s">
        <v>1309</v>
      </c>
      <c r="EO85" t="s">
        <v>1309</v>
      </c>
      <c r="EQ85" t="s">
        <v>1319</v>
      </c>
      <c r="ER85" t="s">
        <v>1307</v>
      </c>
      <c r="FN85" t="s">
        <v>1319</v>
      </c>
      <c r="FO85" t="s">
        <v>1435</v>
      </c>
      <c r="FP85" t="s">
        <v>1310</v>
      </c>
      <c r="FQ85" t="s">
        <v>1309</v>
      </c>
      <c r="FR85" t="s">
        <v>1309</v>
      </c>
      <c r="FS85" t="s">
        <v>1309</v>
      </c>
      <c r="FT85" t="s">
        <v>1309</v>
      </c>
      <c r="FU85" t="s">
        <v>1309</v>
      </c>
      <c r="FV85" t="s">
        <v>1309</v>
      </c>
      <c r="FW85" t="s">
        <v>1309</v>
      </c>
      <c r="FX85" t="s">
        <v>1309</v>
      </c>
      <c r="FY85" t="s">
        <v>1309</v>
      </c>
      <c r="FZ85" t="s">
        <v>1309</v>
      </c>
      <c r="GA85" t="s">
        <v>1309</v>
      </c>
      <c r="GC85" t="s">
        <v>1448</v>
      </c>
      <c r="GD85" t="s">
        <v>1448</v>
      </c>
      <c r="GN85" t="s">
        <v>1364</v>
      </c>
      <c r="HB85" t="s">
        <v>1307</v>
      </c>
      <c r="HR85" t="s">
        <v>1523</v>
      </c>
      <c r="HS85" t="s">
        <v>1309</v>
      </c>
      <c r="HT85" t="s">
        <v>1309</v>
      </c>
      <c r="HU85" t="s">
        <v>1309</v>
      </c>
      <c r="HV85" t="s">
        <v>1310</v>
      </c>
      <c r="HW85" t="s">
        <v>1309</v>
      </c>
      <c r="HX85" t="s">
        <v>1309</v>
      </c>
      <c r="HY85" t="s">
        <v>1309</v>
      </c>
      <c r="HZ85" t="s">
        <v>1309</v>
      </c>
      <c r="IB85" s="92" t="s">
        <v>1333</v>
      </c>
      <c r="IC85" s="92" t="s">
        <v>1334</v>
      </c>
      <c r="ID85" s="92">
        <v>19</v>
      </c>
      <c r="IE85" s="92" t="s">
        <v>1307</v>
      </c>
      <c r="IF85" s="92" t="s">
        <v>4398</v>
      </c>
      <c r="IG85" s="92" t="s">
        <v>1336</v>
      </c>
      <c r="IH85" s="92" t="s">
        <v>1296</v>
      </c>
      <c r="II85" s="92" t="s">
        <v>71</v>
      </c>
      <c r="IJ85" s="92" t="s">
        <v>1397</v>
      </c>
      <c r="IK85" s="92" t="s">
        <v>1398</v>
      </c>
      <c r="IL85" s="92" t="s">
        <v>4845</v>
      </c>
      <c r="IM85" s="92" t="s">
        <v>1338</v>
      </c>
      <c r="IN85" s="92" t="s">
        <v>109</v>
      </c>
      <c r="IO85" s="92" t="s">
        <v>4847</v>
      </c>
      <c r="IP85" s="92" t="s">
        <v>1452</v>
      </c>
      <c r="IQ85" s="92">
        <v>2100</v>
      </c>
      <c r="IR85" s="92" t="s">
        <v>1372</v>
      </c>
      <c r="IS85" s="92" t="s">
        <v>109</v>
      </c>
      <c r="IT85" s="92" t="s">
        <v>192</v>
      </c>
      <c r="IU85" s="92" t="s">
        <v>109</v>
      </c>
      <c r="IV85" s="92" t="s">
        <v>192</v>
      </c>
      <c r="IW85" s="92" t="s">
        <v>1425</v>
      </c>
      <c r="IX85" s="92">
        <v>2100</v>
      </c>
      <c r="IY85" s="92" t="s">
        <v>1372</v>
      </c>
      <c r="IZ85" s="92" t="s">
        <v>1425</v>
      </c>
      <c r="JA85" s="92" t="s">
        <v>1342</v>
      </c>
      <c r="JB85" s="92" t="s">
        <v>109</v>
      </c>
      <c r="JC85" s="92" t="s">
        <v>1403</v>
      </c>
      <c r="JD85" s="92" t="s">
        <v>109</v>
      </c>
      <c r="JE85" s="92" t="s">
        <v>109</v>
      </c>
      <c r="JF85" s="92" t="s">
        <v>4438</v>
      </c>
      <c r="JG85" s="92" t="s">
        <v>4438</v>
      </c>
      <c r="JH85" s="92" t="s">
        <v>109</v>
      </c>
      <c r="JI85" s="92" t="s">
        <v>109</v>
      </c>
    </row>
    <row r="86" spans="1:269" x14ac:dyDescent="0.25">
      <c r="A86" t="s">
        <v>3161</v>
      </c>
      <c r="B86" t="s">
        <v>3162</v>
      </c>
      <c r="C86" t="s">
        <v>1429</v>
      </c>
      <c r="D86" t="s">
        <v>1306</v>
      </c>
      <c r="F86" t="s">
        <v>1307</v>
      </c>
      <c r="G86" t="s">
        <v>1319</v>
      </c>
      <c r="H86">
        <v>4</v>
      </c>
      <c r="I86" t="s">
        <v>1307</v>
      </c>
      <c r="J86" t="s">
        <v>1406</v>
      </c>
      <c r="K86" t="s">
        <v>1309</v>
      </c>
      <c r="L86" t="s">
        <v>1310</v>
      </c>
      <c r="M86" t="s">
        <v>1309</v>
      </c>
      <c r="N86" t="s">
        <v>1309</v>
      </c>
      <c r="O86" t="s">
        <v>1309</v>
      </c>
      <c r="P86" t="s">
        <v>1309</v>
      </c>
      <c r="Q86" t="s">
        <v>1309</v>
      </c>
      <c r="R86" t="s">
        <v>1309</v>
      </c>
      <c r="S86">
        <v>2</v>
      </c>
      <c r="U86" t="s">
        <v>1312</v>
      </c>
      <c r="V86" t="s">
        <v>1312</v>
      </c>
      <c r="W86" t="s">
        <v>1312</v>
      </c>
      <c r="X86" t="s">
        <v>1312</v>
      </c>
      <c r="Y86" t="s">
        <v>1312</v>
      </c>
      <c r="Z86" t="s">
        <v>1312</v>
      </c>
      <c r="AC86">
        <v>2</v>
      </c>
      <c r="AD86">
        <v>11500</v>
      </c>
      <c r="AE86">
        <v>12000</v>
      </c>
      <c r="AF86" t="s">
        <v>1313</v>
      </c>
      <c r="AH86" t="s">
        <v>1319</v>
      </c>
      <c r="AI86" t="s">
        <v>4879</v>
      </c>
      <c r="AK86" t="s">
        <v>1319</v>
      </c>
      <c r="AL86" t="s">
        <v>1315</v>
      </c>
      <c r="AN86" t="s">
        <v>1450</v>
      </c>
      <c r="AO86" t="s">
        <v>3163</v>
      </c>
      <c r="AP86" t="s">
        <v>1309</v>
      </c>
      <c r="AQ86" t="s">
        <v>1310</v>
      </c>
      <c r="AR86" t="s">
        <v>1309</v>
      </c>
      <c r="AS86" t="s">
        <v>1309</v>
      </c>
      <c r="AT86" t="s">
        <v>1309</v>
      </c>
      <c r="AU86" t="s">
        <v>1309</v>
      </c>
      <c r="AV86" t="s">
        <v>1309</v>
      </c>
      <c r="AW86" t="s">
        <v>1309</v>
      </c>
      <c r="AX86" t="s">
        <v>1310</v>
      </c>
      <c r="AY86" t="s">
        <v>1309</v>
      </c>
      <c r="AZ86" t="s">
        <v>1309</v>
      </c>
      <c r="BA86" t="s">
        <v>1309</v>
      </c>
      <c r="BU86" t="s">
        <v>3164</v>
      </c>
      <c r="BV86" t="s">
        <v>1310</v>
      </c>
      <c r="BW86" t="s">
        <v>1310</v>
      </c>
      <c r="BX86" t="s">
        <v>1309</v>
      </c>
      <c r="BY86" t="s">
        <v>1309</v>
      </c>
      <c r="BZ86" t="s">
        <v>1309</v>
      </c>
      <c r="CA86" t="s">
        <v>1309</v>
      </c>
      <c r="CB86" t="s">
        <v>1309</v>
      </c>
      <c r="CC86" t="s">
        <v>1309</v>
      </c>
      <c r="CD86" t="s">
        <v>1309</v>
      </c>
      <c r="CE86" t="s">
        <v>1309</v>
      </c>
      <c r="CX86" t="s">
        <v>2135</v>
      </c>
      <c r="CY86" t="s">
        <v>1309</v>
      </c>
      <c r="CZ86" t="s">
        <v>1309</v>
      </c>
      <c r="DA86" t="s">
        <v>1309</v>
      </c>
      <c r="DB86" t="s">
        <v>1309</v>
      </c>
      <c r="DC86" t="s">
        <v>1309</v>
      </c>
      <c r="DD86" t="s">
        <v>1310</v>
      </c>
      <c r="DE86" t="s">
        <v>1309</v>
      </c>
      <c r="DF86" t="s">
        <v>1309</v>
      </c>
      <c r="DG86" t="s">
        <v>1309</v>
      </c>
      <c r="DH86" t="s">
        <v>1309</v>
      </c>
      <c r="DI86" t="s">
        <v>1309</v>
      </c>
      <c r="DJ86" t="s">
        <v>1309</v>
      </c>
      <c r="DK86" t="s">
        <v>1309</v>
      </c>
      <c r="DM86" t="s">
        <v>4435</v>
      </c>
      <c r="DO86" t="s">
        <v>1308</v>
      </c>
      <c r="DP86" t="s">
        <v>1310</v>
      </c>
      <c r="DQ86" t="s">
        <v>1309</v>
      </c>
      <c r="DR86" t="s">
        <v>1309</v>
      </c>
      <c r="DS86" t="s">
        <v>1309</v>
      </c>
      <c r="DT86" t="s">
        <v>1309</v>
      </c>
      <c r="DU86" t="s">
        <v>1309</v>
      </c>
      <c r="DV86" t="s">
        <v>1309</v>
      </c>
      <c r="DX86" t="s">
        <v>1358</v>
      </c>
      <c r="DY86" t="s">
        <v>1319</v>
      </c>
      <c r="DZ86">
        <v>300</v>
      </c>
      <c r="EA86">
        <v>1200</v>
      </c>
      <c r="EB86">
        <v>800</v>
      </c>
      <c r="EC86" t="s">
        <v>1358</v>
      </c>
      <c r="ED86">
        <v>300</v>
      </c>
      <c r="EE86">
        <v>1200</v>
      </c>
      <c r="EF86">
        <v>1100</v>
      </c>
      <c r="EG86" t="s">
        <v>1703</v>
      </c>
      <c r="EH86" t="s">
        <v>1310</v>
      </c>
      <c r="EI86" t="s">
        <v>1309</v>
      </c>
      <c r="EJ86" t="s">
        <v>1309</v>
      </c>
      <c r="EK86" t="s">
        <v>1309</v>
      </c>
      <c r="EL86" t="s">
        <v>1309</v>
      </c>
      <c r="EM86" t="s">
        <v>1309</v>
      </c>
      <c r="EN86" t="s">
        <v>1309</v>
      </c>
      <c r="EO86" t="s">
        <v>1309</v>
      </c>
      <c r="EQ86" t="s">
        <v>1319</v>
      </c>
      <c r="ER86" t="s">
        <v>1319</v>
      </c>
      <c r="ES86" t="s">
        <v>1319</v>
      </c>
      <c r="EU86" t="s">
        <v>2073</v>
      </c>
      <c r="EV86" t="s">
        <v>1309</v>
      </c>
      <c r="EW86" t="s">
        <v>1309</v>
      </c>
      <c r="EX86" t="s">
        <v>1309</v>
      </c>
      <c r="EY86" t="s">
        <v>1309</v>
      </c>
      <c r="EZ86" t="s">
        <v>1309</v>
      </c>
      <c r="FA86" t="s">
        <v>1309</v>
      </c>
      <c r="FB86" t="s">
        <v>1309</v>
      </c>
      <c r="FC86" t="s">
        <v>1310</v>
      </c>
      <c r="FD86" t="s">
        <v>1309</v>
      </c>
      <c r="FE86" t="s">
        <v>1309</v>
      </c>
      <c r="FF86" t="s">
        <v>1309</v>
      </c>
      <c r="FG86" t="s">
        <v>1310</v>
      </c>
      <c r="FH86" t="s">
        <v>1309</v>
      </c>
      <c r="FI86" t="s">
        <v>1309</v>
      </c>
      <c r="FJ86" t="s">
        <v>1309</v>
      </c>
      <c r="FK86" t="s">
        <v>1309</v>
      </c>
      <c r="FL86" t="s">
        <v>1309</v>
      </c>
      <c r="FN86" t="s">
        <v>1319</v>
      </c>
      <c r="FO86" t="s">
        <v>1649</v>
      </c>
      <c r="FP86" t="s">
        <v>1310</v>
      </c>
      <c r="FQ86" t="s">
        <v>1310</v>
      </c>
      <c r="FR86" t="s">
        <v>1309</v>
      </c>
      <c r="FS86" t="s">
        <v>1309</v>
      </c>
      <c r="FT86" t="s">
        <v>1309</v>
      </c>
      <c r="FU86" t="s">
        <v>1309</v>
      </c>
      <c r="FV86" t="s">
        <v>1309</v>
      </c>
      <c r="FW86" t="s">
        <v>1309</v>
      </c>
      <c r="FX86" t="s">
        <v>1309</v>
      </c>
      <c r="FY86" t="s">
        <v>1309</v>
      </c>
      <c r="FZ86" t="s">
        <v>1309</v>
      </c>
      <c r="GA86" t="s">
        <v>1309</v>
      </c>
      <c r="GC86" t="s">
        <v>1324</v>
      </c>
      <c r="GD86" t="s">
        <v>1324</v>
      </c>
      <c r="GN86" t="s">
        <v>1328</v>
      </c>
      <c r="GO86" t="s">
        <v>1626</v>
      </c>
      <c r="GP86" t="s">
        <v>1310</v>
      </c>
      <c r="GQ86" t="s">
        <v>1309</v>
      </c>
      <c r="GR86" t="s">
        <v>1309</v>
      </c>
      <c r="GS86" t="s">
        <v>1309</v>
      </c>
      <c r="GT86" t="s">
        <v>1309</v>
      </c>
      <c r="GU86" t="s">
        <v>1309</v>
      </c>
      <c r="GV86" t="s">
        <v>1309</v>
      </c>
      <c r="GW86" t="s">
        <v>1309</v>
      </c>
      <c r="GX86" t="s">
        <v>1309</v>
      </c>
      <c r="GY86" t="s">
        <v>1309</v>
      </c>
      <c r="GZ86" t="s">
        <v>1309</v>
      </c>
      <c r="HB86" t="s">
        <v>1414</v>
      </c>
      <c r="HR86" t="s">
        <v>1393</v>
      </c>
      <c r="HS86" t="s">
        <v>1310</v>
      </c>
      <c r="HT86" t="s">
        <v>1309</v>
      </c>
      <c r="HU86" t="s">
        <v>1309</v>
      </c>
      <c r="HV86" t="s">
        <v>1309</v>
      </c>
      <c r="HW86" t="s">
        <v>1309</v>
      </c>
      <c r="HX86" t="s">
        <v>1309</v>
      </c>
      <c r="HY86" t="s">
        <v>1309</v>
      </c>
      <c r="HZ86" t="s">
        <v>1309</v>
      </c>
      <c r="IB86" s="92" t="s">
        <v>1524</v>
      </c>
      <c r="IC86" s="92" t="s">
        <v>1525</v>
      </c>
      <c r="ID86" s="92">
        <v>35</v>
      </c>
      <c r="IE86" s="92" t="s">
        <v>1307</v>
      </c>
      <c r="IF86" s="92" t="s">
        <v>4396</v>
      </c>
      <c r="IG86" s="92" t="s">
        <v>1526</v>
      </c>
      <c r="IH86" s="92" t="s">
        <v>1296</v>
      </c>
      <c r="II86" s="92" t="s">
        <v>71</v>
      </c>
      <c r="IJ86" s="92" t="s">
        <v>5549</v>
      </c>
      <c r="IK86" s="92" t="s">
        <v>1337</v>
      </c>
      <c r="IL86" s="92" t="s">
        <v>4845</v>
      </c>
      <c r="IM86" s="92" t="s">
        <v>1415</v>
      </c>
      <c r="IN86" s="92" t="s">
        <v>109</v>
      </c>
      <c r="IO86" s="92" t="s">
        <v>4847</v>
      </c>
      <c r="IP86" s="92" t="s">
        <v>1371</v>
      </c>
      <c r="IQ86" s="92">
        <v>2300</v>
      </c>
      <c r="IR86" s="92" t="s">
        <v>4438</v>
      </c>
      <c r="IS86" s="92" t="s">
        <v>192</v>
      </c>
      <c r="IT86" s="92" t="s">
        <v>192</v>
      </c>
      <c r="IU86" s="92" t="s">
        <v>192</v>
      </c>
      <c r="IV86" s="92" t="s">
        <v>192</v>
      </c>
      <c r="IW86" s="92" t="s">
        <v>1425</v>
      </c>
      <c r="IX86" s="92">
        <v>2600</v>
      </c>
      <c r="IY86" s="92" t="s">
        <v>4438</v>
      </c>
      <c r="IZ86" s="92" t="s">
        <v>1425</v>
      </c>
      <c r="JA86" s="92" t="s">
        <v>1342</v>
      </c>
      <c r="JB86" s="92" t="s">
        <v>192</v>
      </c>
      <c r="JC86" s="92" t="s">
        <v>5795</v>
      </c>
      <c r="JD86" s="92" t="s">
        <v>109</v>
      </c>
      <c r="JE86" s="92" t="s">
        <v>109</v>
      </c>
      <c r="JF86" s="92" t="s">
        <v>4438</v>
      </c>
      <c r="JG86" s="92" t="s">
        <v>4438</v>
      </c>
      <c r="JH86" s="92" t="s">
        <v>192</v>
      </c>
      <c r="JI86" s="92" t="s">
        <v>192</v>
      </c>
    </row>
    <row r="87" spans="1:269" x14ac:dyDescent="0.25">
      <c r="A87" t="s">
        <v>3165</v>
      </c>
      <c r="B87" t="s">
        <v>3166</v>
      </c>
      <c r="C87" t="s">
        <v>1305</v>
      </c>
      <c r="D87" t="s">
        <v>1306</v>
      </c>
      <c r="F87" t="s">
        <v>1307</v>
      </c>
      <c r="G87" t="s">
        <v>1319</v>
      </c>
      <c r="H87">
        <v>4</v>
      </c>
      <c r="I87" t="s">
        <v>1307</v>
      </c>
      <c r="J87" t="s">
        <v>1406</v>
      </c>
      <c r="K87" t="s">
        <v>1309</v>
      </c>
      <c r="L87" t="s">
        <v>1310</v>
      </c>
      <c r="M87" t="s">
        <v>1309</v>
      </c>
      <c r="N87" t="s">
        <v>1309</v>
      </c>
      <c r="O87" t="s">
        <v>1309</v>
      </c>
      <c r="P87" t="s">
        <v>1309</v>
      </c>
      <c r="Q87" t="s">
        <v>1309</v>
      </c>
      <c r="R87" t="s">
        <v>1309</v>
      </c>
      <c r="S87">
        <v>2</v>
      </c>
      <c r="U87" t="s">
        <v>1312</v>
      </c>
      <c r="V87" t="s">
        <v>1312</v>
      </c>
      <c r="W87" t="s">
        <v>1312</v>
      </c>
      <c r="X87" t="s">
        <v>1312</v>
      </c>
      <c r="Y87" t="s">
        <v>1312</v>
      </c>
      <c r="Z87" t="s">
        <v>1312</v>
      </c>
      <c r="AC87">
        <v>2</v>
      </c>
      <c r="AE87">
        <v>10000</v>
      </c>
      <c r="AF87" t="s">
        <v>1313</v>
      </c>
      <c r="AH87" t="s">
        <v>1319</v>
      </c>
      <c r="AI87" t="s">
        <v>4879</v>
      </c>
      <c r="AK87" t="s">
        <v>1307</v>
      </c>
      <c r="CG87" t="s">
        <v>3054</v>
      </c>
      <c r="CH87" t="s">
        <v>1309</v>
      </c>
      <c r="CI87" t="s">
        <v>1309</v>
      </c>
      <c r="CJ87" t="s">
        <v>1309</v>
      </c>
      <c r="CK87" t="s">
        <v>1309</v>
      </c>
      <c r="CL87" t="s">
        <v>1309</v>
      </c>
      <c r="CM87" t="s">
        <v>1309</v>
      </c>
      <c r="CN87" t="s">
        <v>1309</v>
      </c>
      <c r="CO87" t="s">
        <v>1309</v>
      </c>
      <c r="CP87" t="s">
        <v>1309</v>
      </c>
      <c r="CQ87" t="s">
        <v>1309</v>
      </c>
      <c r="CR87" t="s">
        <v>1309</v>
      </c>
      <c r="CS87" t="s">
        <v>1310</v>
      </c>
      <c r="CT87" t="s">
        <v>1309</v>
      </c>
      <c r="CU87" t="s">
        <v>1309</v>
      </c>
      <c r="CV87" t="s">
        <v>1309</v>
      </c>
      <c r="CX87" t="s">
        <v>1414</v>
      </c>
      <c r="CY87" t="s">
        <v>1309</v>
      </c>
      <c r="CZ87" t="s">
        <v>1309</v>
      </c>
      <c r="DA87" t="s">
        <v>1309</v>
      </c>
      <c r="DB87" t="s">
        <v>1309</v>
      </c>
      <c r="DC87" t="s">
        <v>1309</v>
      </c>
      <c r="DD87" t="s">
        <v>1309</v>
      </c>
      <c r="DE87" t="s">
        <v>1309</v>
      </c>
      <c r="DF87" t="s">
        <v>1309</v>
      </c>
      <c r="DG87" t="s">
        <v>1309</v>
      </c>
      <c r="DH87" t="s">
        <v>1309</v>
      </c>
      <c r="DI87" t="s">
        <v>1309</v>
      </c>
      <c r="DJ87" t="s">
        <v>1310</v>
      </c>
      <c r="DK87" t="s">
        <v>1309</v>
      </c>
      <c r="DM87" t="s">
        <v>4434</v>
      </c>
      <c r="DO87" t="s">
        <v>1444</v>
      </c>
      <c r="DP87" t="s">
        <v>1309</v>
      </c>
      <c r="DQ87" t="s">
        <v>1310</v>
      </c>
      <c r="DR87" t="s">
        <v>1309</v>
      </c>
      <c r="DS87" t="s">
        <v>1309</v>
      </c>
      <c r="DT87" t="s">
        <v>1309</v>
      </c>
      <c r="DU87" t="s">
        <v>1309</v>
      </c>
      <c r="DV87" t="s">
        <v>1309</v>
      </c>
      <c r="DX87" t="s">
        <v>1358</v>
      </c>
      <c r="DZ87">
        <v>2500</v>
      </c>
      <c r="EB87">
        <v>500</v>
      </c>
      <c r="EC87" t="s">
        <v>1358</v>
      </c>
      <c r="ED87">
        <v>3800</v>
      </c>
      <c r="EF87">
        <v>950</v>
      </c>
      <c r="EG87" t="s">
        <v>2911</v>
      </c>
      <c r="EH87" t="s">
        <v>1310</v>
      </c>
      <c r="EI87" t="s">
        <v>1309</v>
      </c>
      <c r="EJ87" t="s">
        <v>1309</v>
      </c>
      <c r="EK87" t="s">
        <v>1310</v>
      </c>
      <c r="EL87" t="s">
        <v>1309</v>
      </c>
      <c r="EM87" t="s">
        <v>1309</v>
      </c>
      <c r="EN87" t="s">
        <v>1309</v>
      </c>
      <c r="EO87" t="s">
        <v>1309</v>
      </c>
      <c r="EQ87" t="s">
        <v>1307</v>
      </c>
      <c r="ER87" t="s">
        <v>1307</v>
      </c>
      <c r="ES87" t="s">
        <v>1319</v>
      </c>
      <c r="EU87" t="s">
        <v>1323</v>
      </c>
      <c r="EV87" t="s">
        <v>1310</v>
      </c>
      <c r="EW87" t="s">
        <v>1309</v>
      </c>
      <c r="EX87" t="s">
        <v>1309</v>
      </c>
      <c r="EY87" t="s">
        <v>1309</v>
      </c>
      <c r="EZ87" t="s">
        <v>1309</v>
      </c>
      <c r="FA87" t="s">
        <v>1309</v>
      </c>
      <c r="FB87" t="s">
        <v>1309</v>
      </c>
      <c r="FC87" t="s">
        <v>1309</v>
      </c>
      <c r="FD87" t="s">
        <v>1309</v>
      </c>
      <c r="FE87" t="s">
        <v>1309</v>
      </c>
      <c r="FF87" t="s">
        <v>1309</v>
      </c>
      <c r="FG87" t="s">
        <v>1309</v>
      </c>
      <c r="FH87" t="s">
        <v>1309</v>
      </c>
      <c r="FI87" t="s">
        <v>1309</v>
      </c>
      <c r="FJ87" t="s">
        <v>1309</v>
      </c>
      <c r="FK87" t="s">
        <v>1309</v>
      </c>
      <c r="FL87" t="s">
        <v>1309</v>
      </c>
      <c r="FN87" t="s">
        <v>1307</v>
      </c>
      <c r="GC87" t="s">
        <v>1324</v>
      </c>
      <c r="GD87" t="s">
        <v>1324</v>
      </c>
      <c r="GN87" t="s">
        <v>1364</v>
      </c>
      <c r="HB87" t="s">
        <v>1307</v>
      </c>
      <c r="HR87" t="s">
        <v>1414</v>
      </c>
      <c r="HS87" t="s">
        <v>1309</v>
      </c>
      <c r="HT87" t="s">
        <v>1309</v>
      </c>
      <c r="HU87" t="s">
        <v>1309</v>
      </c>
      <c r="HV87" t="s">
        <v>1309</v>
      </c>
      <c r="HW87" t="s">
        <v>1309</v>
      </c>
      <c r="HX87" t="s">
        <v>1309</v>
      </c>
      <c r="HY87" t="s">
        <v>1310</v>
      </c>
      <c r="HZ87" t="s">
        <v>1309</v>
      </c>
      <c r="IB87" s="92" t="s">
        <v>1524</v>
      </c>
      <c r="IC87" s="92" t="s">
        <v>1525</v>
      </c>
      <c r="ID87" s="92">
        <v>38</v>
      </c>
      <c r="IE87" s="92" t="s">
        <v>1307</v>
      </c>
      <c r="IF87" s="92" t="s">
        <v>4396</v>
      </c>
      <c r="IG87" s="92" t="s">
        <v>1526</v>
      </c>
      <c r="IH87" s="92" t="s">
        <v>1296</v>
      </c>
      <c r="II87" s="92" t="s">
        <v>71</v>
      </c>
      <c r="IJ87" s="92" t="s">
        <v>5549</v>
      </c>
      <c r="IK87" s="92" t="s">
        <v>1337</v>
      </c>
      <c r="IL87" s="92" t="s">
        <v>4845</v>
      </c>
      <c r="IM87" s="92" t="s">
        <v>1415</v>
      </c>
      <c r="IN87" s="92" t="s">
        <v>109</v>
      </c>
      <c r="IO87" s="92" t="s">
        <v>4847</v>
      </c>
      <c r="IP87" s="92" t="s">
        <v>1340</v>
      </c>
      <c r="IQ87" s="92">
        <v>3000</v>
      </c>
      <c r="IR87" s="92" t="s">
        <v>1340</v>
      </c>
      <c r="IS87" s="92" t="s">
        <v>192</v>
      </c>
      <c r="IT87" s="92" t="s">
        <v>109</v>
      </c>
      <c r="IU87" s="92" t="s">
        <v>192</v>
      </c>
      <c r="IV87" s="92" t="s">
        <v>109</v>
      </c>
      <c r="IW87" s="92" t="s">
        <v>1425</v>
      </c>
      <c r="IX87" s="92">
        <v>4750</v>
      </c>
      <c r="IY87" s="92" t="s">
        <v>1340</v>
      </c>
      <c r="IZ87" s="92" t="s">
        <v>1341</v>
      </c>
      <c r="JA87" s="92" t="s">
        <v>1375</v>
      </c>
      <c r="JB87" s="92" t="s">
        <v>192</v>
      </c>
      <c r="JC87" s="92" t="s">
        <v>5795</v>
      </c>
      <c r="JD87" s="92" t="s">
        <v>109</v>
      </c>
      <c r="JE87" s="92" t="s">
        <v>109</v>
      </c>
      <c r="JF87" s="92" t="s">
        <v>1340</v>
      </c>
      <c r="JG87" s="92" t="s">
        <v>1340</v>
      </c>
      <c r="JH87" s="92"/>
      <c r="JI87" s="92"/>
    </row>
    <row r="88" spans="1:269" x14ac:dyDescent="0.25">
      <c r="A88" t="s">
        <v>3167</v>
      </c>
      <c r="B88" t="s">
        <v>3168</v>
      </c>
      <c r="C88" t="s">
        <v>1305</v>
      </c>
      <c r="D88" t="s">
        <v>1306</v>
      </c>
      <c r="F88" t="s">
        <v>1307</v>
      </c>
      <c r="G88" t="s">
        <v>1319</v>
      </c>
      <c r="H88">
        <v>4</v>
      </c>
      <c r="I88" t="s">
        <v>1307</v>
      </c>
      <c r="J88" t="s">
        <v>1406</v>
      </c>
      <c r="K88" t="s">
        <v>1309</v>
      </c>
      <c r="L88" t="s">
        <v>1310</v>
      </c>
      <c r="M88" t="s">
        <v>1309</v>
      </c>
      <c r="N88" t="s">
        <v>1309</v>
      </c>
      <c r="O88" t="s">
        <v>1309</v>
      </c>
      <c r="P88" t="s">
        <v>1309</v>
      </c>
      <c r="Q88" t="s">
        <v>1309</v>
      </c>
      <c r="R88" t="s">
        <v>1309</v>
      </c>
      <c r="S88">
        <v>1</v>
      </c>
      <c r="U88" t="s">
        <v>1312</v>
      </c>
      <c r="V88" t="s">
        <v>1312</v>
      </c>
      <c r="W88" t="s">
        <v>1312</v>
      </c>
      <c r="X88" t="s">
        <v>1312</v>
      </c>
      <c r="Y88" t="s">
        <v>1312</v>
      </c>
      <c r="Z88" t="s">
        <v>1312</v>
      </c>
      <c r="AC88">
        <v>3</v>
      </c>
      <c r="AD88">
        <v>35000</v>
      </c>
      <c r="AE88">
        <v>25000</v>
      </c>
      <c r="AF88" t="s">
        <v>1351</v>
      </c>
      <c r="AH88" t="s">
        <v>1319</v>
      </c>
      <c r="AI88" t="s">
        <v>4879</v>
      </c>
      <c r="AK88" t="s">
        <v>1319</v>
      </c>
      <c r="AL88" t="s">
        <v>1315</v>
      </c>
      <c r="AN88" t="s">
        <v>1316</v>
      </c>
      <c r="BU88" t="s">
        <v>2853</v>
      </c>
      <c r="BV88" t="s">
        <v>1310</v>
      </c>
      <c r="BW88" t="s">
        <v>1309</v>
      </c>
      <c r="BX88" t="s">
        <v>1309</v>
      </c>
      <c r="BY88" t="s">
        <v>1309</v>
      </c>
      <c r="BZ88" t="s">
        <v>1309</v>
      </c>
      <c r="CA88" t="s">
        <v>1309</v>
      </c>
      <c r="CB88" t="s">
        <v>1309</v>
      </c>
      <c r="CC88" t="s">
        <v>1309</v>
      </c>
      <c r="CD88" t="s">
        <v>1309</v>
      </c>
      <c r="CE88" t="s">
        <v>1309</v>
      </c>
      <c r="CX88" t="s">
        <v>3169</v>
      </c>
      <c r="CY88" t="s">
        <v>1309</v>
      </c>
      <c r="CZ88" t="s">
        <v>1309</v>
      </c>
      <c r="DA88" t="s">
        <v>1309</v>
      </c>
      <c r="DB88" t="s">
        <v>1309</v>
      </c>
      <c r="DC88" t="s">
        <v>1309</v>
      </c>
      <c r="DD88" t="s">
        <v>1310</v>
      </c>
      <c r="DE88" t="s">
        <v>1309</v>
      </c>
      <c r="DF88" t="s">
        <v>1309</v>
      </c>
      <c r="DG88" t="s">
        <v>1309</v>
      </c>
      <c r="DH88" t="s">
        <v>1310</v>
      </c>
      <c r="DI88" t="s">
        <v>1309</v>
      </c>
      <c r="DJ88" t="s">
        <v>1309</v>
      </c>
      <c r="DK88" t="s">
        <v>1309</v>
      </c>
      <c r="DM88" t="s">
        <v>4434</v>
      </c>
      <c r="DO88" t="s">
        <v>1308</v>
      </c>
      <c r="DP88" t="s">
        <v>1310</v>
      </c>
      <c r="DQ88" t="s">
        <v>1309</v>
      </c>
      <c r="DR88" t="s">
        <v>1309</v>
      </c>
      <c r="DS88" t="s">
        <v>1309</v>
      </c>
      <c r="DT88" t="s">
        <v>1309</v>
      </c>
      <c r="DU88" t="s">
        <v>1309</v>
      </c>
      <c r="DV88" t="s">
        <v>1309</v>
      </c>
      <c r="DX88" t="s">
        <v>1358</v>
      </c>
      <c r="DZ88">
        <v>2400</v>
      </c>
      <c r="EB88">
        <v>800</v>
      </c>
      <c r="EC88" t="s">
        <v>1358</v>
      </c>
      <c r="ED88">
        <v>2900</v>
      </c>
      <c r="EF88">
        <v>900</v>
      </c>
      <c r="EG88" t="s">
        <v>1703</v>
      </c>
      <c r="EH88" t="s">
        <v>1310</v>
      </c>
      <c r="EI88" t="s">
        <v>1309</v>
      </c>
      <c r="EJ88" t="s">
        <v>1309</v>
      </c>
      <c r="EK88" t="s">
        <v>1309</v>
      </c>
      <c r="EL88" t="s">
        <v>1309</v>
      </c>
      <c r="EM88" t="s">
        <v>1309</v>
      </c>
      <c r="EN88" t="s">
        <v>1309</v>
      </c>
      <c r="EO88" t="s">
        <v>1309</v>
      </c>
      <c r="EQ88" t="s">
        <v>1319</v>
      </c>
      <c r="ER88" t="s">
        <v>1319</v>
      </c>
      <c r="ES88" t="s">
        <v>1307</v>
      </c>
      <c r="EU88" t="s">
        <v>3170</v>
      </c>
      <c r="EV88" t="s">
        <v>1309</v>
      </c>
      <c r="EW88" t="s">
        <v>1309</v>
      </c>
      <c r="EX88" t="s">
        <v>1309</v>
      </c>
      <c r="EY88" t="s">
        <v>1309</v>
      </c>
      <c r="EZ88" t="s">
        <v>1309</v>
      </c>
      <c r="FA88" t="s">
        <v>1309</v>
      </c>
      <c r="FB88" t="s">
        <v>1310</v>
      </c>
      <c r="FC88" t="s">
        <v>1310</v>
      </c>
      <c r="FD88" t="s">
        <v>1309</v>
      </c>
      <c r="FE88" t="s">
        <v>1309</v>
      </c>
      <c r="FF88" t="s">
        <v>1310</v>
      </c>
      <c r="FG88" t="s">
        <v>1309</v>
      </c>
      <c r="FH88" t="s">
        <v>1310</v>
      </c>
      <c r="FI88" t="s">
        <v>1309</v>
      </c>
      <c r="FJ88" t="s">
        <v>1309</v>
      </c>
      <c r="FK88" t="s">
        <v>1309</v>
      </c>
      <c r="FL88" t="s">
        <v>1309</v>
      </c>
      <c r="FN88" t="s">
        <v>1307</v>
      </c>
      <c r="GC88" t="s">
        <v>1324</v>
      </c>
      <c r="GD88" t="s">
        <v>1324</v>
      </c>
      <c r="GN88" t="s">
        <v>1364</v>
      </c>
      <c r="HB88" t="s">
        <v>1319</v>
      </c>
      <c r="HC88" t="s">
        <v>1412</v>
      </c>
      <c r="HD88" t="s">
        <v>1309</v>
      </c>
      <c r="HE88" t="s">
        <v>1310</v>
      </c>
      <c r="HF88" t="s">
        <v>1309</v>
      </c>
      <c r="HG88" t="s">
        <v>1309</v>
      </c>
      <c r="HH88" t="s">
        <v>1310</v>
      </c>
      <c r="HI88" t="s">
        <v>1309</v>
      </c>
      <c r="HJ88" t="s">
        <v>1309</v>
      </c>
      <c r="HK88" t="s">
        <v>1309</v>
      </c>
      <c r="HL88" t="s">
        <v>1309</v>
      </c>
      <c r="HM88" t="s">
        <v>1309</v>
      </c>
      <c r="HN88" t="s">
        <v>1309</v>
      </c>
      <c r="HO88" t="s">
        <v>1309</v>
      </c>
      <c r="HP88" t="s">
        <v>1309</v>
      </c>
      <c r="HR88" t="s">
        <v>3171</v>
      </c>
      <c r="HS88" t="s">
        <v>1310</v>
      </c>
      <c r="HT88" t="s">
        <v>1310</v>
      </c>
      <c r="HU88" t="s">
        <v>1310</v>
      </c>
      <c r="HV88" t="s">
        <v>1310</v>
      </c>
      <c r="HW88" t="s">
        <v>1310</v>
      </c>
      <c r="HX88" t="s">
        <v>1309</v>
      </c>
      <c r="HY88" t="s">
        <v>1309</v>
      </c>
      <c r="HZ88" t="s">
        <v>1309</v>
      </c>
      <c r="IB88" s="92" t="s">
        <v>2262</v>
      </c>
      <c r="IC88" s="92" t="s">
        <v>2277</v>
      </c>
      <c r="ID88" s="92">
        <v>52</v>
      </c>
      <c r="IE88" s="92" t="s">
        <v>1307</v>
      </c>
      <c r="IF88" s="92" t="s">
        <v>4396</v>
      </c>
      <c r="IG88" s="92" t="s">
        <v>1526</v>
      </c>
      <c r="IH88" s="92" t="s">
        <v>1296</v>
      </c>
      <c r="II88" s="92" t="s">
        <v>70</v>
      </c>
      <c r="IJ88" s="92" t="s">
        <v>5549</v>
      </c>
      <c r="IK88" s="92" t="s">
        <v>1337</v>
      </c>
      <c r="IL88" s="92" t="s">
        <v>4845</v>
      </c>
      <c r="IM88" s="92" t="s">
        <v>1415</v>
      </c>
      <c r="IN88" s="92" t="s">
        <v>109</v>
      </c>
      <c r="IO88" s="92" t="s">
        <v>4848</v>
      </c>
      <c r="IP88" s="92" t="s">
        <v>1416</v>
      </c>
      <c r="IQ88" s="92">
        <v>3200</v>
      </c>
      <c r="IR88" s="92" t="s">
        <v>1372</v>
      </c>
      <c r="IS88" s="92" t="s">
        <v>192</v>
      </c>
      <c r="IT88" s="92" t="s">
        <v>109</v>
      </c>
      <c r="IU88" s="92" t="s">
        <v>192</v>
      </c>
      <c r="IV88" s="92" t="s">
        <v>109</v>
      </c>
      <c r="IW88" s="92" t="s">
        <v>1341</v>
      </c>
      <c r="IX88" s="92">
        <v>3800</v>
      </c>
      <c r="IY88" s="92" t="s">
        <v>4438</v>
      </c>
      <c r="IZ88" s="92" t="s">
        <v>1341</v>
      </c>
      <c r="JA88" s="92" t="s">
        <v>1460</v>
      </c>
      <c r="JB88" s="92" t="s">
        <v>192</v>
      </c>
      <c r="JC88" s="92" t="s">
        <v>5795</v>
      </c>
      <c r="JD88" s="92" t="s">
        <v>109</v>
      </c>
      <c r="JE88" s="92" t="s">
        <v>109</v>
      </c>
      <c r="JF88" s="92" t="s">
        <v>4438</v>
      </c>
      <c r="JG88" s="92" t="s">
        <v>4438</v>
      </c>
      <c r="JH88" s="92" t="s">
        <v>109</v>
      </c>
      <c r="JI88" s="92" t="s">
        <v>109</v>
      </c>
    </row>
    <row r="89" spans="1:269" x14ac:dyDescent="0.25">
      <c r="A89" t="s">
        <v>3172</v>
      </c>
      <c r="B89" t="s">
        <v>3173</v>
      </c>
      <c r="C89" t="s">
        <v>1305</v>
      </c>
      <c r="D89" t="s">
        <v>1381</v>
      </c>
      <c r="F89" t="s">
        <v>1319</v>
      </c>
      <c r="G89" t="s">
        <v>1319</v>
      </c>
      <c r="H89">
        <v>2</v>
      </c>
      <c r="I89" t="s">
        <v>1358</v>
      </c>
      <c r="J89" t="s">
        <v>1382</v>
      </c>
      <c r="K89" t="s">
        <v>1309</v>
      </c>
      <c r="L89" t="s">
        <v>1310</v>
      </c>
      <c r="M89" t="s">
        <v>1309</v>
      </c>
      <c r="N89" t="s">
        <v>1309</v>
      </c>
      <c r="O89" t="s">
        <v>1309</v>
      </c>
      <c r="P89" t="s">
        <v>1310</v>
      </c>
      <c r="Q89" t="s">
        <v>1309</v>
      </c>
      <c r="R89" t="s">
        <v>1309</v>
      </c>
      <c r="S89">
        <v>1</v>
      </c>
      <c r="U89" t="s">
        <v>1312</v>
      </c>
      <c r="V89" t="s">
        <v>1312</v>
      </c>
      <c r="W89" t="s">
        <v>1312</v>
      </c>
      <c r="X89" t="s">
        <v>1312</v>
      </c>
      <c r="Y89" t="s">
        <v>1312</v>
      </c>
      <c r="Z89" t="s">
        <v>1312</v>
      </c>
      <c r="AC89">
        <v>1</v>
      </c>
      <c r="AD89">
        <v>9500</v>
      </c>
      <c r="AE89">
        <v>5000</v>
      </c>
      <c r="AF89" t="s">
        <v>1351</v>
      </c>
      <c r="AH89" t="s">
        <v>1319</v>
      </c>
      <c r="AI89" t="s">
        <v>4876</v>
      </c>
      <c r="AK89" t="s">
        <v>1307</v>
      </c>
      <c r="CG89" t="s">
        <v>2864</v>
      </c>
      <c r="CH89" t="s">
        <v>1309</v>
      </c>
      <c r="CI89" t="s">
        <v>1309</v>
      </c>
      <c r="CJ89" t="s">
        <v>1310</v>
      </c>
      <c r="CK89" t="s">
        <v>1309</v>
      </c>
      <c r="CL89" t="s">
        <v>1309</v>
      </c>
      <c r="CM89" t="s">
        <v>1309</v>
      </c>
      <c r="CN89" t="s">
        <v>1309</v>
      </c>
      <c r="CO89" t="s">
        <v>1309</v>
      </c>
      <c r="CP89" t="s">
        <v>1310</v>
      </c>
      <c r="CQ89" t="s">
        <v>1309</v>
      </c>
      <c r="CR89" t="s">
        <v>1309</v>
      </c>
      <c r="CS89" t="s">
        <v>1309</v>
      </c>
      <c r="CT89" t="s">
        <v>1310</v>
      </c>
      <c r="CU89" t="s">
        <v>1309</v>
      </c>
      <c r="CV89" t="s">
        <v>1309</v>
      </c>
      <c r="CW89" t="s">
        <v>2865</v>
      </c>
      <c r="CX89" t="s">
        <v>1702</v>
      </c>
      <c r="CY89" t="s">
        <v>1310</v>
      </c>
      <c r="CZ89" t="s">
        <v>1309</v>
      </c>
      <c r="DA89" t="s">
        <v>1309</v>
      </c>
      <c r="DB89" t="s">
        <v>1309</v>
      </c>
      <c r="DC89" t="s">
        <v>1309</v>
      </c>
      <c r="DD89" t="s">
        <v>1309</v>
      </c>
      <c r="DE89" t="s">
        <v>1309</v>
      </c>
      <c r="DF89" t="s">
        <v>1309</v>
      </c>
      <c r="DG89" t="s">
        <v>1309</v>
      </c>
      <c r="DH89" t="s">
        <v>1310</v>
      </c>
      <c r="DI89" t="s">
        <v>1309</v>
      </c>
      <c r="DJ89" t="s">
        <v>1309</v>
      </c>
      <c r="DK89" t="s">
        <v>1309</v>
      </c>
      <c r="DM89" t="s">
        <v>4434</v>
      </c>
      <c r="DO89" t="s">
        <v>1356</v>
      </c>
      <c r="DP89" t="s">
        <v>1309</v>
      </c>
      <c r="DQ89" t="s">
        <v>1309</v>
      </c>
      <c r="DR89" t="s">
        <v>1309</v>
      </c>
      <c r="DS89" t="s">
        <v>1310</v>
      </c>
      <c r="DT89" t="s">
        <v>1309</v>
      </c>
      <c r="DU89" t="s">
        <v>1309</v>
      </c>
      <c r="DV89" t="s">
        <v>1309</v>
      </c>
      <c r="DX89" t="s">
        <v>1358</v>
      </c>
      <c r="EB89">
        <v>1000</v>
      </c>
      <c r="EC89" t="s">
        <v>1358</v>
      </c>
      <c r="EF89">
        <v>1000</v>
      </c>
      <c r="EG89" t="s">
        <v>1703</v>
      </c>
      <c r="EH89" t="s">
        <v>1310</v>
      </c>
      <c r="EI89" t="s">
        <v>1309</v>
      </c>
      <c r="EJ89" t="s">
        <v>1309</v>
      </c>
      <c r="EK89" t="s">
        <v>1309</v>
      </c>
      <c r="EL89" t="s">
        <v>1309</v>
      </c>
      <c r="EM89" t="s">
        <v>1309</v>
      </c>
      <c r="EN89" t="s">
        <v>1309</v>
      </c>
      <c r="EO89" t="s">
        <v>1309</v>
      </c>
      <c r="EQ89" t="s">
        <v>1307</v>
      </c>
      <c r="ER89" t="s">
        <v>1319</v>
      </c>
      <c r="ES89" t="s">
        <v>1319</v>
      </c>
      <c r="ET89" t="s">
        <v>1307</v>
      </c>
      <c r="EU89" t="s">
        <v>3174</v>
      </c>
      <c r="EV89" t="s">
        <v>1309</v>
      </c>
      <c r="EW89" t="s">
        <v>1310</v>
      </c>
      <c r="EX89" t="s">
        <v>1310</v>
      </c>
      <c r="EY89" t="s">
        <v>1309</v>
      </c>
      <c r="EZ89" t="s">
        <v>1309</v>
      </c>
      <c r="FA89" t="s">
        <v>1309</v>
      </c>
      <c r="FB89" t="s">
        <v>1309</v>
      </c>
      <c r="FC89" t="s">
        <v>1310</v>
      </c>
      <c r="FD89" t="s">
        <v>1309</v>
      </c>
      <c r="FE89" t="s">
        <v>1309</v>
      </c>
      <c r="FF89" t="s">
        <v>1309</v>
      </c>
      <c r="FG89" t="s">
        <v>1309</v>
      </c>
      <c r="FH89" t="s">
        <v>1309</v>
      </c>
      <c r="FI89" t="s">
        <v>1309</v>
      </c>
      <c r="FJ89" t="s">
        <v>1309</v>
      </c>
      <c r="FK89" t="s">
        <v>1309</v>
      </c>
      <c r="FL89" t="s">
        <v>1309</v>
      </c>
      <c r="FN89" t="s">
        <v>1307</v>
      </c>
      <c r="GC89" t="s">
        <v>1324</v>
      </c>
      <c r="GD89" t="s">
        <v>1324</v>
      </c>
      <c r="GN89" t="s">
        <v>1328</v>
      </c>
      <c r="GO89" t="s">
        <v>1592</v>
      </c>
      <c r="GP89" t="s">
        <v>1309</v>
      </c>
      <c r="GQ89" t="s">
        <v>1309</v>
      </c>
      <c r="GR89" t="s">
        <v>1310</v>
      </c>
      <c r="GS89" t="s">
        <v>1309</v>
      </c>
      <c r="GT89" t="s">
        <v>1309</v>
      </c>
      <c r="GU89" t="s">
        <v>1309</v>
      </c>
      <c r="GV89" t="s">
        <v>1309</v>
      </c>
      <c r="GW89" t="s">
        <v>1309</v>
      </c>
      <c r="GX89" t="s">
        <v>1309</v>
      </c>
      <c r="GY89" t="s">
        <v>1309</v>
      </c>
      <c r="GZ89" t="s">
        <v>1309</v>
      </c>
      <c r="HB89" t="s">
        <v>1307</v>
      </c>
      <c r="HR89" t="s">
        <v>1620</v>
      </c>
      <c r="HS89" t="s">
        <v>1310</v>
      </c>
      <c r="HT89" t="s">
        <v>1310</v>
      </c>
      <c r="HU89" t="s">
        <v>1309</v>
      </c>
      <c r="HV89" t="s">
        <v>1309</v>
      </c>
      <c r="HW89" t="s">
        <v>1310</v>
      </c>
      <c r="HX89" t="s">
        <v>1309</v>
      </c>
      <c r="HY89" t="s">
        <v>1309</v>
      </c>
      <c r="HZ89" t="s">
        <v>1309</v>
      </c>
      <c r="IB89" s="92" t="s">
        <v>1711</v>
      </c>
      <c r="IC89" s="92" t="s">
        <v>2953</v>
      </c>
      <c r="ID89" s="92">
        <v>27</v>
      </c>
      <c r="IE89" s="92" t="s">
        <v>1307</v>
      </c>
      <c r="IF89" s="92" t="s">
        <v>4399</v>
      </c>
      <c r="IG89" s="92" t="s">
        <v>1368</v>
      </c>
      <c r="IH89" s="92" t="s">
        <v>1296</v>
      </c>
      <c r="II89" s="92" t="s">
        <v>70</v>
      </c>
      <c r="IJ89" s="92" t="s">
        <v>1397</v>
      </c>
      <c r="IK89" s="92" t="s">
        <v>1398</v>
      </c>
      <c r="IL89" s="92" t="s">
        <v>4845</v>
      </c>
      <c r="IM89" s="92" t="s">
        <v>1399</v>
      </c>
      <c r="IN89" s="92" t="s">
        <v>109</v>
      </c>
      <c r="IO89" s="92" t="s">
        <v>4844</v>
      </c>
      <c r="IP89" s="92" t="s">
        <v>1424</v>
      </c>
      <c r="IQ89" s="92">
        <v>1000</v>
      </c>
      <c r="IR89" s="92" t="s">
        <v>4438</v>
      </c>
      <c r="IS89" s="92" t="s">
        <v>109</v>
      </c>
      <c r="IT89" s="92" t="s">
        <v>109</v>
      </c>
      <c r="IU89" s="92" t="s">
        <v>109</v>
      </c>
      <c r="IV89" s="92" t="s">
        <v>109</v>
      </c>
      <c r="IW89" s="92" t="s">
        <v>1374</v>
      </c>
      <c r="IX89" s="92">
        <v>1000</v>
      </c>
      <c r="IY89" s="92" t="s">
        <v>4438</v>
      </c>
      <c r="IZ89" s="92" t="s">
        <v>1374</v>
      </c>
      <c r="JA89" s="92" t="s">
        <v>1375</v>
      </c>
      <c r="JB89" s="92" t="s">
        <v>192</v>
      </c>
      <c r="JC89" s="92" t="s">
        <v>1403</v>
      </c>
      <c r="JD89" s="92" t="s">
        <v>109</v>
      </c>
      <c r="JE89" s="92" t="s">
        <v>109</v>
      </c>
      <c r="JF89" s="92" t="s">
        <v>4438</v>
      </c>
      <c r="JG89" s="92" t="s">
        <v>4438</v>
      </c>
      <c r="JH89" s="92" t="s">
        <v>109</v>
      </c>
      <c r="JI89" s="92" t="s">
        <v>109</v>
      </c>
    </row>
    <row r="90" spans="1:269" x14ac:dyDescent="0.25">
      <c r="A90" t="s">
        <v>3175</v>
      </c>
      <c r="B90" t="s">
        <v>3176</v>
      </c>
      <c r="C90" t="s">
        <v>1305</v>
      </c>
      <c r="D90" t="s">
        <v>1306</v>
      </c>
      <c r="F90" t="s">
        <v>1307</v>
      </c>
      <c r="G90" t="s">
        <v>1319</v>
      </c>
      <c r="H90">
        <v>2</v>
      </c>
      <c r="I90" t="s">
        <v>1307</v>
      </c>
      <c r="J90" t="s">
        <v>1308</v>
      </c>
      <c r="K90" t="s">
        <v>1309</v>
      </c>
      <c r="L90" t="s">
        <v>1309</v>
      </c>
      <c r="M90" t="s">
        <v>1309</v>
      </c>
      <c r="N90" t="s">
        <v>1309</v>
      </c>
      <c r="O90" t="s">
        <v>1309</v>
      </c>
      <c r="P90" t="s">
        <v>1309</v>
      </c>
      <c r="Q90" t="s">
        <v>1310</v>
      </c>
      <c r="R90" t="s">
        <v>1309</v>
      </c>
      <c r="U90" t="s">
        <v>1311</v>
      </c>
      <c r="V90" t="s">
        <v>1312</v>
      </c>
      <c r="W90" t="s">
        <v>1312</v>
      </c>
      <c r="X90" t="s">
        <v>1312</v>
      </c>
      <c r="Y90" t="s">
        <v>1312</v>
      </c>
      <c r="Z90" t="s">
        <v>1312</v>
      </c>
      <c r="AC90">
        <v>2</v>
      </c>
      <c r="AF90" t="s">
        <v>1313</v>
      </c>
      <c r="AH90" t="s">
        <v>1307</v>
      </c>
      <c r="AI90" t="s">
        <v>4879</v>
      </c>
      <c r="AK90" t="s">
        <v>1307</v>
      </c>
      <c r="CG90" t="s">
        <v>3084</v>
      </c>
      <c r="CH90" t="s">
        <v>1310</v>
      </c>
      <c r="CI90" t="s">
        <v>1309</v>
      </c>
      <c r="CJ90" t="s">
        <v>1309</v>
      </c>
      <c r="CK90" t="s">
        <v>1309</v>
      </c>
      <c r="CL90" t="s">
        <v>1309</v>
      </c>
      <c r="CM90" t="s">
        <v>1309</v>
      </c>
      <c r="CN90" t="s">
        <v>1309</v>
      </c>
      <c r="CO90" t="s">
        <v>1309</v>
      </c>
      <c r="CP90" t="s">
        <v>1309</v>
      </c>
      <c r="CQ90" t="s">
        <v>1309</v>
      </c>
      <c r="CR90" t="s">
        <v>1309</v>
      </c>
      <c r="CS90" t="s">
        <v>1309</v>
      </c>
      <c r="CT90" t="s">
        <v>1309</v>
      </c>
      <c r="CU90" t="s">
        <v>1309</v>
      </c>
      <c r="CV90" t="s">
        <v>1309</v>
      </c>
      <c r="CX90" t="s">
        <v>1414</v>
      </c>
      <c r="CY90" t="s">
        <v>1309</v>
      </c>
      <c r="CZ90" t="s">
        <v>1309</v>
      </c>
      <c r="DA90" t="s">
        <v>1309</v>
      </c>
      <c r="DB90" t="s">
        <v>1309</v>
      </c>
      <c r="DC90" t="s">
        <v>1309</v>
      </c>
      <c r="DD90" t="s">
        <v>1309</v>
      </c>
      <c r="DE90" t="s">
        <v>1309</v>
      </c>
      <c r="DF90" t="s">
        <v>1309</v>
      </c>
      <c r="DG90" t="s">
        <v>1309</v>
      </c>
      <c r="DH90" t="s">
        <v>1309</v>
      </c>
      <c r="DI90" t="s">
        <v>1309</v>
      </c>
      <c r="DJ90" t="s">
        <v>1310</v>
      </c>
      <c r="DK90" t="s">
        <v>1309</v>
      </c>
      <c r="DM90" t="s">
        <v>4434</v>
      </c>
      <c r="DO90" t="s">
        <v>1357</v>
      </c>
      <c r="DP90" t="s">
        <v>1309</v>
      </c>
      <c r="DQ90" t="s">
        <v>1309</v>
      </c>
      <c r="DR90" t="s">
        <v>1309</v>
      </c>
      <c r="DS90" t="s">
        <v>1309</v>
      </c>
      <c r="DT90" t="s">
        <v>1310</v>
      </c>
      <c r="DU90" t="s">
        <v>1309</v>
      </c>
      <c r="DV90" t="s">
        <v>1309</v>
      </c>
      <c r="DX90" t="s">
        <v>1358</v>
      </c>
      <c r="EC90" t="s">
        <v>1358</v>
      </c>
      <c r="EG90" t="s">
        <v>1703</v>
      </c>
      <c r="EH90" t="s">
        <v>1310</v>
      </c>
      <c r="EI90" t="s">
        <v>1309</v>
      </c>
      <c r="EJ90" t="s">
        <v>1309</v>
      </c>
      <c r="EK90" t="s">
        <v>1309</v>
      </c>
      <c r="EL90" t="s">
        <v>1309</v>
      </c>
      <c r="EM90" t="s">
        <v>1309</v>
      </c>
      <c r="EN90" t="s">
        <v>1309</v>
      </c>
      <c r="EO90" t="s">
        <v>1309</v>
      </c>
      <c r="EQ90" t="s">
        <v>1319</v>
      </c>
      <c r="ER90" t="s">
        <v>1319</v>
      </c>
      <c r="ES90" t="s">
        <v>1319</v>
      </c>
      <c r="EU90" t="s">
        <v>1677</v>
      </c>
      <c r="EV90" t="s">
        <v>1309</v>
      </c>
      <c r="EW90" t="s">
        <v>1309</v>
      </c>
      <c r="EX90" t="s">
        <v>1310</v>
      </c>
      <c r="EY90" t="s">
        <v>1309</v>
      </c>
      <c r="EZ90" t="s">
        <v>1309</v>
      </c>
      <c r="FA90" t="s">
        <v>1309</v>
      </c>
      <c r="FB90" t="s">
        <v>1309</v>
      </c>
      <c r="FC90" t="s">
        <v>1310</v>
      </c>
      <c r="FD90" t="s">
        <v>1309</v>
      </c>
      <c r="FE90" t="s">
        <v>1309</v>
      </c>
      <c r="FF90" t="s">
        <v>1309</v>
      </c>
      <c r="FG90" t="s">
        <v>1309</v>
      </c>
      <c r="FH90" t="s">
        <v>1309</v>
      </c>
      <c r="FI90" t="s">
        <v>1309</v>
      </c>
      <c r="FJ90" t="s">
        <v>1309</v>
      </c>
      <c r="FK90" t="s">
        <v>1309</v>
      </c>
      <c r="FL90" t="s">
        <v>1309</v>
      </c>
      <c r="FN90" t="s">
        <v>1319</v>
      </c>
      <c r="FO90" t="s">
        <v>1435</v>
      </c>
      <c r="FP90" t="s">
        <v>1310</v>
      </c>
      <c r="FQ90" t="s">
        <v>1309</v>
      </c>
      <c r="FR90" t="s">
        <v>1309</v>
      </c>
      <c r="FS90" t="s">
        <v>1309</v>
      </c>
      <c r="FT90" t="s">
        <v>1309</v>
      </c>
      <c r="FU90" t="s">
        <v>1309</v>
      </c>
      <c r="FV90" t="s">
        <v>1309</v>
      </c>
      <c r="FW90" t="s">
        <v>1309</v>
      </c>
      <c r="FX90" t="s">
        <v>1309</v>
      </c>
      <c r="FY90" t="s">
        <v>1309</v>
      </c>
      <c r="FZ90" t="s">
        <v>1309</v>
      </c>
      <c r="GA90" t="s">
        <v>1309</v>
      </c>
      <c r="GC90" t="s">
        <v>1324</v>
      </c>
      <c r="GD90" t="s">
        <v>1324</v>
      </c>
      <c r="GN90" t="s">
        <v>1364</v>
      </c>
      <c r="HB90" t="s">
        <v>1307</v>
      </c>
      <c r="HR90" t="s">
        <v>1414</v>
      </c>
      <c r="HS90" t="s">
        <v>1309</v>
      </c>
      <c r="HT90" t="s">
        <v>1309</v>
      </c>
      <c r="HU90" t="s">
        <v>1309</v>
      </c>
      <c r="HV90" t="s">
        <v>1309</v>
      </c>
      <c r="HW90" t="s">
        <v>1309</v>
      </c>
      <c r="HX90" t="s">
        <v>1309</v>
      </c>
      <c r="HY90" t="s">
        <v>1310</v>
      </c>
      <c r="HZ90" t="s">
        <v>1309</v>
      </c>
      <c r="IB90" s="92" t="s">
        <v>1333</v>
      </c>
      <c r="IC90" s="92" t="s">
        <v>1334</v>
      </c>
      <c r="ID90" s="92">
        <v>37</v>
      </c>
      <c r="IE90" s="92" t="s">
        <v>1307</v>
      </c>
      <c r="IF90" s="92" t="s">
        <v>4395</v>
      </c>
      <c r="IG90" s="92" t="s">
        <v>1336</v>
      </c>
      <c r="IH90" s="92" t="s">
        <v>1296</v>
      </c>
      <c r="II90" s="92" t="s">
        <v>71</v>
      </c>
      <c r="IJ90" s="92" t="s">
        <v>5549</v>
      </c>
      <c r="IK90" s="92" t="s">
        <v>1337</v>
      </c>
      <c r="IL90" s="92" t="s">
        <v>4845</v>
      </c>
      <c r="IM90" s="92" t="s">
        <v>1338</v>
      </c>
      <c r="IN90" s="92" t="s">
        <v>109</v>
      </c>
      <c r="IO90" s="92" t="s">
        <v>4847</v>
      </c>
      <c r="IP90" s="92" t="s">
        <v>1340</v>
      </c>
      <c r="IQ90" s="92">
        <v>0</v>
      </c>
      <c r="IR90" s="92" t="s">
        <v>1340</v>
      </c>
      <c r="IS90" s="92" t="s">
        <v>109</v>
      </c>
      <c r="IT90" s="92" t="s">
        <v>109</v>
      </c>
      <c r="IU90" s="92" t="s">
        <v>109</v>
      </c>
      <c r="IV90" s="92" t="s">
        <v>109</v>
      </c>
      <c r="IW90" s="92" t="s">
        <v>1373</v>
      </c>
      <c r="IX90" s="92">
        <v>0</v>
      </c>
      <c r="IY90" s="92" t="s">
        <v>1340</v>
      </c>
      <c r="IZ90" s="92" t="s">
        <v>1373</v>
      </c>
      <c r="JA90" s="92" t="s">
        <v>1375</v>
      </c>
      <c r="JB90" s="92" t="s">
        <v>192</v>
      </c>
      <c r="JC90" s="92" t="s">
        <v>5795</v>
      </c>
      <c r="JD90" s="92" t="s">
        <v>109</v>
      </c>
      <c r="JE90" s="92" t="s">
        <v>109</v>
      </c>
      <c r="JF90" s="92" t="s">
        <v>1340</v>
      </c>
      <c r="JG90" s="92" t="s">
        <v>1340</v>
      </c>
      <c r="JH90" s="92"/>
      <c r="JI90" s="92"/>
    </row>
    <row r="91" spans="1:269" x14ac:dyDescent="0.25">
      <c r="A91" t="s">
        <v>3177</v>
      </c>
      <c r="B91" t="s">
        <v>3178</v>
      </c>
      <c r="C91" t="s">
        <v>1305</v>
      </c>
      <c r="D91" t="s">
        <v>1381</v>
      </c>
      <c r="F91" t="s">
        <v>1319</v>
      </c>
      <c r="G91" t="s">
        <v>1319</v>
      </c>
      <c r="H91">
        <v>1</v>
      </c>
      <c r="J91" t="s">
        <v>1479</v>
      </c>
      <c r="K91" t="s">
        <v>1309</v>
      </c>
      <c r="L91" t="s">
        <v>1309</v>
      </c>
      <c r="M91" t="s">
        <v>1309</v>
      </c>
      <c r="N91" t="s">
        <v>1309</v>
      </c>
      <c r="O91" t="s">
        <v>1310</v>
      </c>
      <c r="P91" t="s">
        <v>1309</v>
      </c>
      <c r="Q91" t="s">
        <v>1309</v>
      </c>
      <c r="R91" t="s">
        <v>1309</v>
      </c>
      <c r="U91" t="s">
        <v>1311</v>
      </c>
      <c r="V91" t="s">
        <v>1312</v>
      </c>
      <c r="W91" t="s">
        <v>1311</v>
      </c>
      <c r="X91" t="s">
        <v>1312</v>
      </c>
      <c r="Y91" t="s">
        <v>1312</v>
      </c>
      <c r="Z91" t="s">
        <v>1312</v>
      </c>
      <c r="AC91">
        <v>1</v>
      </c>
      <c r="AD91">
        <v>3000</v>
      </c>
      <c r="AE91">
        <v>2500</v>
      </c>
      <c r="AF91" t="s">
        <v>2222</v>
      </c>
      <c r="AH91" t="s">
        <v>1307</v>
      </c>
      <c r="AI91" t="s">
        <v>4879</v>
      </c>
      <c r="AK91" t="s">
        <v>1307</v>
      </c>
      <c r="CG91" t="s">
        <v>1544</v>
      </c>
      <c r="CH91" t="s">
        <v>1309</v>
      </c>
      <c r="CI91" t="s">
        <v>1310</v>
      </c>
      <c r="CJ91" t="s">
        <v>1309</v>
      </c>
      <c r="CK91" t="s">
        <v>1309</v>
      </c>
      <c r="CL91" t="s">
        <v>1309</v>
      </c>
      <c r="CM91" t="s">
        <v>1309</v>
      </c>
      <c r="CN91" t="s">
        <v>1309</v>
      </c>
      <c r="CO91" t="s">
        <v>1309</v>
      </c>
      <c r="CP91" t="s">
        <v>1309</v>
      </c>
      <c r="CQ91" t="s">
        <v>1309</v>
      </c>
      <c r="CR91" t="s">
        <v>1309</v>
      </c>
      <c r="CS91" t="s">
        <v>1309</v>
      </c>
      <c r="CT91" t="s">
        <v>1309</v>
      </c>
      <c r="CU91" t="s">
        <v>1309</v>
      </c>
      <c r="CV91" t="s">
        <v>1309</v>
      </c>
      <c r="CX91" t="s">
        <v>1414</v>
      </c>
      <c r="CY91" t="s">
        <v>1309</v>
      </c>
      <c r="CZ91" t="s">
        <v>1309</v>
      </c>
      <c r="DA91" t="s">
        <v>1309</v>
      </c>
      <c r="DB91" t="s">
        <v>1309</v>
      </c>
      <c r="DC91" t="s">
        <v>1309</v>
      </c>
      <c r="DD91" t="s">
        <v>1309</v>
      </c>
      <c r="DE91" t="s">
        <v>1309</v>
      </c>
      <c r="DF91" t="s">
        <v>1309</v>
      </c>
      <c r="DG91" t="s">
        <v>1309</v>
      </c>
      <c r="DH91" t="s">
        <v>1309</v>
      </c>
      <c r="DI91" t="s">
        <v>1309</v>
      </c>
      <c r="DJ91" t="s">
        <v>1310</v>
      </c>
      <c r="DK91" t="s">
        <v>1309</v>
      </c>
      <c r="DM91" t="s">
        <v>4436</v>
      </c>
      <c r="DO91" t="s">
        <v>1356</v>
      </c>
      <c r="DP91" t="s">
        <v>1309</v>
      </c>
      <c r="DQ91" t="s">
        <v>1309</v>
      </c>
      <c r="DR91" t="s">
        <v>1309</v>
      </c>
      <c r="DS91" t="s">
        <v>1310</v>
      </c>
      <c r="DT91" t="s">
        <v>1309</v>
      </c>
      <c r="DU91" t="s">
        <v>1309</v>
      </c>
      <c r="DV91" t="s">
        <v>1309</v>
      </c>
      <c r="DX91" t="s">
        <v>1358</v>
      </c>
      <c r="DY91" t="s">
        <v>1319</v>
      </c>
      <c r="DZ91">
        <v>150</v>
      </c>
      <c r="EB91">
        <v>200</v>
      </c>
      <c r="EC91" t="s">
        <v>1358</v>
      </c>
      <c r="ED91">
        <v>150</v>
      </c>
      <c r="EF91">
        <v>200</v>
      </c>
      <c r="EG91" t="s">
        <v>2930</v>
      </c>
      <c r="EH91" t="s">
        <v>1309</v>
      </c>
      <c r="EI91" t="s">
        <v>1309</v>
      </c>
      <c r="EJ91" t="s">
        <v>1309</v>
      </c>
      <c r="EK91" t="s">
        <v>1309</v>
      </c>
      <c r="EL91" t="s">
        <v>1310</v>
      </c>
      <c r="EM91" t="s">
        <v>1309</v>
      </c>
      <c r="EN91" t="s">
        <v>1309</v>
      </c>
      <c r="EO91" t="s">
        <v>1309</v>
      </c>
      <c r="EQ91" t="s">
        <v>1307</v>
      </c>
      <c r="ER91" t="s">
        <v>1319</v>
      </c>
      <c r="ES91" t="s">
        <v>1319</v>
      </c>
      <c r="ET91" t="s">
        <v>1319</v>
      </c>
      <c r="EU91" t="s">
        <v>2994</v>
      </c>
      <c r="EV91" t="s">
        <v>1309</v>
      </c>
      <c r="EW91" t="s">
        <v>1309</v>
      </c>
      <c r="EX91" t="s">
        <v>1309</v>
      </c>
      <c r="EY91" t="s">
        <v>1309</v>
      </c>
      <c r="EZ91" t="s">
        <v>1309</v>
      </c>
      <c r="FA91" t="s">
        <v>1310</v>
      </c>
      <c r="FB91" t="s">
        <v>1310</v>
      </c>
      <c r="FC91" t="s">
        <v>1310</v>
      </c>
      <c r="FD91" t="s">
        <v>1309</v>
      </c>
      <c r="FE91" t="s">
        <v>1309</v>
      </c>
      <c r="FF91" t="s">
        <v>1309</v>
      </c>
      <c r="FG91" t="s">
        <v>1309</v>
      </c>
      <c r="FH91" t="s">
        <v>1309</v>
      </c>
      <c r="FI91" t="s">
        <v>1309</v>
      </c>
      <c r="FJ91" t="s">
        <v>1309</v>
      </c>
      <c r="FK91" t="s">
        <v>1309</v>
      </c>
      <c r="FL91" t="s">
        <v>1309</v>
      </c>
      <c r="FN91" t="s">
        <v>1319</v>
      </c>
      <c r="FO91" t="s">
        <v>1626</v>
      </c>
      <c r="FP91" t="s">
        <v>1309</v>
      </c>
      <c r="FQ91" t="s">
        <v>1310</v>
      </c>
      <c r="FR91" t="s">
        <v>1309</v>
      </c>
      <c r="FS91" t="s">
        <v>1309</v>
      </c>
      <c r="FT91" t="s">
        <v>1309</v>
      </c>
      <c r="FU91" t="s">
        <v>1309</v>
      </c>
      <c r="FV91" t="s">
        <v>1309</v>
      </c>
      <c r="FW91" t="s">
        <v>1309</v>
      </c>
      <c r="FX91" t="s">
        <v>1309</v>
      </c>
      <c r="FY91" t="s">
        <v>1309</v>
      </c>
      <c r="FZ91" t="s">
        <v>1309</v>
      </c>
      <c r="GA91" t="s">
        <v>1309</v>
      </c>
      <c r="GC91" t="s">
        <v>1324</v>
      </c>
      <c r="GD91" t="s">
        <v>1324</v>
      </c>
      <c r="GN91" t="s">
        <v>1437</v>
      </c>
      <c r="GO91" t="s">
        <v>1549</v>
      </c>
      <c r="GP91" t="s">
        <v>1310</v>
      </c>
      <c r="GQ91" t="s">
        <v>1310</v>
      </c>
      <c r="GR91" t="s">
        <v>1309</v>
      </c>
      <c r="GS91" t="s">
        <v>1309</v>
      </c>
      <c r="GT91" t="s">
        <v>1309</v>
      </c>
      <c r="GU91" t="s">
        <v>1309</v>
      </c>
      <c r="GV91" t="s">
        <v>1309</v>
      </c>
      <c r="GW91" t="s">
        <v>1309</v>
      </c>
      <c r="GX91" t="s">
        <v>1309</v>
      </c>
      <c r="GY91" t="s">
        <v>1309</v>
      </c>
      <c r="GZ91" t="s">
        <v>1309</v>
      </c>
      <c r="HB91" t="s">
        <v>1307</v>
      </c>
      <c r="HR91" t="s">
        <v>1414</v>
      </c>
      <c r="HS91" t="s">
        <v>1309</v>
      </c>
      <c r="HT91" t="s">
        <v>1309</v>
      </c>
      <c r="HU91" t="s">
        <v>1309</v>
      </c>
      <c r="HV91" t="s">
        <v>1309</v>
      </c>
      <c r="HW91" t="s">
        <v>1309</v>
      </c>
      <c r="HX91" t="s">
        <v>1309</v>
      </c>
      <c r="HY91" t="s">
        <v>1310</v>
      </c>
      <c r="HZ91" t="s">
        <v>1309</v>
      </c>
      <c r="IB91" s="92" t="s">
        <v>1815</v>
      </c>
      <c r="IC91" s="92" t="s">
        <v>3179</v>
      </c>
      <c r="ID91" s="92">
        <v>46</v>
      </c>
      <c r="IE91" s="92" t="s">
        <v>1307</v>
      </c>
      <c r="IF91" s="92" t="s">
        <v>4395</v>
      </c>
      <c r="IG91" s="92" t="s">
        <v>1336</v>
      </c>
      <c r="IH91" s="92" t="s">
        <v>1296</v>
      </c>
      <c r="II91" s="92" t="s">
        <v>70</v>
      </c>
      <c r="IJ91" s="92" t="s">
        <v>1397</v>
      </c>
      <c r="IK91" s="92" t="s">
        <v>1337</v>
      </c>
      <c r="IL91" s="92" t="s">
        <v>4844</v>
      </c>
      <c r="IM91" s="92" t="s">
        <v>1338</v>
      </c>
      <c r="IN91" s="92" t="s">
        <v>109</v>
      </c>
      <c r="IO91" s="92" t="s">
        <v>4844</v>
      </c>
      <c r="IP91" s="92" t="s">
        <v>5560</v>
      </c>
      <c r="IQ91" s="92">
        <v>350</v>
      </c>
      <c r="IR91" s="92" t="s">
        <v>4438</v>
      </c>
      <c r="IS91" s="92" t="s">
        <v>192</v>
      </c>
      <c r="IT91" s="92" t="s">
        <v>109</v>
      </c>
      <c r="IU91" s="92" t="s">
        <v>192</v>
      </c>
      <c r="IV91" s="92" t="s">
        <v>109</v>
      </c>
      <c r="IW91" s="92" t="s">
        <v>1373</v>
      </c>
      <c r="IX91" s="92">
        <v>350</v>
      </c>
      <c r="IY91" s="92" t="s">
        <v>4438</v>
      </c>
      <c r="IZ91" s="92" t="s">
        <v>1373</v>
      </c>
      <c r="JA91" s="92" t="s">
        <v>1375</v>
      </c>
      <c r="JB91" s="92" t="s">
        <v>192</v>
      </c>
      <c r="JC91" s="92" t="s">
        <v>1403</v>
      </c>
      <c r="JD91" s="92" t="s">
        <v>109</v>
      </c>
      <c r="JE91" s="92" t="s">
        <v>109</v>
      </c>
      <c r="JF91" s="92" t="s">
        <v>4438</v>
      </c>
      <c r="JG91" s="92" t="s">
        <v>4438</v>
      </c>
      <c r="JH91" s="92" t="s">
        <v>109</v>
      </c>
      <c r="JI91" s="92" t="s">
        <v>109</v>
      </c>
    </row>
    <row r="92" spans="1:269" x14ac:dyDescent="0.25">
      <c r="A92" t="s">
        <v>3180</v>
      </c>
      <c r="B92" t="s">
        <v>3181</v>
      </c>
      <c r="C92" t="s">
        <v>1305</v>
      </c>
      <c r="D92" t="s">
        <v>1381</v>
      </c>
      <c r="F92" t="s">
        <v>1319</v>
      </c>
      <c r="G92" t="s">
        <v>1319</v>
      </c>
      <c r="H92">
        <v>3</v>
      </c>
      <c r="I92" t="s">
        <v>1358</v>
      </c>
      <c r="J92" t="s">
        <v>1382</v>
      </c>
      <c r="K92" t="s">
        <v>1309</v>
      </c>
      <c r="L92" t="s">
        <v>1310</v>
      </c>
      <c r="M92" t="s">
        <v>1309</v>
      </c>
      <c r="N92" t="s">
        <v>1309</v>
      </c>
      <c r="O92" t="s">
        <v>1309</v>
      </c>
      <c r="P92" t="s">
        <v>1310</v>
      </c>
      <c r="Q92" t="s">
        <v>1309</v>
      </c>
      <c r="R92" t="s">
        <v>1309</v>
      </c>
      <c r="S92">
        <v>2</v>
      </c>
      <c r="U92" t="s">
        <v>1312</v>
      </c>
      <c r="V92" t="s">
        <v>1312</v>
      </c>
      <c r="W92" t="s">
        <v>1312</v>
      </c>
      <c r="X92" t="s">
        <v>1312</v>
      </c>
      <c r="Y92" t="s">
        <v>1312</v>
      </c>
      <c r="Z92" t="s">
        <v>1312</v>
      </c>
      <c r="AC92">
        <v>1</v>
      </c>
      <c r="AD92">
        <v>3000</v>
      </c>
      <c r="AE92">
        <v>1500</v>
      </c>
      <c r="AF92" t="s">
        <v>1351</v>
      </c>
      <c r="AH92" t="s">
        <v>1307</v>
      </c>
      <c r="AI92" t="s">
        <v>4879</v>
      </c>
      <c r="AK92" t="s">
        <v>1307</v>
      </c>
      <c r="CG92" t="s">
        <v>3125</v>
      </c>
      <c r="CH92" t="s">
        <v>1309</v>
      </c>
      <c r="CI92" t="s">
        <v>1310</v>
      </c>
      <c r="CJ92" t="s">
        <v>1310</v>
      </c>
      <c r="CK92" t="s">
        <v>1309</v>
      </c>
      <c r="CL92" t="s">
        <v>1309</v>
      </c>
      <c r="CM92" t="s">
        <v>1309</v>
      </c>
      <c r="CN92" t="s">
        <v>1309</v>
      </c>
      <c r="CO92" t="s">
        <v>1309</v>
      </c>
      <c r="CP92" t="s">
        <v>1309</v>
      </c>
      <c r="CQ92" t="s">
        <v>1309</v>
      </c>
      <c r="CR92" t="s">
        <v>1309</v>
      </c>
      <c r="CS92" t="s">
        <v>1309</v>
      </c>
      <c r="CT92" t="s">
        <v>1309</v>
      </c>
      <c r="CU92" t="s">
        <v>1309</v>
      </c>
      <c r="CV92" t="s">
        <v>1309</v>
      </c>
      <c r="CX92" t="s">
        <v>1414</v>
      </c>
      <c r="CY92" t="s">
        <v>1309</v>
      </c>
      <c r="CZ92" t="s">
        <v>1309</v>
      </c>
      <c r="DA92" t="s">
        <v>1309</v>
      </c>
      <c r="DB92" t="s">
        <v>1309</v>
      </c>
      <c r="DC92" t="s">
        <v>1309</v>
      </c>
      <c r="DD92" t="s">
        <v>1309</v>
      </c>
      <c r="DE92" t="s">
        <v>1309</v>
      </c>
      <c r="DF92" t="s">
        <v>1309</v>
      </c>
      <c r="DG92" t="s">
        <v>1309</v>
      </c>
      <c r="DH92" t="s">
        <v>1309</v>
      </c>
      <c r="DI92" t="s">
        <v>1309</v>
      </c>
      <c r="DJ92" t="s">
        <v>1310</v>
      </c>
      <c r="DK92" t="s">
        <v>1309</v>
      </c>
      <c r="DM92" t="s">
        <v>4436</v>
      </c>
      <c r="DO92" t="s">
        <v>1308</v>
      </c>
      <c r="DP92" t="s">
        <v>1310</v>
      </c>
      <c r="DQ92" t="s">
        <v>1309</v>
      </c>
      <c r="DR92" t="s">
        <v>1309</v>
      </c>
      <c r="DS92" t="s">
        <v>1309</v>
      </c>
      <c r="DT92" t="s">
        <v>1309</v>
      </c>
      <c r="DU92" t="s">
        <v>1309</v>
      </c>
      <c r="DV92" t="s">
        <v>1309</v>
      </c>
      <c r="DX92" t="s">
        <v>1358</v>
      </c>
      <c r="DY92" t="s">
        <v>1319</v>
      </c>
      <c r="DZ92">
        <v>500</v>
      </c>
      <c r="EB92">
        <v>500</v>
      </c>
      <c r="EC92" t="s">
        <v>1318</v>
      </c>
      <c r="ED92">
        <v>400</v>
      </c>
      <c r="EF92">
        <v>500</v>
      </c>
      <c r="EG92" t="s">
        <v>1703</v>
      </c>
      <c r="EH92" t="s">
        <v>1310</v>
      </c>
      <c r="EI92" t="s">
        <v>1309</v>
      </c>
      <c r="EJ92" t="s">
        <v>1309</v>
      </c>
      <c r="EK92" t="s">
        <v>1309</v>
      </c>
      <c r="EL92" t="s">
        <v>1309</v>
      </c>
      <c r="EM92" t="s">
        <v>1309</v>
      </c>
      <c r="EN92" t="s">
        <v>1309</v>
      </c>
      <c r="EO92" t="s">
        <v>1309</v>
      </c>
      <c r="EQ92" t="s">
        <v>1307</v>
      </c>
      <c r="ER92" t="s">
        <v>1307</v>
      </c>
      <c r="ES92" t="s">
        <v>1307</v>
      </c>
      <c r="ET92" t="s">
        <v>1307</v>
      </c>
      <c r="FN92" t="s">
        <v>1319</v>
      </c>
      <c r="FO92" t="s">
        <v>1649</v>
      </c>
      <c r="FP92" t="s">
        <v>1310</v>
      </c>
      <c r="FQ92" t="s">
        <v>1310</v>
      </c>
      <c r="FR92" t="s">
        <v>1309</v>
      </c>
      <c r="FS92" t="s">
        <v>1309</v>
      </c>
      <c r="FT92" t="s">
        <v>1309</v>
      </c>
      <c r="FU92" t="s">
        <v>1309</v>
      </c>
      <c r="FV92" t="s">
        <v>1309</v>
      </c>
      <c r="FW92" t="s">
        <v>1309</v>
      </c>
      <c r="FX92" t="s">
        <v>1309</v>
      </c>
      <c r="FY92" t="s">
        <v>1309</v>
      </c>
      <c r="FZ92" t="s">
        <v>1309</v>
      </c>
      <c r="GA92" t="s">
        <v>1309</v>
      </c>
      <c r="GC92" t="s">
        <v>1436</v>
      </c>
      <c r="GD92" t="s">
        <v>1436</v>
      </c>
      <c r="GE92" t="s">
        <v>1319</v>
      </c>
      <c r="GF92" t="s">
        <v>1619</v>
      </c>
      <c r="GG92" t="s">
        <v>1310</v>
      </c>
      <c r="GH92" t="s">
        <v>1309</v>
      </c>
      <c r="GI92" t="s">
        <v>1309</v>
      </c>
      <c r="GJ92" t="s">
        <v>1309</v>
      </c>
      <c r="GK92" t="s">
        <v>1309</v>
      </c>
      <c r="GL92" t="s">
        <v>1309</v>
      </c>
      <c r="GN92" t="s">
        <v>1437</v>
      </c>
      <c r="GO92" t="s">
        <v>1803</v>
      </c>
      <c r="GP92" t="s">
        <v>1310</v>
      </c>
      <c r="GQ92" t="s">
        <v>1310</v>
      </c>
      <c r="GR92" t="s">
        <v>1309</v>
      </c>
      <c r="GS92" t="s">
        <v>1309</v>
      </c>
      <c r="GT92" t="s">
        <v>1310</v>
      </c>
      <c r="GU92" t="s">
        <v>1310</v>
      </c>
      <c r="GV92" t="s">
        <v>1309</v>
      </c>
      <c r="GW92" t="s">
        <v>1309</v>
      </c>
      <c r="GX92" t="s">
        <v>1309</v>
      </c>
      <c r="GY92" t="s">
        <v>1309</v>
      </c>
      <c r="GZ92" t="s">
        <v>1309</v>
      </c>
      <c r="HB92" t="s">
        <v>1307</v>
      </c>
      <c r="HR92" t="s">
        <v>1523</v>
      </c>
      <c r="HS92" t="s">
        <v>1309</v>
      </c>
      <c r="HT92" t="s">
        <v>1309</v>
      </c>
      <c r="HU92" t="s">
        <v>1309</v>
      </c>
      <c r="HV92" t="s">
        <v>1310</v>
      </c>
      <c r="HW92" t="s">
        <v>1309</v>
      </c>
      <c r="HX92" t="s">
        <v>1309</v>
      </c>
      <c r="HY92" t="s">
        <v>1309</v>
      </c>
      <c r="HZ92" t="s">
        <v>1309</v>
      </c>
      <c r="IB92" s="92" t="s">
        <v>1516</v>
      </c>
      <c r="IC92" s="92" t="s">
        <v>2916</v>
      </c>
      <c r="ID92" s="92">
        <v>43</v>
      </c>
      <c r="IE92" s="92" t="s">
        <v>1307</v>
      </c>
      <c r="IF92" s="92" t="s">
        <v>4398</v>
      </c>
      <c r="IG92" s="92" t="s">
        <v>1336</v>
      </c>
      <c r="IH92" s="92" t="s">
        <v>1296</v>
      </c>
      <c r="II92" s="92" t="s">
        <v>70</v>
      </c>
      <c r="IJ92" s="92" t="s">
        <v>1397</v>
      </c>
      <c r="IK92" s="92" t="s">
        <v>1337</v>
      </c>
      <c r="IL92" s="92" t="s">
        <v>4845</v>
      </c>
      <c r="IM92" s="92" t="s">
        <v>1399</v>
      </c>
      <c r="IN92" s="92" t="s">
        <v>109</v>
      </c>
      <c r="IO92" s="92" t="s">
        <v>4844</v>
      </c>
      <c r="IP92" s="92" t="s">
        <v>5560</v>
      </c>
      <c r="IQ92" s="92">
        <v>1000</v>
      </c>
      <c r="IR92" s="92" t="s">
        <v>4439</v>
      </c>
      <c r="IS92" s="92" t="s">
        <v>192</v>
      </c>
      <c r="IT92" s="92" t="s">
        <v>109</v>
      </c>
      <c r="IU92" s="92" t="s">
        <v>192</v>
      </c>
      <c r="IV92" s="92" t="s">
        <v>109</v>
      </c>
      <c r="IW92" s="92" t="s">
        <v>1374</v>
      </c>
      <c r="IX92" s="92">
        <v>900</v>
      </c>
      <c r="IY92" s="92" t="s">
        <v>4439</v>
      </c>
      <c r="IZ92" s="92" t="s">
        <v>1374</v>
      </c>
      <c r="JA92" s="92" t="s">
        <v>1401</v>
      </c>
      <c r="JB92" s="92" t="s">
        <v>192</v>
      </c>
      <c r="JC92" s="92" t="s">
        <v>1403</v>
      </c>
      <c r="JD92" s="92" t="s">
        <v>109</v>
      </c>
      <c r="JE92" s="92" t="s">
        <v>109</v>
      </c>
      <c r="JF92" s="92" t="s">
        <v>4439</v>
      </c>
      <c r="JG92" s="92" t="s">
        <v>4439</v>
      </c>
      <c r="JH92" s="92" t="s">
        <v>109</v>
      </c>
      <c r="JI92" s="92" t="s">
        <v>109</v>
      </c>
    </row>
    <row r="93" spans="1:269" x14ac:dyDescent="0.25">
      <c r="A93" t="s">
        <v>3182</v>
      </c>
      <c r="B93" t="s">
        <v>3183</v>
      </c>
      <c r="C93" t="s">
        <v>1305</v>
      </c>
      <c r="D93" t="s">
        <v>1306</v>
      </c>
      <c r="F93" t="s">
        <v>1307</v>
      </c>
      <c r="G93" t="s">
        <v>1319</v>
      </c>
      <c r="H93">
        <v>3</v>
      </c>
      <c r="I93" t="s">
        <v>1307</v>
      </c>
      <c r="J93" t="s">
        <v>1891</v>
      </c>
      <c r="K93" t="s">
        <v>1309</v>
      </c>
      <c r="L93" t="s">
        <v>1309</v>
      </c>
      <c r="M93" t="s">
        <v>1310</v>
      </c>
      <c r="N93" t="s">
        <v>1309</v>
      </c>
      <c r="O93" t="s">
        <v>1310</v>
      </c>
      <c r="P93" t="s">
        <v>1309</v>
      </c>
      <c r="Q93" t="s">
        <v>1309</v>
      </c>
      <c r="R93" t="s">
        <v>1309</v>
      </c>
      <c r="T93">
        <v>3</v>
      </c>
      <c r="U93" t="s">
        <v>1311</v>
      </c>
      <c r="V93" t="s">
        <v>1312</v>
      </c>
      <c r="W93" t="s">
        <v>1311</v>
      </c>
      <c r="X93" t="s">
        <v>1312</v>
      </c>
      <c r="Y93" t="s">
        <v>1312</v>
      </c>
      <c r="Z93" t="s">
        <v>1312</v>
      </c>
      <c r="AC93">
        <v>3</v>
      </c>
      <c r="AD93">
        <v>10000</v>
      </c>
      <c r="AE93">
        <v>10000</v>
      </c>
      <c r="AF93" t="s">
        <v>1351</v>
      </c>
      <c r="AH93" t="s">
        <v>1319</v>
      </c>
      <c r="AI93" t="s">
        <v>4879</v>
      </c>
      <c r="AK93" t="s">
        <v>1307</v>
      </c>
      <c r="CG93" t="s">
        <v>2853</v>
      </c>
      <c r="CH93" t="s">
        <v>1309</v>
      </c>
      <c r="CI93" t="s">
        <v>1309</v>
      </c>
      <c r="CJ93" t="s">
        <v>1309</v>
      </c>
      <c r="CK93" t="s">
        <v>1310</v>
      </c>
      <c r="CL93" t="s">
        <v>1309</v>
      </c>
      <c r="CM93" t="s">
        <v>1309</v>
      </c>
      <c r="CN93" t="s">
        <v>1309</v>
      </c>
      <c r="CO93" t="s">
        <v>1309</v>
      </c>
      <c r="CP93" t="s">
        <v>1309</v>
      </c>
      <c r="CQ93" t="s">
        <v>1309</v>
      </c>
      <c r="CR93" t="s">
        <v>1309</v>
      </c>
      <c r="CS93" t="s">
        <v>1309</v>
      </c>
      <c r="CT93" t="s">
        <v>1309</v>
      </c>
      <c r="CU93" t="s">
        <v>1309</v>
      </c>
      <c r="CV93" t="s">
        <v>1309</v>
      </c>
      <c r="CX93" t="s">
        <v>1414</v>
      </c>
      <c r="CY93" t="s">
        <v>1309</v>
      </c>
      <c r="CZ93" t="s">
        <v>1309</v>
      </c>
      <c r="DA93" t="s">
        <v>1309</v>
      </c>
      <c r="DB93" t="s">
        <v>1309</v>
      </c>
      <c r="DC93" t="s">
        <v>1309</v>
      </c>
      <c r="DD93" t="s">
        <v>1309</v>
      </c>
      <c r="DE93" t="s">
        <v>1309</v>
      </c>
      <c r="DF93" t="s">
        <v>1309</v>
      </c>
      <c r="DG93" t="s">
        <v>1309</v>
      </c>
      <c r="DH93" t="s">
        <v>1309</v>
      </c>
      <c r="DI93" t="s">
        <v>1309</v>
      </c>
      <c r="DJ93" t="s">
        <v>1310</v>
      </c>
      <c r="DK93" t="s">
        <v>1309</v>
      </c>
      <c r="DM93" t="s">
        <v>4434</v>
      </c>
      <c r="DO93" t="s">
        <v>1356</v>
      </c>
      <c r="DP93" t="s">
        <v>1309</v>
      </c>
      <c r="DQ93" t="s">
        <v>1309</v>
      </c>
      <c r="DR93" t="s">
        <v>1309</v>
      </c>
      <c r="DS93" t="s">
        <v>1310</v>
      </c>
      <c r="DT93" t="s">
        <v>1309</v>
      </c>
      <c r="DU93" t="s">
        <v>1309</v>
      </c>
      <c r="DV93" t="s">
        <v>1309</v>
      </c>
      <c r="DX93" t="s">
        <v>1358</v>
      </c>
      <c r="DZ93">
        <v>2800</v>
      </c>
      <c r="EB93">
        <v>1200</v>
      </c>
      <c r="EC93" t="s">
        <v>1358</v>
      </c>
      <c r="ED93">
        <v>2200</v>
      </c>
      <c r="EF93">
        <v>1200</v>
      </c>
      <c r="EG93" t="s">
        <v>1703</v>
      </c>
      <c r="EH93" t="s">
        <v>1310</v>
      </c>
      <c r="EI93" t="s">
        <v>1309</v>
      </c>
      <c r="EJ93" t="s">
        <v>1309</v>
      </c>
      <c r="EK93" t="s">
        <v>1309</v>
      </c>
      <c r="EL93" t="s">
        <v>1309</v>
      </c>
      <c r="EM93" t="s">
        <v>1309</v>
      </c>
      <c r="EN93" t="s">
        <v>1309</v>
      </c>
      <c r="EO93" t="s">
        <v>1309</v>
      </c>
      <c r="EQ93" t="s">
        <v>1307</v>
      </c>
      <c r="ER93" t="s">
        <v>1307</v>
      </c>
      <c r="ES93" t="s">
        <v>1307</v>
      </c>
      <c r="ET93" t="s">
        <v>1307</v>
      </c>
      <c r="FN93" t="s">
        <v>1319</v>
      </c>
      <c r="FO93" t="s">
        <v>1649</v>
      </c>
      <c r="FP93" t="s">
        <v>1310</v>
      </c>
      <c r="FQ93" t="s">
        <v>1310</v>
      </c>
      <c r="FR93" t="s">
        <v>1309</v>
      </c>
      <c r="FS93" t="s">
        <v>1309</v>
      </c>
      <c r="FT93" t="s">
        <v>1309</v>
      </c>
      <c r="FU93" t="s">
        <v>1309</v>
      </c>
      <c r="FV93" t="s">
        <v>1309</v>
      </c>
      <c r="FW93" t="s">
        <v>1309</v>
      </c>
      <c r="FX93" t="s">
        <v>1309</v>
      </c>
      <c r="FY93" t="s">
        <v>1309</v>
      </c>
      <c r="FZ93" t="s">
        <v>1309</v>
      </c>
      <c r="GA93" t="s">
        <v>1309</v>
      </c>
      <c r="GC93" t="s">
        <v>1324</v>
      </c>
      <c r="GD93" t="s">
        <v>1324</v>
      </c>
      <c r="GN93" t="s">
        <v>1437</v>
      </c>
      <c r="GO93" t="s">
        <v>2539</v>
      </c>
      <c r="GP93" t="s">
        <v>1309</v>
      </c>
      <c r="GQ93" t="s">
        <v>1310</v>
      </c>
      <c r="GR93" t="s">
        <v>1309</v>
      </c>
      <c r="GS93" t="s">
        <v>1309</v>
      </c>
      <c r="GT93" t="s">
        <v>1309</v>
      </c>
      <c r="GU93" t="s">
        <v>1310</v>
      </c>
      <c r="GV93" t="s">
        <v>1309</v>
      </c>
      <c r="GW93" t="s">
        <v>1309</v>
      </c>
      <c r="GX93" t="s">
        <v>1309</v>
      </c>
      <c r="GY93" t="s">
        <v>1309</v>
      </c>
      <c r="GZ93" t="s">
        <v>1309</v>
      </c>
      <c r="HB93" t="s">
        <v>1307</v>
      </c>
      <c r="HR93" t="s">
        <v>1332</v>
      </c>
      <c r="HS93" t="s">
        <v>1309</v>
      </c>
      <c r="HT93" t="s">
        <v>1309</v>
      </c>
      <c r="HU93" t="s">
        <v>1309</v>
      </c>
      <c r="HV93" t="s">
        <v>1309</v>
      </c>
      <c r="HW93" t="s">
        <v>1310</v>
      </c>
      <c r="HX93" t="s">
        <v>1309</v>
      </c>
      <c r="HY93" t="s">
        <v>1309</v>
      </c>
      <c r="HZ93" t="s">
        <v>1309</v>
      </c>
      <c r="IB93" s="92" t="s">
        <v>1711</v>
      </c>
      <c r="IC93" s="92" t="s">
        <v>1712</v>
      </c>
      <c r="ID93" s="92">
        <v>64</v>
      </c>
      <c r="IE93" s="92" t="s">
        <v>1307</v>
      </c>
      <c r="IF93" s="92" t="s">
        <v>4396</v>
      </c>
      <c r="IG93" s="92" t="s">
        <v>1368</v>
      </c>
      <c r="IH93" s="92" t="s">
        <v>1296</v>
      </c>
      <c r="II93" s="92" t="s">
        <v>71</v>
      </c>
      <c r="IJ93" s="92" t="s">
        <v>5549</v>
      </c>
      <c r="IK93" s="92" t="s">
        <v>1369</v>
      </c>
      <c r="IL93" s="92" t="s">
        <v>4845</v>
      </c>
      <c r="IM93" s="92" t="s">
        <v>1476</v>
      </c>
      <c r="IN93" s="92" t="s">
        <v>109</v>
      </c>
      <c r="IO93" s="92" t="s">
        <v>4848</v>
      </c>
      <c r="IP93" s="92" t="s">
        <v>1424</v>
      </c>
      <c r="IQ93" s="92">
        <v>4000</v>
      </c>
      <c r="IR93" s="92" t="s">
        <v>4439</v>
      </c>
      <c r="IS93" s="92" t="s">
        <v>192</v>
      </c>
      <c r="IT93" s="92" t="s">
        <v>109</v>
      </c>
      <c r="IU93" s="92" t="s">
        <v>192</v>
      </c>
      <c r="IV93" s="92" t="s">
        <v>109</v>
      </c>
      <c r="IW93" s="92" t="s">
        <v>1341</v>
      </c>
      <c r="IX93" s="92">
        <v>3400</v>
      </c>
      <c r="IY93" s="92" t="s">
        <v>4439</v>
      </c>
      <c r="IZ93" s="92" t="s">
        <v>1341</v>
      </c>
      <c r="JA93" s="92" t="s">
        <v>1375</v>
      </c>
      <c r="JB93" s="92" t="s">
        <v>192</v>
      </c>
      <c r="JC93" s="92" t="s">
        <v>5795</v>
      </c>
      <c r="JD93" s="92" t="s">
        <v>109</v>
      </c>
      <c r="JE93" s="92" t="s">
        <v>109</v>
      </c>
      <c r="JF93" s="92" t="s">
        <v>4439</v>
      </c>
      <c r="JG93" s="92" t="s">
        <v>4438</v>
      </c>
      <c r="JH93" s="92" t="s">
        <v>192</v>
      </c>
      <c r="JI93" s="92" t="s">
        <v>192</v>
      </c>
    </row>
    <row r="94" spans="1:269" x14ac:dyDescent="0.25">
      <c r="A94" t="s">
        <v>3184</v>
      </c>
      <c r="B94" t="s">
        <v>3185</v>
      </c>
      <c r="C94" t="s">
        <v>1305</v>
      </c>
      <c r="D94" t="s">
        <v>1381</v>
      </c>
      <c r="F94" t="s">
        <v>1319</v>
      </c>
      <c r="G94" t="s">
        <v>1319</v>
      </c>
      <c r="H94">
        <v>2</v>
      </c>
      <c r="I94" t="s">
        <v>1307</v>
      </c>
      <c r="J94" t="s">
        <v>1891</v>
      </c>
      <c r="K94" t="s">
        <v>1309</v>
      </c>
      <c r="L94" t="s">
        <v>1309</v>
      </c>
      <c r="M94" t="s">
        <v>1310</v>
      </c>
      <c r="N94" t="s">
        <v>1309</v>
      </c>
      <c r="O94" t="s">
        <v>1310</v>
      </c>
      <c r="P94" t="s">
        <v>1309</v>
      </c>
      <c r="Q94" t="s">
        <v>1309</v>
      </c>
      <c r="R94" t="s">
        <v>1309</v>
      </c>
      <c r="T94">
        <v>1</v>
      </c>
      <c r="U94" t="s">
        <v>1312</v>
      </c>
      <c r="V94" t="s">
        <v>1312</v>
      </c>
      <c r="W94" t="s">
        <v>1486</v>
      </c>
      <c r="X94" t="s">
        <v>1311</v>
      </c>
      <c r="Y94" t="s">
        <v>1312</v>
      </c>
      <c r="Z94" t="s">
        <v>1312</v>
      </c>
      <c r="AC94">
        <v>2</v>
      </c>
      <c r="AF94" t="s">
        <v>1313</v>
      </c>
      <c r="AH94" t="s">
        <v>1307</v>
      </c>
      <c r="AI94" t="s">
        <v>4879</v>
      </c>
      <c r="AK94" t="s">
        <v>1307</v>
      </c>
      <c r="CG94" t="s">
        <v>1544</v>
      </c>
      <c r="CH94" t="s">
        <v>1309</v>
      </c>
      <c r="CI94" t="s">
        <v>1310</v>
      </c>
      <c r="CJ94" t="s">
        <v>1309</v>
      </c>
      <c r="CK94" t="s">
        <v>1309</v>
      </c>
      <c r="CL94" t="s">
        <v>1309</v>
      </c>
      <c r="CM94" t="s">
        <v>1309</v>
      </c>
      <c r="CN94" t="s">
        <v>1309</v>
      </c>
      <c r="CO94" t="s">
        <v>1309</v>
      </c>
      <c r="CP94" t="s">
        <v>1309</v>
      </c>
      <c r="CQ94" t="s">
        <v>1309</v>
      </c>
      <c r="CR94" t="s">
        <v>1309</v>
      </c>
      <c r="CS94" t="s">
        <v>1309</v>
      </c>
      <c r="CT94" t="s">
        <v>1309</v>
      </c>
      <c r="CU94" t="s">
        <v>1309</v>
      </c>
      <c r="CV94" t="s">
        <v>1309</v>
      </c>
      <c r="CX94" t="s">
        <v>1414</v>
      </c>
      <c r="CY94" t="s">
        <v>1309</v>
      </c>
      <c r="CZ94" t="s">
        <v>1309</v>
      </c>
      <c r="DA94" t="s">
        <v>1309</v>
      </c>
      <c r="DB94" t="s">
        <v>1309</v>
      </c>
      <c r="DC94" t="s">
        <v>1309</v>
      </c>
      <c r="DD94" t="s">
        <v>1309</v>
      </c>
      <c r="DE94" t="s">
        <v>1309</v>
      </c>
      <c r="DF94" t="s">
        <v>1309</v>
      </c>
      <c r="DG94" t="s">
        <v>1309</v>
      </c>
      <c r="DH94" t="s">
        <v>1309</v>
      </c>
      <c r="DI94" t="s">
        <v>1309</v>
      </c>
      <c r="DJ94" t="s">
        <v>1310</v>
      </c>
      <c r="DK94" t="s">
        <v>1309</v>
      </c>
      <c r="DM94" t="s">
        <v>4434</v>
      </c>
      <c r="DO94" t="s">
        <v>1308</v>
      </c>
      <c r="DP94" t="s">
        <v>1310</v>
      </c>
      <c r="DQ94" t="s">
        <v>1309</v>
      </c>
      <c r="DR94" t="s">
        <v>1309</v>
      </c>
      <c r="DS94" t="s">
        <v>1309</v>
      </c>
      <c r="DT94" t="s">
        <v>1309</v>
      </c>
      <c r="DU94" t="s">
        <v>1309</v>
      </c>
      <c r="DV94" t="s">
        <v>1309</v>
      </c>
      <c r="DX94" t="s">
        <v>1358</v>
      </c>
      <c r="EC94" t="s">
        <v>1318</v>
      </c>
      <c r="EG94" t="s">
        <v>2857</v>
      </c>
      <c r="EH94" t="s">
        <v>1310</v>
      </c>
      <c r="EI94" t="s">
        <v>1309</v>
      </c>
      <c r="EJ94" t="s">
        <v>1309</v>
      </c>
      <c r="EK94" t="s">
        <v>1309</v>
      </c>
      <c r="EL94" t="s">
        <v>1310</v>
      </c>
      <c r="EM94" t="s">
        <v>1309</v>
      </c>
      <c r="EN94" t="s">
        <v>1309</v>
      </c>
      <c r="EO94" t="s">
        <v>1309</v>
      </c>
      <c r="EQ94" t="s">
        <v>1307</v>
      </c>
      <c r="ER94" t="s">
        <v>1319</v>
      </c>
      <c r="ES94" t="s">
        <v>1319</v>
      </c>
      <c r="EU94" t="s">
        <v>3186</v>
      </c>
      <c r="EV94" t="s">
        <v>1309</v>
      </c>
      <c r="EW94" t="s">
        <v>1309</v>
      </c>
      <c r="EX94" t="s">
        <v>1310</v>
      </c>
      <c r="EY94" t="s">
        <v>1309</v>
      </c>
      <c r="EZ94" t="s">
        <v>1309</v>
      </c>
      <c r="FA94" t="s">
        <v>1310</v>
      </c>
      <c r="FB94" t="s">
        <v>1309</v>
      </c>
      <c r="FC94" t="s">
        <v>1309</v>
      </c>
      <c r="FD94" t="s">
        <v>1309</v>
      </c>
      <c r="FE94" t="s">
        <v>1309</v>
      </c>
      <c r="FF94" t="s">
        <v>1310</v>
      </c>
      <c r="FG94" t="s">
        <v>1310</v>
      </c>
      <c r="FH94" t="s">
        <v>1309</v>
      </c>
      <c r="FI94" t="s">
        <v>1309</v>
      </c>
      <c r="FJ94" t="s">
        <v>1309</v>
      </c>
      <c r="FK94" t="s">
        <v>1309</v>
      </c>
      <c r="FL94" t="s">
        <v>1309</v>
      </c>
      <c r="FN94" t="s">
        <v>1307</v>
      </c>
      <c r="GC94" t="s">
        <v>1436</v>
      </c>
      <c r="GD94" t="s">
        <v>1436</v>
      </c>
      <c r="GE94" t="s">
        <v>1319</v>
      </c>
      <c r="GF94" t="s">
        <v>1600</v>
      </c>
      <c r="GG94" t="s">
        <v>1310</v>
      </c>
      <c r="GH94" t="s">
        <v>1309</v>
      </c>
      <c r="GI94" t="s">
        <v>1310</v>
      </c>
      <c r="GJ94" t="s">
        <v>1309</v>
      </c>
      <c r="GK94" t="s">
        <v>1309</v>
      </c>
      <c r="GL94" t="s">
        <v>1309</v>
      </c>
      <c r="GN94" t="s">
        <v>1692</v>
      </c>
      <c r="GO94" t="s">
        <v>1549</v>
      </c>
      <c r="GP94" t="s">
        <v>1310</v>
      </c>
      <c r="GQ94" t="s">
        <v>1310</v>
      </c>
      <c r="GR94" t="s">
        <v>1309</v>
      </c>
      <c r="GS94" t="s">
        <v>1309</v>
      </c>
      <c r="GT94" t="s">
        <v>1309</v>
      </c>
      <c r="GU94" t="s">
        <v>1309</v>
      </c>
      <c r="GV94" t="s">
        <v>1309</v>
      </c>
      <c r="GW94" t="s">
        <v>1309</v>
      </c>
      <c r="GX94" t="s">
        <v>1309</v>
      </c>
      <c r="GY94" t="s">
        <v>1309</v>
      </c>
      <c r="GZ94" t="s">
        <v>1309</v>
      </c>
      <c r="HB94" t="s">
        <v>1307</v>
      </c>
      <c r="HR94" t="s">
        <v>1523</v>
      </c>
      <c r="HS94" t="s">
        <v>1309</v>
      </c>
      <c r="HT94" t="s">
        <v>1309</v>
      </c>
      <c r="HU94" t="s">
        <v>1309</v>
      </c>
      <c r="HV94" t="s">
        <v>1310</v>
      </c>
      <c r="HW94" t="s">
        <v>1309</v>
      </c>
      <c r="HX94" t="s">
        <v>1309</v>
      </c>
      <c r="HY94" t="s">
        <v>1309</v>
      </c>
      <c r="HZ94" t="s">
        <v>1309</v>
      </c>
      <c r="IB94" s="92" t="s">
        <v>1567</v>
      </c>
      <c r="IC94" s="92" t="s">
        <v>1568</v>
      </c>
      <c r="ID94" s="92">
        <v>53</v>
      </c>
      <c r="IE94" s="92" t="s">
        <v>1307</v>
      </c>
      <c r="IF94" s="92" t="s">
        <v>4395</v>
      </c>
      <c r="IG94" s="92" t="s">
        <v>1336</v>
      </c>
      <c r="IH94" s="92" t="s">
        <v>1296</v>
      </c>
      <c r="II94" s="92" t="s">
        <v>71</v>
      </c>
      <c r="IJ94" s="92" t="s">
        <v>5549</v>
      </c>
      <c r="IK94" s="92" t="s">
        <v>1337</v>
      </c>
      <c r="IL94" s="92" t="s">
        <v>4845</v>
      </c>
      <c r="IM94" s="92" t="s">
        <v>1439</v>
      </c>
      <c r="IN94" s="92" t="s">
        <v>192</v>
      </c>
      <c r="IO94" s="92" t="s">
        <v>4847</v>
      </c>
      <c r="IP94" s="92" t="s">
        <v>1340</v>
      </c>
      <c r="IQ94" s="92">
        <v>0</v>
      </c>
      <c r="IR94" s="92" t="s">
        <v>1340</v>
      </c>
      <c r="IS94" s="92" t="s">
        <v>109</v>
      </c>
      <c r="IT94" s="92" t="s">
        <v>109</v>
      </c>
      <c r="IU94" s="92" t="s">
        <v>109</v>
      </c>
      <c r="IV94" s="92" t="s">
        <v>109</v>
      </c>
      <c r="IW94" s="92" t="s">
        <v>1373</v>
      </c>
      <c r="IX94" s="92">
        <v>0</v>
      </c>
      <c r="IY94" s="92" t="s">
        <v>1340</v>
      </c>
      <c r="IZ94" s="92" t="s">
        <v>1373</v>
      </c>
      <c r="JA94" s="92" t="s">
        <v>1460</v>
      </c>
      <c r="JB94" s="92" t="s">
        <v>192</v>
      </c>
      <c r="JC94" s="92" t="s">
        <v>1378</v>
      </c>
      <c r="JD94" s="92" t="s">
        <v>109</v>
      </c>
      <c r="JE94" s="92" t="s">
        <v>109</v>
      </c>
      <c r="JF94" s="92" t="s">
        <v>1340</v>
      </c>
      <c r="JG94" s="92" t="s">
        <v>1340</v>
      </c>
      <c r="JH94" s="92"/>
      <c r="JI94" s="92"/>
    </row>
    <row r="95" spans="1:269" x14ac:dyDescent="0.25">
      <c r="A95" t="s">
        <v>3187</v>
      </c>
      <c r="B95" t="s">
        <v>3188</v>
      </c>
      <c r="C95" t="s">
        <v>1305</v>
      </c>
      <c r="D95" t="s">
        <v>1306</v>
      </c>
      <c r="F95" t="s">
        <v>1307</v>
      </c>
      <c r="G95" t="s">
        <v>1319</v>
      </c>
      <c r="H95">
        <v>3</v>
      </c>
      <c r="I95" t="s">
        <v>1307</v>
      </c>
      <c r="J95" t="s">
        <v>1308</v>
      </c>
      <c r="K95" t="s">
        <v>1309</v>
      </c>
      <c r="L95" t="s">
        <v>1309</v>
      </c>
      <c r="M95" t="s">
        <v>1309</v>
      </c>
      <c r="N95" t="s">
        <v>1309</v>
      </c>
      <c r="O95" t="s">
        <v>1309</v>
      </c>
      <c r="P95" t="s">
        <v>1309</v>
      </c>
      <c r="Q95" t="s">
        <v>1310</v>
      </c>
      <c r="R95" t="s">
        <v>1309</v>
      </c>
      <c r="U95" t="s">
        <v>1311</v>
      </c>
      <c r="V95" t="s">
        <v>1312</v>
      </c>
      <c r="W95" t="s">
        <v>1312</v>
      </c>
      <c r="X95" t="s">
        <v>1312</v>
      </c>
      <c r="Y95" t="s">
        <v>1312</v>
      </c>
      <c r="Z95" t="s">
        <v>1312</v>
      </c>
      <c r="AC95">
        <v>2</v>
      </c>
      <c r="AD95">
        <v>25000</v>
      </c>
      <c r="AE95">
        <v>22000</v>
      </c>
      <c r="AF95" t="s">
        <v>1313</v>
      </c>
      <c r="AH95" t="s">
        <v>1319</v>
      </c>
      <c r="AI95" t="s">
        <v>4876</v>
      </c>
      <c r="AK95" t="s">
        <v>1319</v>
      </c>
      <c r="AL95" t="s">
        <v>1315</v>
      </c>
      <c r="AN95" t="s">
        <v>1316</v>
      </c>
      <c r="BU95" t="s">
        <v>2853</v>
      </c>
      <c r="BV95" t="s">
        <v>1310</v>
      </c>
      <c r="BW95" t="s">
        <v>1309</v>
      </c>
      <c r="BX95" t="s">
        <v>1309</v>
      </c>
      <c r="BY95" t="s">
        <v>1309</v>
      </c>
      <c r="BZ95" t="s">
        <v>1309</v>
      </c>
      <c r="CA95" t="s">
        <v>1309</v>
      </c>
      <c r="CB95" t="s">
        <v>1309</v>
      </c>
      <c r="CC95" t="s">
        <v>1309</v>
      </c>
      <c r="CD95" t="s">
        <v>1309</v>
      </c>
      <c r="CE95" t="s">
        <v>1309</v>
      </c>
      <c r="CX95" t="s">
        <v>2910</v>
      </c>
      <c r="CY95" t="s">
        <v>1310</v>
      </c>
      <c r="CZ95" t="s">
        <v>1309</v>
      </c>
      <c r="DA95" t="s">
        <v>1309</v>
      </c>
      <c r="DB95" t="s">
        <v>1309</v>
      </c>
      <c r="DC95" t="s">
        <v>1310</v>
      </c>
      <c r="DD95" t="s">
        <v>1310</v>
      </c>
      <c r="DE95" t="s">
        <v>1309</v>
      </c>
      <c r="DF95" t="s">
        <v>1309</v>
      </c>
      <c r="DG95" t="s">
        <v>1309</v>
      </c>
      <c r="DH95" t="s">
        <v>1309</v>
      </c>
      <c r="DI95" t="s">
        <v>1309</v>
      </c>
      <c r="DJ95" t="s">
        <v>1309</v>
      </c>
      <c r="DK95" t="s">
        <v>1309</v>
      </c>
      <c r="DM95" t="s">
        <v>4435</v>
      </c>
      <c r="DO95" t="s">
        <v>1308</v>
      </c>
      <c r="DP95" t="s">
        <v>1310</v>
      </c>
      <c r="DQ95" t="s">
        <v>1309</v>
      </c>
      <c r="DR95" t="s">
        <v>1309</v>
      </c>
      <c r="DS95" t="s">
        <v>1309</v>
      </c>
      <c r="DT95" t="s">
        <v>1309</v>
      </c>
      <c r="DU95" t="s">
        <v>1309</v>
      </c>
      <c r="DV95" t="s">
        <v>1309</v>
      </c>
      <c r="DX95" t="s">
        <v>1358</v>
      </c>
      <c r="DY95" t="s">
        <v>1307</v>
      </c>
      <c r="EA95">
        <v>1500</v>
      </c>
      <c r="EB95">
        <v>550</v>
      </c>
      <c r="EC95" t="s">
        <v>1358</v>
      </c>
      <c r="EE95">
        <v>2000</v>
      </c>
      <c r="EF95">
        <v>600</v>
      </c>
      <c r="EG95" t="s">
        <v>1703</v>
      </c>
      <c r="EH95" t="s">
        <v>1310</v>
      </c>
      <c r="EI95" t="s">
        <v>1309</v>
      </c>
      <c r="EJ95" t="s">
        <v>1309</v>
      </c>
      <c r="EK95" t="s">
        <v>1309</v>
      </c>
      <c r="EL95" t="s">
        <v>1309</v>
      </c>
      <c r="EM95" t="s">
        <v>1309</v>
      </c>
      <c r="EN95" t="s">
        <v>1309</v>
      </c>
      <c r="EO95" t="s">
        <v>1309</v>
      </c>
      <c r="EQ95" t="s">
        <v>1319</v>
      </c>
      <c r="ER95" t="s">
        <v>1319</v>
      </c>
      <c r="EU95" t="s">
        <v>2012</v>
      </c>
      <c r="EV95" t="s">
        <v>1309</v>
      </c>
      <c r="EW95" t="s">
        <v>1309</v>
      </c>
      <c r="EX95" t="s">
        <v>1309</v>
      </c>
      <c r="EY95" t="s">
        <v>1309</v>
      </c>
      <c r="EZ95" t="s">
        <v>1309</v>
      </c>
      <c r="FA95" t="s">
        <v>1309</v>
      </c>
      <c r="FB95" t="s">
        <v>1309</v>
      </c>
      <c r="FC95" t="s">
        <v>1310</v>
      </c>
      <c r="FD95" t="s">
        <v>1309</v>
      </c>
      <c r="FE95" t="s">
        <v>1309</v>
      </c>
      <c r="FF95" t="s">
        <v>1309</v>
      </c>
      <c r="FG95" t="s">
        <v>1310</v>
      </c>
      <c r="FH95" t="s">
        <v>1310</v>
      </c>
      <c r="FI95" t="s">
        <v>1309</v>
      </c>
      <c r="FJ95" t="s">
        <v>1309</v>
      </c>
      <c r="FK95" t="s">
        <v>1309</v>
      </c>
      <c r="FL95" t="s">
        <v>1309</v>
      </c>
      <c r="FN95" t="s">
        <v>1307</v>
      </c>
      <c r="GC95" t="s">
        <v>1324</v>
      </c>
      <c r="GD95" t="s">
        <v>1324</v>
      </c>
      <c r="GN95" t="s">
        <v>1364</v>
      </c>
      <c r="HB95" t="s">
        <v>1319</v>
      </c>
      <c r="HC95" t="s">
        <v>1423</v>
      </c>
      <c r="HD95" t="s">
        <v>1309</v>
      </c>
      <c r="HE95" t="s">
        <v>1309</v>
      </c>
      <c r="HF95" t="s">
        <v>1309</v>
      </c>
      <c r="HG95" t="s">
        <v>1309</v>
      </c>
      <c r="HH95" t="s">
        <v>1310</v>
      </c>
      <c r="HI95" t="s">
        <v>1309</v>
      </c>
      <c r="HJ95" t="s">
        <v>1309</v>
      </c>
      <c r="HK95" t="s">
        <v>1309</v>
      </c>
      <c r="HL95" t="s">
        <v>1309</v>
      </c>
      <c r="HM95" t="s">
        <v>1309</v>
      </c>
      <c r="HN95" t="s">
        <v>1309</v>
      </c>
      <c r="HO95" t="s">
        <v>1309</v>
      </c>
      <c r="HP95" t="s">
        <v>1309</v>
      </c>
      <c r="HR95" t="s">
        <v>1414</v>
      </c>
      <c r="HS95" t="s">
        <v>1309</v>
      </c>
      <c r="HT95" t="s">
        <v>1309</v>
      </c>
      <c r="HU95" t="s">
        <v>1309</v>
      </c>
      <c r="HV95" t="s">
        <v>1309</v>
      </c>
      <c r="HW95" t="s">
        <v>1309</v>
      </c>
      <c r="HX95" t="s">
        <v>1309</v>
      </c>
      <c r="HY95" t="s">
        <v>1310</v>
      </c>
      <c r="HZ95" t="s">
        <v>1309</v>
      </c>
      <c r="IB95" s="92" t="s">
        <v>1333</v>
      </c>
      <c r="IC95" s="92" t="s">
        <v>1334</v>
      </c>
      <c r="ID95" s="92">
        <v>43</v>
      </c>
      <c r="IE95" s="92" t="s">
        <v>1307</v>
      </c>
      <c r="IF95" s="92" t="s">
        <v>4396</v>
      </c>
      <c r="IG95" s="92" t="s">
        <v>1336</v>
      </c>
      <c r="IH95" s="92" t="s">
        <v>1296</v>
      </c>
      <c r="II95" s="92" t="s">
        <v>71</v>
      </c>
      <c r="IJ95" s="92" t="s">
        <v>5549</v>
      </c>
      <c r="IK95" s="92" t="s">
        <v>1337</v>
      </c>
      <c r="IL95" s="92" t="s">
        <v>4845</v>
      </c>
      <c r="IM95" s="92" t="s">
        <v>1338</v>
      </c>
      <c r="IN95" s="92" t="s">
        <v>109</v>
      </c>
      <c r="IO95" s="92" t="s">
        <v>4847</v>
      </c>
      <c r="IP95" s="92" t="s">
        <v>1416</v>
      </c>
      <c r="IQ95" s="92">
        <v>2050</v>
      </c>
      <c r="IR95" s="92" t="s">
        <v>1372</v>
      </c>
      <c r="IS95" s="92" t="s">
        <v>109</v>
      </c>
      <c r="IT95" s="92" t="s">
        <v>192</v>
      </c>
      <c r="IU95" s="92" t="s">
        <v>109</v>
      </c>
      <c r="IV95" s="92" t="s">
        <v>192</v>
      </c>
      <c r="IW95" s="92" t="s">
        <v>1425</v>
      </c>
      <c r="IX95" s="92">
        <v>2600</v>
      </c>
      <c r="IY95" s="92" t="s">
        <v>1372</v>
      </c>
      <c r="IZ95" s="92" t="s">
        <v>1425</v>
      </c>
      <c r="JA95" s="92" t="s">
        <v>1342</v>
      </c>
      <c r="JB95" s="92" t="s">
        <v>109</v>
      </c>
      <c r="JC95" s="92" t="s">
        <v>5795</v>
      </c>
      <c r="JD95" s="92" t="s">
        <v>109</v>
      </c>
      <c r="JE95" s="92" t="s">
        <v>109</v>
      </c>
      <c r="JF95" s="92" t="s">
        <v>1372</v>
      </c>
      <c r="JG95" s="92" t="s">
        <v>4438</v>
      </c>
      <c r="JH95" s="92" t="s">
        <v>109</v>
      </c>
      <c r="JI95" s="92" t="s">
        <v>109</v>
      </c>
    </row>
    <row r="96" spans="1:269" x14ac:dyDescent="0.25">
      <c r="A96" t="s">
        <v>3189</v>
      </c>
      <c r="B96" t="s">
        <v>3190</v>
      </c>
      <c r="C96" t="s">
        <v>1305</v>
      </c>
      <c r="D96" t="s">
        <v>1381</v>
      </c>
      <c r="F96" t="s">
        <v>1319</v>
      </c>
      <c r="G96" t="s">
        <v>1319</v>
      </c>
      <c r="H96">
        <v>3</v>
      </c>
      <c r="I96" t="s">
        <v>1358</v>
      </c>
      <c r="J96" t="s">
        <v>3191</v>
      </c>
      <c r="K96" t="s">
        <v>1309</v>
      </c>
      <c r="L96" t="s">
        <v>1310</v>
      </c>
      <c r="M96" t="s">
        <v>1309</v>
      </c>
      <c r="N96" t="s">
        <v>1310</v>
      </c>
      <c r="O96" t="s">
        <v>1309</v>
      </c>
      <c r="P96" t="s">
        <v>1310</v>
      </c>
      <c r="Q96" t="s">
        <v>1309</v>
      </c>
      <c r="R96" t="s">
        <v>1309</v>
      </c>
      <c r="S96">
        <v>2</v>
      </c>
      <c r="U96" t="s">
        <v>1312</v>
      </c>
      <c r="V96" t="s">
        <v>1312</v>
      </c>
      <c r="W96" t="s">
        <v>1312</v>
      </c>
      <c r="X96" t="s">
        <v>1312</v>
      </c>
      <c r="Y96" t="s">
        <v>1312</v>
      </c>
      <c r="Z96" t="s">
        <v>1312</v>
      </c>
      <c r="AA96">
        <v>1</v>
      </c>
      <c r="AB96">
        <v>1</v>
      </c>
      <c r="AC96">
        <v>3</v>
      </c>
      <c r="AD96">
        <v>7500</v>
      </c>
      <c r="AE96">
        <v>7000</v>
      </c>
      <c r="AF96" t="s">
        <v>1313</v>
      </c>
      <c r="AH96" t="s">
        <v>1319</v>
      </c>
      <c r="AI96" t="s">
        <v>4879</v>
      </c>
      <c r="AK96" t="s">
        <v>1307</v>
      </c>
      <c r="CG96" t="s">
        <v>1414</v>
      </c>
      <c r="CH96" t="s">
        <v>1309</v>
      </c>
      <c r="CI96" t="s">
        <v>1309</v>
      </c>
      <c r="CJ96" t="s">
        <v>1309</v>
      </c>
      <c r="CK96" t="s">
        <v>1309</v>
      </c>
      <c r="CL96" t="s">
        <v>1309</v>
      </c>
      <c r="CM96" t="s">
        <v>1309</v>
      </c>
      <c r="CN96" t="s">
        <v>1309</v>
      </c>
      <c r="CO96" t="s">
        <v>1309</v>
      </c>
      <c r="CP96" t="s">
        <v>1309</v>
      </c>
      <c r="CQ96" t="s">
        <v>1309</v>
      </c>
      <c r="CR96" t="s">
        <v>1309</v>
      </c>
      <c r="CS96" t="s">
        <v>1309</v>
      </c>
      <c r="CT96" t="s">
        <v>1309</v>
      </c>
      <c r="CU96" t="s">
        <v>1310</v>
      </c>
      <c r="CV96" t="s">
        <v>1309</v>
      </c>
      <c r="CX96" t="s">
        <v>1414</v>
      </c>
      <c r="CY96" t="s">
        <v>1309</v>
      </c>
      <c r="CZ96" t="s">
        <v>1309</v>
      </c>
      <c r="DA96" t="s">
        <v>1309</v>
      </c>
      <c r="DB96" t="s">
        <v>1309</v>
      </c>
      <c r="DC96" t="s">
        <v>1309</v>
      </c>
      <c r="DD96" t="s">
        <v>1309</v>
      </c>
      <c r="DE96" t="s">
        <v>1309</v>
      </c>
      <c r="DF96" t="s">
        <v>1309</v>
      </c>
      <c r="DG96" t="s">
        <v>1309</v>
      </c>
      <c r="DH96" t="s">
        <v>1309</v>
      </c>
      <c r="DI96" t="s">
        <v>1309</v>
      </c>
      <c r="DJ96" t="s">
        <v>1310</v>
      </c>
      <c r="DK96" t="s">
        <v>1309</v>
      </c>
      <c r="DM96" t="s">
        <v>4435</v>
      </c>
      <c r="DO96" t="s">
        <v>1308</v>
      </c>
      <c r="DP96" t="s">
        <v>1310</v>
      </c>
      <c r="DQ96" t="s">
        <v>1309</v>
      </c>
      <c r="DR96" t="s">
        <v>1309</v>
      </c>
      <c r="DS96" t="s">
        <v>1309</v>
      </c>
      <c r="DT96" t="s">
        <v>1309</v>
      </c>
      <c r="DU96" t="s">
        <v>1309</v>
      </c>
      <c r="DV96" t="s">
        <v>1309</v>
      </c>
      <c r="DX96" t="s">
        <v>1358</v>
      </c>
      <c r="DY96" t="s">
        <v>1319</v>
      </c>
      <c r="DZ96">
        <v>300</v>
      </c>
      <c r="EA96">
        <v>2000</v>
      </c>
      <c r="EB96">
        <v>450</v>
      </c>
      <c r="EC96" t="s">
        <v>1358</v>
      </c>
      <c r="ED96">
        <v>500</v>
      </c>
      <c r="EE96">
        <v>2500</v>
      </c>
      <c r="EF96">
        <v>500</v>
      </c>
      <c r="EG96" t="s">
        <v>3108</v>
      </c>
      <c r="EH96" t="s">
        <v>1310</v>
      </c>
      <c r="EI96" t="s">
        <v>1309</v>
      </c>
      <c r="EJ96" t="s">
        <v>1309</v>
      </c>
      <c r="EK96" t="s">
        <v>1310</v>
      </c>
      <c r="EL96" t="s">
        <v>1310</v>
      </c>
      <c r="EM96" t="s">
        <v>1309</v>
      </c>
      <c r="EN96" t="s">
        <v>1309</v>
      </c>
      <c r="EO96" t="s">
        <v>1309</v>
      </c>
      <c r="EQ96" t="s">
        <v>1307</v>
      </c>
      <c r="ER96" t="s">
        <v>1307</v>
      </c>
      <c r="ES96" t="s">
        <v>1307</v>
      </c>
      <c r="FN96" t="s">
        <v>1307</v>
      </c>
      <c r="GC96" t="s">
        <v>1436</v>
      </c>
      <c r="GD96" t="s">
        <v>1436</v>
      </c>
      <c r="GE96" t="s">
        <v>1307</v>
      </c>
      <c r="GN96" t="s">
        <v>1328</v>
      </c>
      <c r="GO96" t="s">
        <v>1550</v>
      </c>
      <c r="GP96" t="s">
        <v>1310</v>
      </c>
      <c r="GQ96" t="s">
        <v>1309</v>
      </c>
      <c r="GR96" t="s">
        <v>1309</v>
      </c>
      <c r="GS96" t="s">
        <v>1310</v>
      </c>
      <c r="GT96" t="s">
        <v>1309</v>
      </c>
      <c r="GU96" t="s">
        <v>1309</v>
      </c>
      <c r="GV96" t="s">
        <v>1309</v>
      </c>
      <c r="GW96" t="s">
        <v>1309</v>
      </c>
      <c r="GX96" t="s">
        <v>1309</v>
      </c>
      <c r="GY96" t="s">
        <v>1309</v>
      </c>
      <c r="GZ96" t="s">
        <v>1309</v>
      </c>
      <c r="HB96" t="s">
        <v>1414</v>
      </c>
      <c r="HR96" t="s">
        <v>1414</v>
      </c>
      <c r="HS96" t="s">
        <v>1309</v>
      </c>
      <c r="HT96" t="s">
        <v>1309</v>
      </c>
      <c r="HU96" t="s">
        <v>1309</v>
      </c>
      <c r="HV96" t="s">
        <v>1309</v>
      </c>
      <c r="HW96" t="s">
        <v>1309</v>
      </c>
      <c r="HX96" t="s">
        <v>1309</v>
      </c>
      <c r="HY96" t="s">
        <v>1310</v>
      </c>
      <c r="HZ96" t="s">
        <v>1309</v>
      </c>
      <c r="IB96" s="92" t="s">
        <v>1711</v>
      </c>
      <c r="IC96" s="92" t="s">
        <v>1712</v>
      </c>
      <c r="ID96" s="92">
        <v>38</v>
      </c>
      <c r="IE96" s="92" t="s">
        <v>1307</v>
      </c>
      <c r="IF96" s="92" t="s">
        <v>4398</v>
      </c>
      <c r="IG96" s="92" t="s">
        <v>1368</v>
      </c>
      <c r="IH96" s="92" t="s">
        <v>1296</v>
      </c>
      <c r="II96" s="92" t="s">
        <v>71</v>
      </c>
      <c r="IJ96" s="92" t="s">
        <v>1397</v>
      </c>
      <c r="IK96" s="92" t="s">
        <v>1337</v>
      </c>
      <c r="IL96" s="92" t="s">
        <v>4845</v>
      </c>
      <c r="IM96" s="92" t="s">
        <v>1399</v>
      </c>
      <c r="IN96" s="92" t="s">
        <v>109</v>
      </c>
      <c r="IO96" s="92" t="s">
        <v>4848</v>
      </c>
      <c r="IP96" s="92" t="s">
        <v>1424</v>
      </c>
      <c r="IQ96" s="92">
        <v>2750</v>
      </c>
      <c r="IR96" s="92" t="s">
        <v>4439</v>
      </c>
      <c r="IS96" s="92" t="s">
        <v>192</v>
      </c>
      <c r="IT96" s="92" t="s">
        <v>192</v>
      </c>
      <c r="IU96" s="92" t="s">
        <v>192</v>
      </c>
      <c r="IV96" s="92" t="s">
        <v>192</v>
      </c>
      <c r="IW96" s="92" t="s">
        <v>1425</v>
      </c>
      <c r="IX96" s="92">
        <v>3500</v>
      </c>
      <c r="IY96" s="92" t="s">
        <v>4439</v>
      </c>
      <c r="IZ96" s="92" t="s">
        <v>1341</v>
      </c>
      <c r="JA96" s="92" t="s">
        <v>1342</v>
      </c>
      <c r="JB96" s="92" t="s">
        <v>192</v>
      </c>
      <c r="JC96" s="92" t="s">
        <v>1403</v>
      </c>
      <c r="JD96" s="92" t="s">
        <v>192</v>
      </c>
      <c r="JE96" s="92" t="s">
        <v>192</v>
      </c>
      <c r="JF96" s="92" t="s">
        <v>4439</v>
      </c>
      <c r="JG96" s="92" t="s">
        <v>4439</v>
      </c>
      <c r="JH96" s="92" t="s">
        <v>192</v>
      </c>
      <c r="JI96" s="92" t="s">
        <v>192</v>
      </c>
    </row>
    <row r="97" spans="1:269" x14ac:dyDescent="0.25">
      <c r="A97" t="s">
        <v>3192</v>
      </c>
      <c r="B97" t="s">
        <v>3193</v>
      </c>
      <c r="C97" t="s">
        <v>1305</v>
      </c>
      <c r="D97" t="s">
        <v>1381</v>
      </c>
      <c r="F97" t="s">
        <v>1319</v>
      </c>
      <c r="G97" t="s">
        <v>1319</v>
      </c>
      <c r="H97">
        <v>1</v>
      </c>
      <c r="J97" t="s">
        <v>1308</v>
      </c>
      <c r="K97" t="s">
        <v>1309</v>
      </c>
      <c r="L97" t="s">
        <v>1309</v>
      </c>
      <c r="M97" t="s">
        <v>1309</v>
      </c>
      <c r="N97" t="s">
        <v>1309</v>
      </c>
      <c r="O97" t="s">
        <v>1309</v>
      </c>
      <c r="P97" t="s">
        <v>1309</v>
      </c>
      <c r="Q97" t="s">
        <v>1310</v>
      </c>
      <c r="R97" t="s">
        <v>1309</v>
      </c>
      <c r="U97" t="s">
        <v>1312</v>
      </c>
      <c r="V97" t="s">
        <v>1312</v>
      </c>
      <c r="W97" t="s">
        <v>1312</v>
      </c>
      <c r="X97" t="s">
        <v>1312</v>
      </c>
      <c r="Y97" t="s">
        <v>1312</v>
      </c>
      <c r="Z97" t="s">
        <v>1312</v>
      </c>
      <c r="AC97">
        <v>0</v>
      </c>
      <c r="AE97">
        <v>8000</v>
      </c>
      <c r="AF97" t="s">
        <v>1313</v>
      </c>
      <c r="AH97" t="s">
        <v>1319</v>
      </c>
      <c r="AI97" t="s">
        <v>4879</v>
      </c>
      <c r="AK97" t="s">
        <v>1319</v>
      </c>
      <c r="AL97" t="s">
        <v>1315</v>
      </c>
      <c r="AN97" t="s">
        <v>1331</v>
      </c>
      <c r="BU97" t="s">
        <v>2853</v>
      </c>
      <c r="BV97" t="s">
        <v>1310</v>
      </c>
      <c r="BW97" t="s">
        <v>1309</v>
      </c>
      <c r="BX97" t="s">
        <v>1309</v>
      </c>
      <c r="BY97" t="s">
        <v>1309</v>
      </c>
      <c r="BZ97" t="s">
        <v>1309</v>
      </c>
      <c r="CA97" t="s">
        <v>1309</v>
      </c>
      <c r="CB97" t="s">
        <v>1309</v>
      </c>
      <c r="CC97" t="s">
        <v>1309</v>
      </c>
      <c r="CD97" t="s">
        <v>1309</v>
      </c>
      <c r="CE97" t="s">
        <v>1309</v>
      </c>
      <c r="CX97" t="s">
        <v>1384</v>
      </c>
      <c r="CY97" t="s">
        <v>1310</v>
      </c>
      <c r="CZ97" t="s">
        <v>1309</v>
      </c>
      <c r="DA97" t="s">
        <v>1309</v>
      </c>
      <c r="DB97" t="s">
        <v>1309</v>
      </c>
      <c r="DC97" t="s">
        <v>1309</v>
      </c>
      <c r="DD97" t="s">
        <v>1309</v>
      </c>
      <c r="DE97" t="s">
        <v>1309</v>
      </c>
      <c r="DF97" t="s">
        <v>1309</v>
      </c>
      <c r="DG97" t="s">
        <v>1309</v>
      </c>
      <c r="DH97" t="s">
        <v>1309</v>
      </c>
      <c r="DI97" t="s">
        <v>1309</v>
      </c>
      <c r="DJ97" t="s">
        <v>1309</v>
      </c>
      <c r="DK97" t="s">
        <v>1309</v>
      </c>
      <c r="DM97" t="s">
        <v>4435</v>
      </c>
      <c r="DO97" t="s">
        <v>1308</v>
      </c>
      <c r="DP97" t="s">
        <v>1310</v>
      </c>
      <c r="DQ97" t="s">
        <v>1309</v>
      </c>
      <c r="DR97" t="s">
        <v>1309</v>
      </c>
      <c r="DS97" t="s">
        <v>1309</v>
      </c>
      <c r="DT97" t="s">
        <v>1309</v>
      </c>
      <c r="DU97" t="s">
        <v>1309</v>
      </c>
      <c r="DV97" t="s">
        <v>1309</v>
      </c>
      <c r="DX97" t="s">
        <v>1318</v>
      </c>
      <c r="DY97" t="s">
        <v>1307</v>
      </c>
      <c r="EA97">
        <v>1300</v>
      </c>
      <c r="EB97">
        <v>350</v>
      </c>
      <c r="EC97" t="s">
        <v>1307</v>
      </c>
      <c r="EF97">
        <v>400</v>
      </c>
      <c r="EG97" t="s">
        <v>2966</v>
      </c>
      <c r="EH97" t="s">
        <v>1309</v>
      </c>
      <c r="EI97" t="s">
        <v>1310</v>
      </c>
      <c r="EJ97" t="s">
        <v>1309</v>
      </c>
      <c r="EK97" t="s">
        <v>1310</v>
      </c>
      <c r="EL97" t="s">
        <v>1309</v>
      </c>
      <c r="EM97" t="s">
        <v>1309</v>
      </c>
      <c r="EN97" t="s">
        <v>1309</v>
      </c>
      <c r="EO97" t="s">
        <v>1309</v>
      </c>
      <c r="EQ97" t="s">
        <v>1319</v>
      </c>
      <c r="ER97" t="s">
        <v>1307</v>
      </c>
      <c r="FN97" t="s">
        <v>1319</v>
      </c>
      <c r="FO97" t="s">
        <v>1635</v>
      </c>
      <c r="FP97" t="s">
        <v>1310</v>
      </c>
      <c r="FQ97" t="s">
        <v>1309</v>
      </c>
      <c r="FR97" t="s">
        <v>1309</v>
      </c>
      <c r="FS97" t="s">
        <v>1309</v>
      </c>
      <c r="FT97" t="s">
        <v>1309</v>
      </c>
      <c r="FU97" t="s">
        <v>1310</v>
      </c>
      <c r="FV97" t="s">
        <v>1309</v>
      </c>
      <c r="FW97" t="s">
        <v>1309</v>
      </c>
      <c r="FX97" t="s">
        <v>1309</v>
      </c>
      <c r="FY97" t="s">
        <v>1309</v>
      </c>
      <c r="FZ97" t="s">
        <v>1309</v>
      </c>
      <c r="GA97" t="s">
        <v>1309</v>
      </c>
      <c r="GC97" t="s">
        <v>1324</v>
      </c>
      <c r="GD97" t="s">
        <v>1324</v>
      </c>
      <c r="GN97" t="s">
        <v>1364</v>
      </c>
      <c r="HB97" t="s">
        <v>1307</v>
      </c>
      <c r="HR97" t="s">
        <v>1414</v>
      </c>
      <c r="HS97" t="s">
        <v>1309</v>
      </c>
      <c r="HT97" t="s">
        <v>1309</v>
      </c>
      <c r="HU97" t="s">
        <v>1309</v>
      </c>
      <c r="HV97" t="s">
        <v>1309</v>
      </c>
      <c r="HW97" t="s">
        <v>1309</v>
      </c>
      <c r="HX97" t="s">
        <v>1309</v>
      </c>
      <c r="HY97" t="s">
        <v>1310</v>
      </c>
      <c r="HZ97" t="s">
        <v>1309</v>
      </c>
      <c r="IB97" s="92" t="s">
        <v>1333</v>
      </c>
      <c r="IC97" s="92" t="s">
        <v>1334</v>
      </c>
      <c r="ID97" s="92">
        <v>29</v>
      </c>
      <c r="IE97" s="92" t="s">
        <v>1307</v>
      </c>
      <c r="IF97" s="92" t="s">
        <v>4398</v>
      </c>
      <c r="IG97" s="92" t="s">
        <v>1336</v>
      </c>
      <c r="IH97" s="92" t="s">
        <v>1296</v>
      </c>
      <c r="II97" s="92" t="s">
        <v>71</v>
      </c>
      <c r="IJ97" s="92" t="s">
        <v>1397</v>
      </c>
      <c r="IK97" s="92" t="s">
        <v>1398</v>
      </c>
      <c r="IL97" s="92" t="s">
        <v>4844</v>
      </c>
      <c r="IM97" s="92" t="s">
        <v>1338</v>
      </c>
      <c r="IN97" s="92" t="s">
        <v>109</v>
      </c>
      <c r="IO97" s="92" t="s">
        <v>1309</v>
      </c>
      <c r="IP97" s="92" t="s">
        <v>1340</v>
      </c>
      <c r="IQ97" s="92">
        <v>1650</v>
      </c>
      <c r="IR97" s="92" t="s">
        <v>1340</v>
      </c>
      <c r="IS97" s="92" t="s">
        <v>109</v>
      </c>
      <c r="IT97" s="92" t="s">
        <v>192</v>
      </c>
      <c r="IU97" s="92" t="s">
        <v>109</v>
      </c>
      <c r="IV97" s="92" t="s">
        <v>109</v>
      </c>
      <c r="IW97" s="92" t="s">
        <v>1440</v>
      </c>
      <c r="IX97" s="92">
        <v>400</v>
      </c>
      <c r="IY97" s="92" t="s">
        <v>1340</v>
      </c>
      <c r="IZ97" s="92" t="s">
        <v>1373</v>
      </c>
      <c r="JA97" s="92" t="s">
        <v>1342</v>
      </c>
      <c r="JB97" s="92" t="s">
        <v>109</v>
      </c>
      <c r="JC97" s="92" t="s">
        <v>1403</v>
      </c>
      <c r="JD97" s="92" t="s">
        <v>109</v>
      </c>
      <c r="JE97" s="92" t="s">
        <v>109</v>
      </c>
      <c r="JF97" s="92" t="s">
        <v>1340</v>
      </c>
      <c r="JG97" s="92" t="s">
        <v>1340</v>
      </c>
      <c r="JH97" s="92"/>
      <c r="JI97" s="92"/>
    </row>
    <row r="98" spans="1:269" x14ac:dyDescent="0.25">
      <c r="A98" t="s">
        <v>3194</v>
      </c>
      <c r="B98" t="s">
        <v>3195</v>
      </c>
      <c r="C98" t="s">
        <v>1305</v>
      </c>
      <c r="D98" t="s">
        <v>1306</v>
      </c>
      <c r="F98" t="s">
        <v>1307</v>
      </c>
      <c r="G98" t="s">
        <v>1319</v>
      </c>
      <c r="H98">
        <v>1</v>
      </c>
      <c r="J98" t="s">
        <v>1308</v>
      </c>
      <c r="K98" t="s">
        <v>1309</v>
      </c>
      <c r="L98" t="s">
        <v>1309</v>
      </c>
      <c r="M98" t="s">
        <v>1309</v>
      </c>
      <c r="N98" t="s">
        <v>1309</v>
      </c>
      <c r="O98" t="s">
        <v>1309</v>
      </c>
      <c r="P98" t="s">
        <v>1309</v>
      </c>
      <c r="Q98" t="s">
        <v>1310</v>
      </c>
      <c r="R98" t="s">
        <v>1309</v>
      </c>
      <c r="U98" t="s">
        <v>1312</v>
      </c>
      <c r="V98" t="s">
        <v>1312</v>
      </c>
      <c r="W98" t="s">
        <v>1312</v>
      </c>
      <c r="X98" t="s">
        <v>1312</v>
      </c>
      <c r="Y98" t="s">
        <v>1312</v>
      </c>
      <c r="Z98" t="s">
        <v>1312</v>
      </c>
      <c r="AC98">
        <v>1</v>
      </c>
      <c r="AD98">
        <v>10000</v>
      </c>
      <c r="AE98">
        <v>7500</v>
      </c>
      <c r="AF98" t="s">
        <v>1313</v>
      </c>
      <c r="AH98" t="s">
        <v>1319</v>
      </c>
      <c r="AI98" t="s">
        <v>4879</v>
      </c>
      <c r="AK98" t="s">
        <v>1307</v>
      </c>
      <c r="CG98" t="s">
        <v>2849</v>
      </c>
      <c r="CH98" t="s">
        <v>1309</v>
      </c>
      <c r="CI98" t="s">
        <v>1309</v>
      </c>
      <c r="CJ98" t="s">
        <v>1309</v>
      </c>
      <c r="CK98" t="s">
        <v>1310</v>
      </c>
      <c r="CL98" t="s">
        <v>1309</v>
      </c>
      <c r="CM98" t="s">
        <v>1309</v>
      </c>
      <c r="CN98" t="s">
        <v>1309</v>
      </c>
      <c r="CO98" t="s">
        <v>1309</v>
      </c>
      <c r="CP98" t="s">
        <v>1310</v>
      </c>
      <c r="CQ98" t="s">
        <v>1309</v>
      </c>
      <c r="CR98" t="s">
        <v>1309</v>
      </c>
      <c r="CS98" t="s">
        <v>1309</v>
      </c>
      <c r="CT98" t="s">
        <v>1309</v>
      </c>
      <c r="CU98" t="s">
        <v>1309</v>
      </c>
      <c r="CV98" t="s">
        <v>1309</v>
      </c>
      <c r="CX98" t="s">
        <v>2135</v>
      </c>
      <c r="CY98" t="s">
        <v>1309</v>
      </c>
      <c r="CZ98" t="s">
        <v>1309</v>
      </c>
      <c r="DA98" t="s">
        <v>1309</v>
      </c>
      <c r="DB98" t="s">
        <v>1309</v>
      </c>
      <c r="DC98" t="s">
        <v>1309</v>
      </c>
      <c r="DD98" t="s">
        <v>1310</v>
      </c>
      <c r="DE98" t="s">
        <v>1309</v>
      </c>
      <c r="DF98" t="s">
        <v>1309</v>
      </c>
      <c r="DG98" t="s">
        <v>1309</v>
      </c>
      <c r="DH98" t="s">
        <v>1309</v>
      </c>
      <c r="DI98" t="s">
        <v>1309</v>
      </c>
      <c r="DJ98" t="s">
        <v>1309</v>
      </c>
      <c r="DK98" t="s">
        <v>1309</v>
      </c>
      <c r="DM98" t="s">
        <v>4435</v>
      </c>
      <c r="DO98" t="s">
        <v>1308</v>
      </c>
      <c r="DP98" t="s">
        <v>1310</v>
      </c>
      <c r="DQ98" t="s">
        <v>1309</v>
      </c>
      <c r="DR98" t="s">
        <v>1309</v>
      </c>
      <c r="DS98" t="s">
        <v>1309</v>
      </c>
      <c r="DT98" t="s">
        <v>1309</v>
      </c>
      <c r="DU98" t="s">
        <v>1309</v>
      </c>
      <c r="DV98" t="s">
        <v>1309</v>
      </c>
      <c r="DX98" t="s">
        <v>1358</v>
      </c>
      <c r="DY98" t="s">
        <v>1307</v>
      </c>
      <c r="EA98">
        <v>700</v>
      </c>
      <c r="EB98">
        <v>200</v>
      </c>
      <c r="EC98" t="s">
        <v>1358</v>
      </c>
      <c r="EE98">
        <v>900</v>
      </c>
      <c r="EF98">
        <v>250</v>
      </c>
      <c r="EG98" t="s">
        <v>1703</v>
      </c>
      <c r="EH98" t="s">
        <v>1310</v>
      </c>
      <c r="EI98" t="s">
        <v>1309</v>
      </c>
      <c r="EJ98" t="s">
        <v>1309</v>
      </c>
      <c r="EK98" t="s">
        <v>1309</v>
      </c>
      <c r="EL98" t="s">
        <v>1309</v>
      </c>
      <c r="EM98" t="s">
        <v>1309</v>
      </c>
      <c r="EN98" t="s">
        <v>1309</v>
      </c>
      <c r="EO98" t="s">
        <v>1309</v>
      </c>
      <c r="EQ98" t="s">
        <v>1307</v>
      </c>
      <c r="ER98" t="s">
        <v>1319</v>
      </c>
      <c r="EU98" t="s">
        <v>3196</v>
      </c>
      <c r="EV98" t="s">
        <v>1309</v>
      </c>
      <c r="EW98" t="s">
        <v>1309</v>
      </c>
      <c r="EX98" t="s">
        <v>1309</v>
      </c>
      <c r="EY98" t="s">
        <v>1309</v>
      </c>
      <c r="EZ98" t="s">
        <v>1309</v>
      </c>
      <c r="FA98" t="s">
        <v>1310</v>
      </c>
      <c r="FB98" t="s">
        <v>1309</v>
      </c>
      <c r="FC98" t="s">
        <v>1310</v>
      </c>
      <c r="FD98" t="s">
        <v>1309</v>
      </c>
      <c r="FE98" t="s">
        <v>1309</v>
      </c>
      <c r="FF98" t="s">
        <v>1309</v>
      </c>
      <c r="FG98" t="s">
        <v>1309</v>
      </c>
      <c r="FH98" t="s">
        <v>1310</v>
      </c>
      <c r="FI98" t="s">
        <v>1309</v>
      </c>
      <c r="FJ98" t="s">
        <v>1309</v>
      </c>
      <c r="FK98" t="s">
        <v>1309</v>
      </c>
      <c r="FL98" t="s">
        <v>1309</v>
      </c>
      <c r="FN98" t="s">
        <v>1307</v>
      </c>
      <c r="GC98" t="s">
        <v>1324</v>
      </c>
      <c r="GD98" t="s">
        <v>1324</v>
      </c>
      <c r="GN98" t="s">
        <v>1364</v>
      </c>
      <c r="HB98" t="s">
        <v>1319</v>
      </c>
      <c r="HC98" t="s">
        <v>1423</v>
      </c>
      <c r="HD98" t="s">
        <v>1309</v>
      </c>
      <c r="HE98" t="s">
        <v>1309</v>
      </c>
      <c r="HF98" t="s">
        <v>1309</v>
      </c>
      <c r="HG98" t="s">
        <v>1309</v>
      </c>
      <c r="HH98" t="s">
        <v>1310</v>
      </c>
      <c r="HI98" t="s">
        <v>1309</v>
      </c>
      <c r="HJ98" t="s">
        <v>1309</v>
      </c>
      <c r="HK98" t="s">
        <v>1309</v>
      </c>
      <c r="HL98" t="s">
        <v>1309</v>
      </c>
      <c r="HM98" t="s">
        <v>1309</v>
      </c>
      <c r="HN98" t="s">
        <v>1309</v>
      </c>
      <c r="HO98" t="s">
        <v>1309</v>
      </c>
      <c r="HP98" t="s">
        <v>1309</v>
      </c>
      <c r="HR98" t="s">
        <v>1523</v>
      </c>
      <c r="HS98" t="s">
        <v>1309</v>
      </c>
      <c r="HT98" t="s">
        <v>1309</v>
      </c>
      <c r="HU98" t="s">
        <v>1309</v>
      </c>
      <c r="HV98" t="s">
        <v>1310</v>
      </c>
      <c r="HW98" t="s">
        <v>1309</v>
      </c>
      <c r="HX98" t="s">
        <v>1309</v>
      </c>
      <c r="HY98" t="s">
        <v>1309</v>
      </c>
      <c r="HZ98" t="s">
        <v>1309</v>
      </c>
      <c r="IB98" s="92" t="s">
        <v>1333</v>
      </c>
      <c r="IC98" s="92" t="s">
        <v>1334</v>
      </c>
      <c r="ID98" s="92">
        <v>30</v>
      </c>
      <c r="IE98" s="92" t="s">
        <v>1307</v>
      </c>
      <c r="IF98" s="92" t="s">
        <v>4398</v>
      </c>
      <c r="IG98" s="92" t="s">
        <v>1336</v>
      </c>
      <c r="IH98" s="92" t="s">
        <v>1296</v>
      </c>
      <c r="II98" s="92" t="s">
        <v>71</v>
      </c>
      <c r="IJ98" s="92" t="s">
        <v>5549</v>
      </c>
      <c r="IK98" s="92" t="s">
        <v>1398</v>
      </c>
      <c r="IL98" s="92" t="s">
        <v>4844</v>
      </c>
      <c r="IM98" s="92" t="s">
        <v>1338</v>
      </c>
      <c r="IN98" s="92" t="s">
        <v>109</v>
      </c>
      <c r="IO98" s="92" t="s">
        <v>4844</v>
      </c>
      <c r="IP98" s="92" t="s">
        <v>1424</v>
      </c>
      <c r="IQ98" s="92">
        <v>900</v>
      </c>
      <c r="IR98" s="92" t="s">
        <v>1372</v>
      </c>
      <c r="IS98" s="92" t="s">
        <v>109</v>
      </c>
      <c r="IT98" s="92" t="s">
        <v>192</v>
      </c>
      <c r="IU98" s="92" t="s">
        <v>109</v>
      </c>
      <c r="IV98" s="92" t="s">
        <v>192</v>
      </c>
      <c r="IW98" s="92" t="s">
        <v>1374</v>
      </c>
      <c r="IX98" s="92">
        <v>1150</v>
      </c>
      <c r="IY98" s="92" t="s">
        <v>4438</v>
      </c>
      <c r="IZ98" s="92" t="s">
        <v>1440</v>
      </c>
      <c r="JA98" s="92" t="s">
        <v>1342</v>
      </c>
      <c r="JB98" s="92" t="s">
        <v>109</v>
      </c>
      <c r="JC98" s="92" t="s">
        <v>5795</v>
      </c>
      <c r="JD98" s="92" t="s">
        <v>109</v>
      </c>
      <c r="JE98" s="92" t="s">
        <v>109</v>
      </c>
      <c r="JF98" s="92" t="s">
        <v>4438</v>
      </c>
      <c r="JG98" s="92" t="s">
        <v>4438</v>
      </c>
      <c r="JH98" s="92" t="s">
        <v>109</v>
      </c>
      <c r="JI98" s="92" t="s">
        <v>109</v>
      </c>
    </row>
    <row r="99" spans="1:269" x14ac:dyDescent="0.25">
      <c r="A99" t="s">
        <v>3197</v>
      </c>
      <c r="B99" t="s">
        <v>3198</v>
      </c>
      <c r="C99" t="s">
        <v>1305</v>
      </c>
      <c r="D99" t="s">
        <v>1306</v>
      </c>
      <c r="F99" t="s">
        <v>1307</v>
      </c>
      <c r="G99" t="s">
        <v>1319</v>
      </c>
      <c r="H99">
        <v>3</v>
      </c>
      <c r="I99" t="s">
        <v>1307</v>
      </c>
      <c r="J99" t="s">
        <v>1406</v>
      </c>
      <c r="K99" t="s">
        <v>1309</v>
      </c>
      <c r="L99" t="s">
        <v>1310</v>
      </c>
      <c r="M99" t="s">
        <v>1309</v>
      </c>
      <c r="N99" t="s">
        <v>1309</v>
      </c>
      <c r="O99" t="s">
        <v>1309</v>
      </c>
      <c r="P99" t="s">
        <v>1309</v>
      </c>
      <c r="Q99" t="s">
        <v>1309</v>
      </c>
      <c r="R99" t="s">
        <v>1309</v>
      </c>
      <c r="S99">
        <v>1</v>
      </c>
      <c r="U99" t="s">
        <v>1312</v>
      </c>
      <c r="V99" t="s">
        <v>1312</v>
      </c>
      <c r="W99" t="s">
        <v>1312</v>
      </c>
      <c r="X99" t="s">
        <v>1312</v>
      </c>
      <c r="Y99" t="s">
        <v>1312</v>
      </c>
      <c r="Z99" t="s">
        <v>1312</v>
      </c>
      <c r="AC99">
        <v>2</v>
      </c>
      <c r="AD99">
        <v>14000</v>
      </c>
      <c r="AE99">
        <v>10000</v>
      </c>
      <c r="AF99" t="s">
        <v>1313</v>
      </c>
      <c r="AH99" t="s">
        <v>1319</v>
      </c>
      <c r="AI99" t="s">
        <v>4879</v>
      </c>
      <c r="AK99" t="s">
        <v>1307</v>
      </c>
      <c r="CG99" t="s">
        <v>1698</v>
      </c>
      <c r="CH99" t="s">
        <v>1309</v>
      </c>
      <c r="CI99" t="s">
        <v>1309</v>
      </c>
      <c r="CJ99" t="s">
        <v>1309</v>
      </c>
      <c r="CK99" t="s">
        <v>1309</v>
      </c>
      <c r="CL99" t="s">
        <v>1309</v>
      </c>
      <c r="CM99" t="s">
        <v>1309</v>
      </c>
      <c r="CN99" t="s">
        <v>1309</v>
      </c>
      <c r="CO99" t="s">
        <v>1309</v>
      </c>
      <c r="CP99" t="s">
        <v>1309</v>
      </c>
      <c r="CQ99" t="s">
        <v>1309</v>
      </c>
      <c r="CR99" t="s">
        <v>1309</v>
      </c>
      <c r="CS99" t="s">
        <v>1309</v>
      </c>
      <c r="CT99" t="s">
        <v>1310</v>
      </c>
      <c r="CU99" t="s">
        <v>1309</v>
      </c>
      <c r="CV99" t="s">
        <v>1309</v>
      </c>
      <c r="CW99" t="s">
        <v>3199</v>
      </c>
      <c r="CX99" t="s">
        <v>3200</v>
      </c>
      <c r="CY99" t="s">
        <v>1309</v>
      </c>
      <c r="CZ99" t="s">
        <v>1309</v>
      </c>
      <c r="DA99" t="s">
        <v>1310</v>
      </c>
      <c r="DB99" t="s">
        <v>1309</v>
      </c>
      <c r="DC99" t="s">
        <v>1309</v>
      </c>
      <c r="DD99" t="s">
        <v>1310</v>
      </c>
      <c r="DE99" t="s">
        <v>1309</v>
      </c>
      <c r="DF99" t="s">
        <v>1309</v>
      </c>
      <c r="DG99" t="s">
        <v>1309</v>
      </c>
      <c r="DH99" t="s">
        <v>1309</v>
      </c>
      <c r="DI99" t="s">
        <v>1310</v>
      </c>
      <c r="DJ99" t="s">
        <v>1309</v>
      </c>
      <c r="DK99" t="s">
        <v>1309</v>
      </c>
      <c r="DL99" t="s">
        <v>3201</v>
      </c>
      <c r="DM99" t="s">
        <v>4435</v>
      </c>
      <c r="DO99" t="s">
        <v>1308</v>
      </c>
      <c r="DP99" t="s">
        <v>1310</v>
      </c>
      <c r="DQ99" t="s">
        <v>1309</v>
      </c>
      <c r="DR99" t="s">
        <v>1309</v>
      </c>
      <c r="DS99" t="s">
        <v>1309</v>
      </c>
      <c r="DT99" t="s">
        <v>1309</v>
      </c>
      <c r="DU99" t="s">
        <v>1309</v>
      </c>
      <c r="DV99" t="s">
        <v>1309</v>
      </c>
      <c r="DX99" t="s">
        <v>1358</v>
      </c>
      <c r="DY99" t="s">
        <v>1319</v>
      </c>
      <c r="DZ99">
        <v>150</v>
      </c>
      <c r="EA99">
        <v>1500</v>
      </c>
      <c r="EB99">
        <v>300</v>
      </c>
      <c r="EC99" t="s">
        <v>1358</v>
      </c>
      <c r="ED99">
        <v>150</v>
      </c>
      <c r="EE99">
        <v>1700</v>
      </c>
      <c r="EF99">
        <v>250</v>
      </c>
      <c r="EG99" t="s">
        <v>1703</v>
      </c>
      <c r="EH99" t="s">
        <v>1310</v>
      </c>
      <c r="EI99" t="s">
        <v>1309</v>
      </c>
      <c r="EJ99" t="s">
        <v>1309</v>
      </c>
      <c r="EK99" t="s">
        <v>1309</v>
      </c>
      <c r="EL99" t="s">
        <v>1309</v>
      </c>
      <c r="EM99" t="s">
        <v>1309</v>
      </c>
      <c r="EN99" t="s">
        <v>1309</v>
      </c>
      <c r="EO99" t="s">
        <v>1309</v>
      </c>
      <c r="EQ99" t="s">
        <v>1307</v>
      </c>
      <c r="ER99" t="s">
        <v>1307</v>
      </c>
      <c r="ES99" t="s">
        <v>1307</v>
      </c>
      <c r="FN99" t="s">
        <v>1307</v>
      </c>
      <c r="GC99" t="s">
        <v>1324</v>
      </c>
      <c r="GD99" t="s">
        <v>1324</v>
      </c>
      <c r="GN99" t="s">
        <v>1364</v>
      </c>
      <c r="HB99" t="s">
        <v>1319</v>
      </c>
      <c r="HC99" t="s">
        <v>1412</v>
      </c>
      <c r="HD99" t="s">
        <v>1309</v>
      </c>
      <c r="HE99" t="s">
        <v>1310</v>
      </c>
      <c r="HF99" t="s">
        <v>1309</v>
      </c>
      <c r="HG99" t="s">
        <v>1309</v>
      </c>
      <c r="HH99" t="s">
        <v>1310</v>
      </c>
      <c r="HI99" t="s">
        <v>1309</v>
      </c>
      <c r="HJ99" t="s">
        <v>1309</v>
      </c>
      <c r="HK99" t="s">
        <v>1309</v>
      </c>
      <c r="HL99" t="s">
        <v>1309</v>
      </c>
      <c r="HM99" t="s">
        <v>1309</v>
      </c>
      <c r="HN99" t="s">
        <v>1309</v>
      </c>
      <c r="HO99" t="s">
        <v>1309</v>
      </c>
      <c r="HP99" t="s">
        <v>1309</v>
      </c>
      <c r="HR99" t="s">
        <v>1639</v>
      </c>
      <c r="HS99" t="s">
        <v>1309</v>
      </c>
      <c r="HT99" t="s">
        <v>1310</v>
      </c>
      <c r="HU99" t="s">
        <v>1309</v>
      </c>
      <c r="HV99" t="s">
        <v>1309</v>
      </c>
      <c r="HW99" t="s">
        <v>1309</v>
      </c>
      <c r="HX99" t="s">
        <v>1309</v>
      </c>
      <c r="HY99" t="s">
        <v>1309</v>
      </c>
      <c r="HZ99" t="s">
        <v>1309</v>
      </c>
      <c r="IB99" s="92" t="s">
        <v>1333</v>
      </c>
      <c r="IC99" s="92" t="s">
        <v>1334</v>
      </c>
      <c r="ID99" s="92">
        <v>45</v>
      </c>
      <c r="IE99" s="92" t="s">
        <v>1307</v>
      </c>
      <c r="IF99" s="92" t="s">
        <v>4398</v>
      </c>
      <c r="IG99" s="92" t="s">
        <v>1336</v>
      </c>
      <c r="IH99" s="92" t="s">
        <v>1296</v>
      </c>
      <c r="II99" s="92" t="s">
        <v>71</v>
      </c>
      <c r="IJ99" s="92" t="s">
        <v>5549</v>
      </c>
      <c r="IK99" s="92" t="s">
        <v>1337</v>
      </c>
      <c r="IL99" s="92" t="s">
        <v>4845</v>
      </c>
      <c r="IM99" s="92" t="s">
        <v>1415</v>
      </c>
      <c r="IN99" s="92" t="s">
        <v>109</v>
      </c>
      <c r="IO99" s="92" t="s">
        <v>4847</v>
      </c>
      <c r="IP99" s="92" t="s">
        <v>1371</v>
      </c>
      <c r="IQ99" s="92">
        <v>1950</v>
      </c>
      <c r="IR99" s="92" t="s">
        <v>4438</v>
      </c>
      <c r="IS99" s="92" t="s">
        <v>192</v>
      </c>
      <c r="IT99" s="92" t="s">
        <v>192</v>
      </c>
      <c r="IU99" s="92" t="s">
        <v>192</v>
      </c>
      <c r="IV99" s="92" t="s">
        <v>192</v>
      </c>
      <c r="IW99" s="92" t="s">
        <v>1440</v>
      </c>
      <c r="IX99" s="92">
        <v>2100</v>
      </c>
      <c r="IY99" s="92" t="s">
        <v>4438</v>
      </c>
      <c r="IZ99" s="92" t="s">
        <v>1425</v>
      </c>
      <c r="JA99" s="92" t="s">
        <v>1342</v>
      </c>
      <c r="JB99" s="92" t="s">
        <v>192</v>
      </c>
      <c r="JC99" s="92" t="s">
        <v>5795</v>
      </c>
      <c r="JD99" s="92" t="s">
        <v>109</v>
      </c>
      <c r="JE99" s="92" t="s">
        <v>109</v>
      </c>
      <c r="JF99" s="92" t="s">
        <v>4438</v>
      </c>
      <c r="JG99" s="92" t="s">
        <v>4438</v>
      </c>
      <c r="JH99" s="92" t="s">
        <v>109</v>
      </c>
      <c r="JI99" s="92" t="s">
        <v>109</v>
      </c>
    </row>
    <row r="100" spans="1:269" x14ac:dyDescent="0.25">
      <c r="A100" t="s">
        <v>3202</v>
      </c>
      <c r="B100" t="s">
        <v>3203</v>
      </c>
      <c r="C100" t="s">
        <v>1305</v>
      </c>
      <c r="D100" t="s">
        <v>1306</v>
      </c>
      <c r="F100" t="s">
        <v>1307</v>
      </c>
      <c r="G100" t="s">
        <v>1319</v>
      </c>
      <c r="H100">
        <v>3</v>
      </c>
      <c r="I100" t="s">
        <v>1307</v>
      </c>
      <c r="J100" t="s">
        <v>1406</v>
      </c>
      <c r="K100" t="s">
        <v>1309</v>
      </c>
      <c r="L100" t="s">
        <v>1310</v>
      </c>
      <c r="M100" t="s">
        <v>1309</v>
      </c>
      <c r="N100" t="s">
        <v>1309</v>
      </c>
      <c r="O100" t="s">
        <v>1309</v>
      </c>
      <c r="P100" t="s">
        <v>1309</v>
      </c>
      <c r="Q100" t="s">
        <v>1309</v>
      </c>
      <c r="R100" t="s">
        <v>1309</v>
      </c>
      <c r="S100">
        <v>1</v>
      </c>
      <c r="U100" t="s">
        <v>1312</v>
      </c>
      <c r="V100" t="s">
        <v>1312</v>
      </c>
      <c r="W100" t="s">
        <v>1312</v>
      </c>
      <c r="X100" t="s">
        <v>1312</v>
      </c>
      <c r="Y100" t="s">
        <v>1312</v>
      </c>
      <c r="Z100" t="s">
        <v>1312</v>
      </c>
      <c r="AC100">
        <v>2</v>
      </c>
      <c r="AD100">
        <v>30000</v>
      </c>
      <c r="AE100">
        <v>20000</v>
      </c>
      <c r="AF100" t="s">
        <v>1351</v>
      </c>
      <c r="AH100" t="s">
        <v>1319</v>
      </c>
      <c r="AI100" t="s">
        <v>4879</v>
      </c>
      <c r="AK100" t="s">
        <v>1319</v>
      </c>
      <c r="AL100" t="s">
        <v>1315</v>
      </c>
      <c r="AN100" t="s">
        <v>1316</v>
      </c>
      <c r="BU100" t="s">
        <v>2853</v>
      </c>
      <c r="BV100" t="s">
        <v>1310</v>
      </c>
      <c r="BW100" t="s">
        <v>1309</v>
      </c>
      <c r="BX100" t="s">
        <v>1309</v>
      </c>
      <c r="BY100" t="s">
        <v>1309</v>
      </c>
      <c r="BZ100" t="s">
        <v>1309</v>
      </c>
      <c r="CA100" t="s">
        <v>1309</v>
      </c>
      <c r="CB100" t="s">
        <v>1309</v>
      </c>
      <c r="CC100" t="s">
        <v>1309</v>
      </c>
      <c r="CD100" t="s">
        <v>1309</v>
      </c>
      <c r="CE100" t="s">
        <v>1309</v>
      </c>
      <c r="CX100" t="s">
        <v>2948</v>
      </c>
      <c r="CY100" t="s">
        <v>1310</v>
      </c>
      <c r="CZ100" t="s">
        <v>1309</v>
      </c>
      <c r="DA100" t="s">
        <v>1309</v>
      </c>
      <c r="DB100" t="s">
        <v>1309</v>
      </c>
      <c r="DC100" t="s">
        <v>1309</v>
      </c>
      <c r="DD100" t="s">
        <v>1310</v>
      </c>
      <c r="DE100" t="s">
        <v>1309</v>
      </c>
      <c r="DF100" t="s">
        <v>1309</v>
      </c>
      <c r="DG100" t="s">
        <v>1309</v>
      </c>
      <c r="DH100" t="s">
        <v>1309</v>
      </c>
      <c r="DI100" t="s">
        <v>1309</v>
      </c>
      <c r="DJ100" t="s">
        <v>1309</v>
      </c>
      <c r="DK100" t="s">
        <v>1309</v>
      </c>
      <c r="DM100" t="s">
        <v>4436</v>
      </c>
      <c r="DO100" t="s">
        <v>1308</v>
      </c>
      <c r="DP100" t="s">
        <v>1310</v>
      </c>
      <c r="DQ100" t="s">
        <v>1309</v>
      </c>
      <c r="DR100" t="s">
        <v>1309</v>
      </c>
      <c r="DS100" t="s">
        <v>1309</v>
      </c>
      <c r="DT100" t="s">
        <v>1309</v>
      </c>
      <c r="DU100" t="s">
        <v>1309</v>
      </c>
      <c r="DV100" t="s">
        <v>1309</v>
      </c>
      <c r="DX100" t="s">
        <v>1358</v>
      </c>
      <c r="DY100" t="s">
        <v>1319</v>
      </c>
      <c r="DZ100">
        <v>300</v>
      </c>
      <c r="EB100">
        <v>1300</v>
      </c>
      <c r="EC100" t="s">
        <v>1358</v>
      </c>
      <c r="ED100">
        <v>600</v>
      </c>
      <c r="EF100">
        <v>1800</v>
      </c>
      <c r="EG100" t="s">
        <v>1703</v>
      </c>
      <c r="EH100" t="s">
        <v>1310</v>
      </c>
      <c r="EI100" t="s">
        <v>1309</v>
      </c>
      <c r="EJ100" t="s">
        <v>1309</v>
      </c>
      <c r="EK100" t="s">
        <v>1309</v>
      </c>
      <c r="EL100" t="s">
        <v>1309</v>
      </c>
      <c r="EM100" t="s">
        <v>1309</v>
      </c>
      <c r="EN100" t="s">
        <v>1309</v>
      </c>
      <c r="EO100" t="s">
        <v>1309</v>
      </c>
      <c r="EQ100" t="s">
        <v>1307</v>
      </c>
      <c r="ER100" t="s">
        <v>1307</v>
      </c>
      <c r="ES100" t="s">
        <v>1307</v>
      </c>
      <c r="ET100" t="s">
        <v>1307</v>
      </c>
      <c r="FN100" t="s">
        <v>1307</v>
      </c>
      <c r="GC100" t="s">
        <v>1448</v>
      </c>
      <c r="GD100" t="s">
        <v>1448</v>
      </c>
      <c r="GN100" t="s">
        <v>1364</v>
      </c>
      <c r="HB100" t="s">
        <v>1307</v>
      </c>
      <c r="HR100" t="s">
        <v>1332</v>
      </c>
      <c r="HS100" t="s">
        <v>1309</v>
      </c>
      <c r="HT100" t="s">
        <v>1309</v>
      </c>
      <c r="HU100" t="s">
        <v>1309</v>
      </c>
      <c r="HV100" t="s">
        <v>1309</v>
      </c>
      <c r="HW100" t="s">
        <v>1310</v>
      </c>
      <c r="HX100" t="s">
        <v>1309</v>
      </c>
      <c r="HY100" t="s">
        <v>1309</v>
      </c>
      <c r="HZ100" t="s">
        <v>1309</v>
      </c>
      <c r="IB100" s="92" t="s">
        <v>1516</v>
      </c>
      <c r="IC100" s="92" t="s">
        <v>2353</v>
      </c>
      <c r="ID100" s="92">
        <v>32</v>
      </c>
      <c r="IE100" s="92" t="s">
        <v>1307</v>
      </c>
      <c r="IF100" s="92" t="s">
        <v>4396</v>
      </c>
      <c r="IG100" s="92" t="s">
        <v>1336</v>
      </c>
      <c r="IH100" s="92" t="s">
        <v>1296</v>
      </c>
      <c r="II100" s="92" t="s">
        <v>70</v>
      </c>
      <c r="IJ100" s="92" t="s">
        <v>5549</v>
      </c>
      <c r="IK100" s="92" t="s">
        <v>1398</v>
      </c>
      <c r="IL100" s="92" t="s">
        <v>4845</v>
      </c>
      <c r="IM100" s="92" t="s">
        <v>1415</v>
      </c>
      <c r="IN100" s="92" t="s">
        <v>109</v>
      </c>
      <c r="IO100" s="92" t="s">
        <v>4847</v>
      </c>
      <c r="IP100" s="92" t="s">
        <v>1416</v>
      </c>
      <c r="IQ100" s="92">
        <v>1600</v>
      </c>
      <c r="IR100" s="92" t="s">
        <v>1372</v>
      </c>
      <c r="IS100" s="92" t="s">
        <v>192</v>
      </c>
      <c r="IT100" s="92" t="s">
        <v>109</v>
      </c>
      <c r="IU100" s="92" t="s">
        <v>192</v>
      </c>
      <c r="IV100" s="92" t="s">
        <v>109</v>
      </c>
      <c r="IW100" s="92" t="s">
        <v>1440</v>
      </c>
      <c r="IX100" s="92">
        <v>2400</v>
      </c>
      <c r="IY100" s="92" t="s">
        <v>1372</v>
      </c>
      <c r="IZ100" s="92" t="s">
        <v>1425</v>
      </c>
      <c r="JA100" s="92" t="s">
        <v>1401</v>
      </c>
      <c r="JB100" s="92" t="s">
        <v>192</v>
      </c>
      <c r="JC100" s="92" t="s">
        <v>5795</v>
      </c>
      <c r="JD100" s="92" t="s">
        <v>109</v>
      </c>
      <c r="JE100" s="92" t="s">
        <v>109</v>
      </c>
      <c r="JF100" s="92" t="s">
        <v>1372</v>
      </c>
      <c r="JG100" s="92" t="s">
        <v>4438</v>
      </c>
      <c r="JH100" s="92" t="s">
        <v>109</v>
      </c>
      <c r="JI100" s="92" t="s">
        <v>109</v>
      </c>
    </row>
    <row r="101" spans="1:269" x14ac:dyDescent="0.25">
      <c r="A101" t="s">
        <v>3204</v>
      </c>
      <c r="B101" t="s">
        <v>3205</v>
      </c>
      <c r="C101" t="s">
        <v>1305</v>
      </c>
      <c r="D101" t="s">
        <v>1306</v>
      </c>
      <c r="F101" t="s">
        <v>1307</v>
      </c>
      <c r="G101" t="s">
        <v>1319</v>
      </c>
      <c r="H101">
        <v>4</v>
      </c>
      <c r="I101" t="s">
        <v>1307</v>
      </c>
      <c r="J101" t="s">
        <v>1502</v>
      </c>
      <c r="K101" t="s">
        <v>1310</v>
      </c>
      <c r="L101" t="s">
        <v>1310</v>
      </c>
      <c r="M101" t="s">
        <v>1309</v>
      </c>
      <c r="N101" t="s">
        <v>1309</v>
      </c>
      <c r="O101" t="s">
        <v>1309</v>
      </c>
      <c r="P101" t="s">
        <v>1309</v>
      </c>
      <c r="Q101" t="s">
        <v>1309</v>
      </c>
      <c r="R101" t="s">
        <v>1309</v>
      </c>
      <c r="S101">
        <v>2</v>
      </c>
      <c r="U101" t="s">
        <v>1312</v>
      </c>
      <c r="V101" t="s">
        <v>1312</v>
      </c>
      <c r="W101" t="s">
        <v>1312</v>
      </c>
      <c r="X101" t="s">
        <v>1312</v>
      </c>
      <c r="Y101" t="s">
        <v>1312</v>
      </c>
      <c r="Z101" t="s">
        <v>1312</v>
      </c>
      <c r="AC101">
        <v>2</v>
      </c>
      <c r="AD101">
        <v>17000</v>
      </c>
      <c r="AE101">
        <v>16000</v>
      </c>
      <c r="AF101" t="s">
        <v>1351</v>
      </c>
      <c r="AH101" t="s">
        <v>1319</v>
      </c>
      <c r="AI101" t="s">
        <v>4879</v>
      </c>
      <c r="AK101" t="s">
        <v>1307</v>
      </c>
      <c r="CG101" t="s">
        <v>2853</v>
      </c>
      <c r="CH101" t="s">
        <v>1309</v>
      </c>
      <c r="CI101" t="s">
        <v>1309</v>
      </c>
      <c r="CJ101" t="s">
        <v>1309</v>
      </c>
      <c r="CK101" t="s">
        <v>1310</v>
      </c>
      <c r="CL101" t="s">
        <v>1309</v>
      </c>
      <c r="CM101" t="s">
        <v>1309</v>
      </c>
      <c r="CN101" t="s">
        <v>1309</v>
      </c>
      <c r="CO101" t="s">
        <v>1309</v>
      </c>
      <c r="CP101" t="s">
        <v>1309</v>
      </c>
      <c r="CQ101" t="s">
        <v>1309</v>
      </c>
      <c r="CR101" t="s">
        <v>1309</v>
      </c>
      <c r="CS101" t="s">
        <v>1309</v>
      </c>
      <c r="CT101" t="s">
        <v>1309</v>
      </c>
      <c r="CU101" t="s">
        <v>1309</v>
      </c>
      <c r="CV101" t="s">
        <v>1309</v>
      </c>
      <c r="CX101" t="s">
        <v>2135</v>
      </c>
      <c r="CY101" t="s">
        <v>1309</v>
      </c>
      <c r="CZ101" t="s">
        <v>1309</v>
      </c>
      <c r="DA101" t="s">
        <v>1309</v>
      </c>
      <c r="DB101" t="s">
        <v>1309</v>
      </c>
      <c r="DC101" t="s">
        <v>1309</v>
      </c>
      <c r="DD101" t="s">
        <v>1310</v>
      </c>
      <c r="DE101" t="s">
        <v>1309</v>
      </c>
      <c r="DF101" t="s">
        <v>1309</v>
      </c>
      <c r="DG101" t="s">
        <v>1309</v>
      </c>
      <c r="DH101" t="s">
        <v>1309</v>
      </c>
      <c r="DI101" t="s">
        <v>1309</v>
      </c>
      <c r="DJ101" t="s">
        <v>1309</v>
      </c>
      <c r="DK101" t="s">
        <v>1309</v>
      </c>
      <c r="DM101" t="s">
        <v>4436</v>
      </c>
      <c r="DO101" t="s">
        <v>1444</v>
      </c>
      <c r="DP101" t="s">
        <v>1309</v>
      </c>
      <c r="DQ101" t="s">
        <v>1310</v>
      </c>
      <c r="DR101" t="s">
        <v>1309</v>
      </c>
      <c r="DS101" t="s">
        <v>1309</v>
      </c>
      <c r="DT101" t="s">
        <v>1309</v>
      </c>
      <c r="DU101" t="s">
        <v>1309</v>
      </c>
      <c r="DV101" t="s">
        <v>1309</v>
      </c>
      <c r="DX101" t="s">
        <v>1358</v>
      </c>
      <c r="DZ101">
        <v>200</v>
      </c>
      <c r="EB101">
        <v>600</v>
      </c>
      <c r="EC101" t="s">
        <v>1358</v>
      </c>
      <c r="ED101">
        <v>250</v>
      </c>
      <c r="EF101">
        <v>800</v>
      </c>
      <c r="EG101" t="s">
        <v>1703</v>
      </c>
      <c r="EH101" t="s">
        <v>1310</v>
      </c>
      <c r="EI101" t="s">
        <v>1309</v>
      </c>
      <c r="EJ101" t="s">
        <v>1309</v>
      </c>
      <c r="EK101" t="s">
        <v>1309</v>
      </c>
      <c r="EL101" t="s">
        <v>1309</v>
      </c>
      <c r="EM101" t="s">
        <v>1309</v>
      </c>
      <c r="EN101" t="s">
        <v>1309</v>
      </c>
      <c r="EO101" t="s">
        <v>1309</v>
      </c>
      <c r="EQ101" t="s">
        <v>1319</v>
      </c>
      <c r="ER101" t="s">
        <v>1307</v>
      </c>
      <c r="ES101" t="s">
        <v>1307</v>
      </c>
      <c r="ET101" t="s">
        <v>1307</v>
      </c>
      <c r="FN101" t="s">
        <v>1307</v>
      </c>
      <c r="GC101" t="s">
        <v>1324</v>
      </c>
      <c r="GD101" t="s">
        <v>1324</v>
      </c>
      <c r="GN101" t="s">
        <v>1364</v>
      </c>
      <c r="HB101" t="s">
        <v>1319</v>
      </c>
      <c r="HC101" t="s">
        <v>3206</v>
      </c>
      <c r="HD101" t="s">
        <v>1310</v>
      </c>
      <c r="HE101" t="s">
        <v>1310</v>
      </c>
      <c r="HF101" t="s">
        <v>1309</v>
      </c>
      <c r="HG101" t="s">
        <v>1309</v>
      </c>
      <c r="HH101" t="s">
        <v>1309</v>
      </c>
      <c r="HI101" t="s">
        <v>1309</v>
      </c>
      <c r="HJ101" t="s">
        <v>1310</v>
      </c>
      <c r="HK101" t="s">
        <v>1310</v>
      </c>
      <c r="HL101" t="s">
        <v>1309</v>
      </c>
      <c r="HM101" t="s">
        <v>1309</v>
      </c>
      <c r="HN101" t="s">
        <v>1309</v>
      </c>
      <c r="HO101" t="s">
        <v>1309</v>
      </c>
      <c r="HP101" t="s">
        <v>1309</v>
      </c>
      <c r="HR101" t="s">
        <v>1620</v>
      </c>
      <c r="HS101" t="s">
        <v>1310</v>
      </c>
      <c r="HT101" t="s">
        <v>1310</v>
      </c>
      <c r="HU101" t="s">
        <v>1309</v>
      </c>
      <c r="HV101" t="s">
        <v>1309</v>
      </c>
      <c r="HW101" t="s">
        <v>1310</v>
      </c>
      <c r="HX101" t="s">
        <v>1309</v>
      </c>
      <c r="HY101" t="s">
        <v>1309</v>
      </c>
      <c r="HZ101" t="s">
        <v>1309</v>
      </c>
      <c r="IB101" s="92" t="s">
        <v>1516</v>
      </c>
      <c r="IC101" s="92" t="s">
        <v>2353</v>
      </c>
      <c r="ID101" s="92">
        <v>20</v>
      </c>
      <c r="IE101" s="92" t="s">
        <v>1307</v>
      </c>
      <c r="IF101" s="92" t="s">
        <v>4396</v>
      </c>
      <c r="IG101" s="92" t="s">
        <v>1336</v>
      </c>
      <c r="IH101" s="92" t="s">
        <v>1296</v>
      </c>
      <c r="II101" s="92" t="s">
        <v>70</v>
      </c>
      <c r="IJ101" s="92" t="s">
        <v>5549</v>
      </c>
      <c r="IK101" s="92" t="s">
        <v>1398</v>
      </c>
      <c r="IL101" s="92" t="s">
        <v>4845</v>
      </c>
      <c r="IM101" s="92" t="s">
        <v>1415</v>
      </c>
      <c r="IN101" s="92" t="s">
        <v>109</v>
      </c>
      <c r="IO101" s="92" t="s">
        <v>4847</v>
      </c>
      <c r="IP101" s="92" t="s">
        <v>1452</v>
      </c>
      <c r="IQ101" s="92">
        <v>800</v>
      </c>
      <c r="IR101" s="92" t="s">
        <v>1372</v>
      </c>
      <c r="IS101" s="92" t="s">
        <v>192</v>
      </c>
      <c r="IT101" s="92" t="s">
        <v>109</v>
      </c>
      <c r="IU101" s="92" t="s">
        <v>192</v>
      </c>
      <c r="IV101" s="92" t="s">
        <v>109</v>
      </c>
      <c r="IW101" s="92" t="s">
        <v>1374</v>
      </c>
      <c r="IX101" s="92">
        <v>1050</v>
      </c>
      <c r="IY101" s="92" t="s">
        <v>1372</v>
      </c>
      <c r="IZ101" s="92" t="s">
        <v>1440</v>
      </c>
      <c r="JA101" s="92" t="s">
        <v>1375</v>
      </c>
      <c r="JB101" s="92" t="s">
        <v>192</v>
      </c>
      <c r="JC101" s="92" t="s">
        <v>5795</v>
      </c>
      <c r="JD101" s="92" t="s">
        <v>109</v>
      </c>
      <c r="JE101" s="92" t="s">
        <v>109</v>
      </c>
      <c r="JF101" s="92" t="s">
        <v>1372</v>
      </c>
      <c r="JG101" s="92" t="s">
        <v>1372</v>
      </c>
      <c r="JH101" s="92" t="s">
        <v>109</v>
      </c>
      <c r="JI101" s="92" t="s">
        <v>192</v>
      </c>
    </row>
    <row r="102" spans="1:269" x14ac:dyDescent="0.25">
      <c r="A102" t="s">
        <v>3207</v>
      </c>
      <c r="B102" t="s">
        <v>3208</v>
      </c>
      <c r="C102" t="s">
        <v>1305</v>
      </c>
      <c r="D102" t="s">
        <v>1306</v>
      </c>
      <c r="F102" t="s">
        <v>1307</v>
      </c>
      <c r="G102" t="s">
        <v>1319</v>
      </c>
      <c r="H102">
        <v>4</v>
      </c>
      <c r="I102" t="s">
        <v>1307</v>
      </c>
      <c r="J102" t="s">
        <v>1406</v>
      </c>
      <c r="K102" t="s">
        <v>1309</v>
      </c>
      <c r="L102" t="s">
        <v>1310</v>
      </c>
      <c r="M102" t="s">
        <v>1309</v>
      </c>
      <c r="N102" t="s">
        <v>1309</v>
      </c>
      <c r="O102" t="s">
        <v>1309</v>
      </c>
      <c r="P102" t="s">
        <v>1309</v>
      </c>
      <c r="Q102" t="s">
        <v>1309</v>
      </c>
      <c r="R102" t="s">
        <v>1309</v>
      </c>
      <c r="S102">
        <v>1</v>
      </c>
      <c r="U102" t="s">
        <v>1312</v>
      </c>
      <c r="V102" t="s">
        <v>1312</v>
      </c>
      <c r="W102" t="s">
        <v>1312</v>
      </c>
      <c r="X102" t="s">
        <v>1312</v>
      </c>
      <c r="Y102" t="s">
        <v>1312</v>
      </c>
      <c r="Z102" t="s">
        <v>1312</v>
      </c>
      <c r="AC102">
        <v>2</v>
      </c>
      <c r="AD102">
        <v>18000</v>
      </c>
      <c r="AE102">
        <v>15000</v>
      </c>
      <c r="AF102" t="s">
        <v>1313</v>
      </c>
      <c r="AH102" t="s">
        <v>1319</v>
      </c>
      <c r="AI102" t="s">
        <v>4876</v>
      </c>
      <c r="AK102" t="s">
        <v>1319</v>
      </c>
      <c r="AL102" t="s">
        <v>1315</v>
      </c>
      <c r="AN102" t="s">
        <v>1354</v>
      </c>
      <c r="BU102" t="s">
        <v>2853</v>
      </c>
      <c r="BV102" t="s">
        <v>1310</v>
      </c>
      <c r="BW102" t="s">
        <v>1309</v>
      </c>
      <c r="BX102" t="s">
        <v>1309</v>
      </c>
      <c r="BY102" t="s">
        <v>1309</v>
      </c>
      <c r="BZ102" t="s">
        <v>1309</v>
      </c>
      <c r="CA102" t="s">
        <v>1309</v>
      </c>
      <c r="CB102" t="s">
        <v>1309</v>
      </c>
      <c r="CC102" t="s">
        <v>1309</v>
      </c>
      <c r="CD102" t="s">
        <v>1309</v>
      </c>
      <c r="CE102" t="s">
        <v>1309</v>
      </c>
      <c r="CX102" t="s">
        <v>2135</v>
      </c>
      <c r="CY102" t="s">
        <v>1309</v>
      </c>
      <c r="CZ102" t="s">
        <v>1309</v>
      </c>
      <c r="DA102" t="s">
        <v>1309</v>
      </c>
      <c r="DB102" t="s">
        <v>1309</v>
      </c>
      <c r="DC102" t="s">
        <v>1309</v>
      </c>
      <c r="DD102" t="s">
        <v>1310</v>
      </c>
      <c r="DE102" t="s">
        <v>1309</v>
      </c>
      <c r="DF102" t="s">
        <v>1309</v>
      </c>
      <c r="DG102" t="s">
        <v>1309</v>
      </c>
      <c r="DH102" t="s">
        <v>1309</v>
      </c>
      <c r="DI102" t="s">
        <v>1309</v>
      </c>
      <c r="DJ102" t="s">
        <v>1309</v>
      </c>
      <c r="DK102" t="s">
        <v>1309</v>
      </c>
      <c r="DM102" t="s">
        <v>4435</v>
      </c>
      <c r="DO102" t="s">
        <v>1308</v>
      </c>
      <c r="DP102" t="s">
        <v>1310</v>
      </c>
      <c r="DQ102" t="s">
        <v>1309</v>
      </c>
      <c r="DR102" t="s">
        <v>1309</v>
      </c>
      <c r="DS102" t="s">
        <v>1309</v>
      </c>
      <c r="DT102" t="s">
        <v>1309</v>
      </c>
      <c r="DU102" t="s">
        <v>1309</v>
      </c>
      <c r="DV102" t="s">
        <v>1309</v>
      </c>
      <c r="DX102" t="s">
        <v>1358</v>
      </c>
      <c r="DY102" t="s">
        <v>1319</v>
      </c>
      <c r="DZ102">
        <v>300</v>
      </c>
      <c r="EA102">
        <v>800</v>
      </c>
      <c r="EB102">
        <v>500</v>
      </c>
      <c r="EC102" t="s">
        <v>1358</v>
      </c>
      <c r="ED102">
        <v>300</v>
      </c>
      <c r="EE102">
        <v>2200</v>
      </c>
      <c r="EF102">
        <v>600</v>
      </c>
      <c r="EG102" t="s">
        <v>1703</v>
      </c>
      <c r="EH102" t="s">
        <v>1310</v>
      </c>
      <c r="EI102" t="s">
        <v>1309</v>
      </c>
      <c r="EJ102" t="s">
        <v>1309</v>
      </c>
      <c r="EK102" t="s">
        <v>1309</v>
      </c>
      <c r="EL102" t="s">
        <v>1309</v>
      </c>
      <c r="EM102" t="s">
        <v>1309</v>
      </c>
      <c r="EN102" t="s">
        <v>1309</v>
      </c>
      <c r="EO102" t="s">
        <v>1309</v>
      </c>
      <c r="EQ102" t="s">
        <v>1307</v>
      </c>
      <c r="ER102" t="s">
        <v>1319</v>
      </c>
      <c r="ES102" t="s">
        <v>1319</v>
      </c>
      <c r="EU102" t="s">
        <v>2942</v>
      </c>
      <c r="EV102" t="s">
        <v>1309</v>
      </c>
      <c r="EW102" t="s">
        <v>1309</v>
      </c>
      <c r="EX102" t="s">
        <v>1309</v>
      </c>
      <c r="EY102" t="s">
        <v>1309</v>
      </c>
      <c r="EZ102" t="s">
        <v>1309</v>
      </c>
      <c r="FA102" t="s">
        <v>1309</v>
      </c>
      <c r="FB102" t="s">
        <v>1310</v>
      </c>
      <c r="FC102" t="s">
        <v>1310</v>
      </c>
      <c r="FD102" t="s">
        <v>1309</v>
      </c>
      <c r="FE102" t="s">
        <v>1309</v>
      </c>
      <c r="FF102" t="s">
        <v>1309</v>
      </c>
      <c r="FG102" t="s">
        <v>1310</v>
      </c>
      <c r="FH102" t="s">
        <v>1310</v>
      </c>
      <c r="FI102" t="s">
        <v>1309</v>
      </c>
      <c r="FJ102" t="s">
        <v>1309</v>
      </c>
      <c r="FK102" t="s">
        <v>1309</v>
      </c>
      <c r="FL102" t="s">
        <v>1309</v>
      </c>
      <c r="FN102" t="s">
        <v>1307</v>
      </c>
      <c r="GC102" t="s">
        <v>1324</v>
      </c>
      <c r="GD102" t="s">
        <v>1324</v>
      </c>
      <c r="GN102" t="s">
        <v>1364</v>
      </c>
      <c r="HB102" t="s">
        <v>1319</v>
      </c>
      <c r="HC102" t="s">
        <v>2162</v>
      </c>
      <c r="HD102" t="s">
        <v>1309</v>
      </c>
      <c r="HE102" t="s">
        <v>1309</v>
      </c>
      <c r="HF102" t="s">
        <v>1309</v>
      </c>
      <c r="HG102" t="s">
        <v>1310</v>
      </c>
      <c r="HH102" t="s">
        <v>1309</v>
      </c>
      <c r="HI102" t="s">
        <v>1309</v>
      </c>
      <c r="HJ102" t="s">
        <v>1309</v>
      </c>
      <c r="HK102" t="s">
        <v>1309</v>
      </c>
      <c r="HL102" t="s">
        <v>1309</v>
      </c>
      <c r="HM102" t="s">
        <v>1309</v>
      </c>
      <c r="HN102" t="s">
        <v>1309</v>
      </c>
      <c r="HO102" t="s">
        <v>1309</v>
      </c>
      <c r="HP102" t="s">
        <v>1309</v>
      </c>
      <c r="HR102" t="s">
        <v>1523</v>
      </c>
      <c r="HS102" t="s">
        <v>1309</v>
      </c>
      <c r="HT102" t="s">
        <v>1309</v>
      </c>
      <c r="HU102" t="s">
        <v>1309</v>
      </c>
      <c r="HV102" t="s">
        <v>1310</v>
      </c>
      <c r="HW102" t="s">
        <v>1309</v>
      </c>
      <c r="HX102" t="s">
        <v>1309</v>
      </c>
      <c r="HY102" t="s">
        <v>1309</v>
      </c>
      <c r="HZ102" t="s">
        <v>1309</v>
      </c>
      <c r="IB102" s="92" t="s">
        <v>1333</v>
      </c>
      <c r="IC102" s="92" t="s">
        <v>1334</v>
      </c>
      <c r="ID102" s="92">
        <v>39</v>
      </c>
      <c r="IE102" s="92" t="s">
        <v>1307</v>
      </c>
      <c r="IF102" s="92" t="s">
        <v>4396</v>
      </c>
      <c r="IG102" s="92" t="s">
        <v>1336</v>
      </c>
      <c r="IH102" s="92" t="s">
        <v>1296</v>
      </c>
      <c r="II102" s="92" t="s">
        <v>71</v>
      </c>
      <c r="IJ102" s="92" t="s">
        <v>5549</v>
      </c>
      <c r="IK102" s="92" t="s">
        <v>1337</v>
      </c>
      <c r="IL102" s="92" t="s">
        <v>4845</v>
      </c>
      <c r="IM102" s="92" t="s">
        <v>1415</v>
      </c>
      <c r="IN102" s="92" t="s">
        <v>109</v>
      </c>
      <c r="IO102" s="92" t="s">
        <v>4847</v>
      </c>
      <c r="IP102" s="92" t="s">
        <v>1452</v>
      </c>
      <c r="IQ102" s="92">
        <v>1600</v>
      </c>
      <c r="IR102" s="92" t="s">
        <v>1372</v>
      </c>
      <c r="IS102" s="92" t="s">
        <v>192</v>
      </c>
      <c r="IT102" s="92" t="s">
        <v>192</v>
      </c>
      <c r="IU102" s="92" t="s">
        <v>192</v>
      </c>
      <c r="IV102" s="92" t="s">
        <v>192</v>
      </c>
      <c r="IW102" s="92" t="s">
        <v>1440</v>
      </c>
      <c r="IX102" s="92">
        <v>3100</v>
      </c>
      <c r="IY102" s="92" t="s">
        <v>4438</v>
      </c>
      <c r="IZ102" s="92" t="s">
        <v>1341</v>
      </c>
      <c r="JA102" s="92" t="s">
        <v>1342</v>
      </c>
      <c r="JB102" s="92" t="s">
        <v>192</v>
      </c>
      <c r="JC102" s="92" t="s">
        <v>5795</v>
      </c>
      <c r="JD102" s="92" t="s">
        <v>109</v>
      </c>
      <c r="JE102" s="92" t="s">
        <v>109</v>
      </c>
      <c r="JF102" s="92" t="s">
        <v>1372</v>
      </c>
      <c r="JG102" s="92" t="s">
        <v>4438</v>
      </c>
      <c r="JH102" s="92" t="s">
        <v>109</v>
      </c>
      <c r="JI102" s="92" t="s">
        <v>192</v>
      </c>
    </row>
    <row r="103" spans="1:269" x14ac:dyDescent="0.25">
      <c r="A103" t="s">
        <v>3209</v>
      </c>
      <c r="B103" t="s">
        <v>3210</v>
      </c>
      <c r="C103" t="s">
        <v>1305</v>
      </c>
      <c r="D103" t="s">
        <v>1306</v>
      </c>
      <c r="F103" t="s">
        <v>1307</v>
      </c>
      <c r="G103" t="s">
        <v>1319</v>
      </c>
      <c r="H103">
        <v>2</v>
      </c>
      <c r="I103" t="s">
        <v>1307</v>
      </c>
      <c r="J103" t="s">
        <v>1308</v>
      </c>
      <c r="K103" t="s">
        <v>1309</v>
      </c>
      <c r="L103" t="s">
        <v>1309</v>
      </c>
      <c r="M103" t="s">
        <v>1309</v>
      </c>
      <c r="N103" t="s">
        <v>1309</v>
      </c>
      <c r="O103" t="s">
        <v>1309</v>
      </c>
      <c r="P103" t="s">
        <v>1309</v>
      </c>
      <c r="Q103" t="s">
        <v>1310</v>
      </c>
      <c r="R103" t="s">
        <v>1309</v>
      </c>
      <c r="U103" t="s">
        <v>1312</v>
      </c>
      <c r="V103" t="s">
        <v>1312</v>
      </c>
      <c r="W103" t="s">
        <v>1312</v>
      </c>
      <c r="X103" t="s">
        <v>1312</v>
      </c>
      <c r="Y103" t="s">
        <v>1312</v>
      </c>
      <c r="Z103" t="s">
        <v>1312</v>
      </c>
      <c r="AC103">
        <v>2</v>
      </c>
      <c r="AD103">
        <v>24000</v>
      </c>
      <c r="AE103">
        <v>24000</v>
      </c>
      <c r="AF103" t="s">
        <v>1313</v>
      </c>
      <c r="AH103" t="s">
        <v>1319</v>
      </c>
      <c r="AI103" t="s">
        <v>4876</v>
      </c>
      <c r="AK103" t="s">
        <v>1307</v>
      </c>
      <c r="CG103" t="s">
        <v>2853</v>
      </c>
      <c r="CH103" t="s">
        <v>1309</v>
      </c>
      <c r="CI103" t="s">
        <v>1309</v>
      </c>
      <c r="CJ103" t="s">
        <v>1309</v>
      </c>
      <c r="CK103" t="s">
        <v>1310</v>
      </c>
      <c r="CL103" t="s">
        <v>1309</v>
      </c>
      <c r="CM103" t="s">
        <v>1309</v>
      </c>
      <c r="CN103" t="s">
        <v>1309</v>
      </c>
      <c r="CO103" t="s">
        <v>1309</v>
      </c>
      <c r="CP103" t="s">
        <v>1309</v>
      </c>
      <c r="CQ103" t="s">
        <v>1309</v>
      </c>
      <c r="CR103" t="s">
        <v>1309</v>
      </c>
      <c r="CS103" t="s">
        <v>1309</v>
      </c>
      <c r="CT103" t="s">
        <v>1309</v>
      </c>
      <c r="CU103" t="s">
        <v>1309</v>
      </c>
      <c r="CV103" t="s">
        <v>1309</v>
      </c>
      <c r="CX103" t="s">
        <v>2948</v>
      </c>
      <c r="CY103" t="s">
        <v>1310</v>
      </c>
      <c r="CZ103" t="s">
        <v>1309</v>
      </c>
      <c r="DA103" t="s">
        <v>1309</v>
      </c>
      <c r="DB103" t="s">
        <v>1309</v>
      </c>
      <c r="DC103" t="s">
        <v>1309</v>
      </c>
      <c r="DD103" t="s">
        <v>1310</v>
      </c>
      <c r="DE103" t="s">
        <v>1309</v>
      </c>
      <c r="DF103" t="s">
        <v>1309</v>
      </c>
      <c r="DG103" t="s">
        <v>1309</v>
      </c>
      <c r="DH103" t="s">
        <v>1309</v>
      </c>
      <c r="DI103" t="s">
        <v>1309</v>
      </c>
      <c r="DJ103" t="s">
        <v>1309</v>
      </c>
      <c r="DK103" t="s">
        <v>1309</v>
      </c>
      <c r="DM103" t="s">
        <v>4435</v>
      </c>
      <c r="DO103" t="s">
        <v>1308</v>
      </c>
      <c r="DP103" t="s">
        <v>1310</v>
      </c>
      <c r="DQ103" t="s">
        <v>1309</v>
      </c>
      <c r="DR103" t="s">
        <v>1309</v>
      </c>
      <c r="DS103" t="s">
        <v>1309</v>
      </c>
      <c r="DT103" t="s">
        <v>1309</v>
      </c>
      <c r="DU103" t="s">
        <v>1309</v>
      </c>
      <c r="DV103" t="s">
        <v>1309</v>
      </c>
      <c r="DX103" t="s">
        <v>1358</v>
      </c>
      <c r="DY103" t="s">
        <v>1319</v>
      </c>
      <c r="DZ103">
        <v>150</v>
      </c>
      <c r="EA103">
        <v>800</v>
      </c>
      <c r="EB103">
        <v>300</v>
      </c>
      <c r="EC103" t="s">
        <v>1358</v>
      </c>
      <c r="ED103">
        <v>200</v>
      </c>
      <c r="EE103">
        <v>1800</v>
      </c>
      <c r="EF103">
        <v>350</v>
      </c>
      <c r="EG103" t="s">
        <v>1703</v>
      </c>
      <c r="EH103" t="s">
        <v>1310</v>
      </c>
      <c r="EI103" t="s">
        <v>1309</v>
      </c>
      <c r="EJ103" t="s">
        <v>1309</v>
      </c>
      <c r="EK103" t="s">
        <v>1309</v>
      </c>
      <c r="EL103" t="s">
        <v>1309</v>
      </c>
      <c r="EM103" t="s">
        <v>1309</v>
      </c>
      <c r="EN103" t="s">
        <v>1309</v>
      </c>
      <c r="EO103" t="s">
        <v>1309</v>
      </c>
      <c r="EQ103" t="s">
        <v>1307</v>
      </c>
      <c r="ER103" t="s">
        <v>1307</v>
      </c>
      <c r="ES103" t="s">
        <v>1307</v>
      </c>
      <c r="FN103" t="s">
        <v>1307</v>
      </c>
      <c r="GC103" t="s">
        <v>1324</v>
      </c>
      <c r="GD103" t="s">
        <v>1324</v>
      </c>
      <c r="GN103" t="s">
        <v>1364</v>
      </c>
      <c r="HB103" t="s">
        <v>1307</v>
      </c>
      <c r="HR103" t="s">
        <v>1523</v>
      </c>
      <c r="HS103" t="s">
        <v>1309</v>
      </c>
      <c r="HT103" t="s">
        <v>1309</v>
      </c>
      <c r="HU103" t="s">
        <v>1309</v>
      </c>
      <c r="HV103" t="s">
        <v>1310</v>
      </c>
      <c r="HW103" t="s">
        <v>1309</v>
      </c>
      <c r="HX103" t="s">
        <v>1309</v>
      </c>
      <c r="HY103" t="s">
        <v>1309</v>
      </c>
      <c r="HZ103" t="s">
        <v>1309</v>
      </c>
      <c r="IB103" s="92" t="s">
        <v>1333</v>
      </c>
      <c r="IC103" s="92" t="s">
        <v>1334</v>
      </c>
      <c r="ID103" s="92">
        <v>25</v>
      </c>
      <c r="IE103" s="92" t="s">
        <v>1307</v>
      </c>
      <c r="IF103" s="92" t="s">
        <v>4398</v>
      </c>
      <c r="IG103" s="92" t="s">
        <v>1336</v>
      </c>
      <c r="IH103" s="92" t="s">
        <v>1296</v>
      </c>
      <c r="II103" s="92" t="s">
        <v>71</v>
      </c>
      <c r="IJ103" s="92" t="s">
        <v>5549</v>
      </c>
      <c r="IK103" s="92" t="s">
        <v>1398</v>
      </c>
      <c r="IL103" s="92" t="s">
        <v>4845</v>
      </c>
      <c r="IM103" s="92" t="s">
        <v>1338</v>
      </c>
      <c r="IN103" s="92" t="s">
        <v>109</v>
      </c>
      <c r="IO103" s="92" t="s">
        <v>4847</v>
      </c>
      <c r="IP103" s="92" t="s">
        <v>1416</v>
      </c>
      <c r="IQ103" s="92">
        <v>1250</v>
      </c>
      <c r="IR103" s="92" t="s">
        <v>1372</v>
      </c>
      <c r="IS103" s="92" t="s">
        <v>192</v>
      </c>
      <c r="IT103" s="92" t="s">
        <v>192</v>
      </c>
      <c r="IU103" s="92" t="s">
        <v>192</v>
      </c>
      <c r="IV103" s="92" t="s">
        <v>192</v>
      </c>
      <c r="IW103" s="92" t="s">
        <v>1440</v>
      </c>
      <c r="IX103" s="92">
        <v>2350</v>
      </c>
      <c r="IY103" s="92" t="s">
        <v>1372</v>
      </c>
      <c r="IZ103" s="92" t="s">
        <v>1425</v>
      </c>
      <c r="JA103" s="92" t="s">
        <v>1342</v>
      </c>
      <c r="JB103" s="92" t="s">
        <v>192</v>
      </c>
      <c r="JC103" s="92" t="s">
        <v>5795</v>
      </c>
      <c r="JD103" s="92" t="s">
        <v>109</v>
      </c>
      <c r="JE103" s="92" t="s">
        <v>109</v>
      </c>
      <c r="JF103" s="92" t="s">
        <v>1372</v>
      </c>
      <c r="JG103" s="92" t="s">
        <v>1372</v>
      </c>
      <c r="JH103" s="92" t="s">
        <v>192</v>
      </c>
      <c r="JI103" s="92" t="s">
        <v>192</v>
      </c>
    </row>
    <row r="104" spans="1:269" x14ac:dyDescent="0.25">
      <c r="A104" t="s">
        <v>3211</v>
      </c>
      <c r="B104" t="s">
        <v>3212</v>
      </c>
      <c r="C104" t="s">
        <v>1305</v>
      </c>
      <c r="D104" t="s">
        <v>1306</v>
      </c>
      <c r="F104" t="s">
        <v>1307</v>
      </c>
      <c r="G104" t="s">
        <v>1307</v>
      </c>
      <c r="H104">
        <v>1</v>
      </c>
      <c r="J104" t="s">
        <v>1308</v>
      </c>
      <c r="K104" t="s">
        <v>1309</v>
      </c>
      <c r="L104" t="s">
        <v>1309</v>
      </c>
      <c r="M104" t="s">
        <v>1309</v>
      </c>
      <c r="N104" t="s">
        <v>1309</v>
      </c>
      <c r="O104" t="s">
        <v>1309</v>
      </c>
      <c r="P104" t="s">
        <v>1309</v>
      </c>
      <c r="Q104" t="s">
        <v>1310</v>
      </c>
      <c r="R104" t="s">
        <v>1309</v>
      </c>
      <c r="U104" t="s">
        <v>1311</v>
      </c>
      <c r="V104" t="s">
        <v>1312</v>
      </c>
      <c r="W104" t="s">
        <v>1312</v>
      </c>
      <c r="X104" t="s">
        <v>1312</v>
      </c>
      <c r="Y104" t="s">
        <v>1312</v>
      </c>
      <c r="Z104" t="s">
        <v>1312</v>
      </c>
      <c r="AC104">
        <v>1</v>
      </c>
      <c r="AD104">
        <v>18000</v>
      </c>
      <c r="AE104">
        <v>15000</v>
      </c>
      <c r="AF104" t="s">
        <v>1313</v>
      </c>
      <c r="AH104" t="s">
        <v>1319</v>
      </c>
      <c r="AI104" t="s">
        <v>4879</v>
      </c>
      <c r="AK104" t="s">
        <v>1307</v>
      </c>
      <c r="CG104" t="s">
        <v>2853</v>
      </c>
      <c r="CH104" t="s">
        <v>1309</v>
      </c>
      <c r="CI104" t="s">
        <v>1309</v>
      </c>
      <c r="CJ104" t="s">
        <v>1309</v>
      </c>
      <c r="CK104" t="s">
        <v>1310</v>
      </c>
      <c r="CL104" t="s">
        <v>1309</v>
      </c>
      <c r="CM104" t="s">
        <v>1309</v>
      </c>
      <c r="CN104" t="s">
        <v>1309</v>
      </c>
      <c r="CO104" t="s">
        <v>1309</v>
      </c>
      <c r="CP104" t="s">
        <v>1309</v>
      </c>
      <c r="CQ104" t="s">
        <v>1309</v>
      </c>
      <c r="CR104" t="s">
        <v>1309</v>
      </c>
      <c r="CS104" t="s">
        <v>1309</v>
      </c>
      <c r="CT104" t="s">
        <v>1309</v>
      </c>
      <c r="CU104" t="s">
        <v>1309</v>
      </c>
      <c r="CV104" t="s">
        <v>1309</v>
      </c>
      <c r="CX104" t="s">
        <v>2948</v>
      </c>
      <c r="CY104" t="s">
        <v>1310</v>
      </c>
      <c r="CZ104" t="s">
        <v>1309</v>
      </c>
      <c r="DA104" t="s">
        <v>1309</v>
      </c>
      <c r="DB104" t="s">
        <v>1309</v>
      </c>
      <c r="DC104" t="s">
        <v>1309</v>
      </c>
      <c r="DD104" t="s">
        <v>1310</v>
      </c>
      <c r="DE104" t="s">
        <v>1309</v>
      </c>
      <c r="DF104" t="s">
        <v>1309</v>
      </c>
      <c r="DG104" t="s">
        <v>1309</v>
      </c>
      <c r="DH104" t="s">
        <v>1309</v>
      </c>
      <c r="DI104" t="s">
        <v>1309</v>
      </c>
      <c r="DJ104" t="s">
        <v>1309</v>
      </c>
      <c r="DK104" t="s">
        <v>1309</v>
      </c>
      <c r="DM104" t="s">
        <v>4434</v>
      </c>
      <c r="DO104" t="s">
        <v>1308</v>
      </c>
      <c r="DP104" t="s">
        <v>1310</v>
      </c>
      <c r="DQ104" t="s">
        <v>1309</v>
      </c>
      <c r="DR104" t="s">
        <v>1309</v>
      </c>
      <c r="DS104" t="s">
        <v>1309</v>
      </c>
      <c r="DT104" t="s">
        <v>1309</v>
      </c>
      <c r="DU104" t="s">
        <v>1309</v>
      </c>
      <c r="DV104" t="s">
        <v>1309</v>
      </c>
      <c r="DX104" t="s">
        <v>1358</v>
      </c>
      <c r="DZ104">
        <v>900</v>
      </c>
      <c r="EB104">
        <v>250</v>
      </c>
      <c r="EC104" t="s">
        <v>1358</v>
      </c>
      <c r="ED104">
        <v>1800</v>
      </c>
      <c r="EF104">
        <v>400</v>
      </c>
      <c r="EG104" t="s">
        <v>1703</v>
      </c>
      <c r="EH104" t="s">
        <v>1310</v>
      </c>
      <c r="EI104" t="s">
        <v>1309</v>
      </c>
      <c r="EJ104" t="s">
        <v>1309</v>
      </c>
      <c r="EK104" t="s">
        <v>1309</v>
      </c>
      <c r="EL104" t="s">
        <v>1309</v>
      </c>
      <c r="EM104" t="s">
        <v>1309</v>
      </c>
      <c r="EN104" t="s">
        <v>1309</v>
      </c>
      <c r="EO104" t="s">
        <v>1309</v>
      </c>
      <c r="EQ104" t="s">
        <v>1307</v>
      </c>
      <c r="ER104" t="s">
        <v>1307</v>
      </c>
      <c r="ES104" t="s">
        <v>1307</v>
      </c>
      <c r="FN104" t="s">
        <v>1307</v>
      </c>
      <c r="GC104" t="s">
        <v>1324</v>
      </c>
      <c r="GD104" t="s">
        <v>1324</v>
      </c>
      <c r="GN104" t="s">
        <v>1364</v>
      </c>
      <c r="HB104" t="s">
        <v>1307</v>
      </c>
      <c r="HR104" t="s">
        <v>1451</v>
      </c>
      <c r="HS104" t="s">
        <v>1310</v>
      </c>
      <c r="HT104" t="s">
        <v>1309</v>
      </c>
      <c r="HU104" t="s">
        <v>1309</v>
      </c>
      <c r="HV104" t="s">
        <v>1310</v>
      </c>
      <c r="HW104" t="s">
        <v>1309</v>
      </c>
      <c r="HX104" t="s">
        <v>1309</v>
      </c>
      <c r="HY104" t="s">
        <v>1309</v>
      </c>
      <c r="HZ104" t="s">
        <v>1309</v>
      </c>
      <c r="IB104" s="92" t="s">
        <v>1333</v>
      </c>
      <c r="IC104" s="92" t="s">
        <v>1334</v>
      </c>
      <c r="ID104" s="92">
        <v>26</v>
      </c>
      <c r="IE104" s="92" t="s">
        <v>1307</v>
      </c>
      <c r="IF104" s="92" t="s">
        <v>4396</v>
      </c>
      <c r="IG104" s="92" t="s">
        <v>1336</v>
      </c>
      <c r="IH104" s="92" t="s">
        <v>1296</v>
      </c>
      <c r="II104" s="92" t="s">
        <v>71</v>
      </c>
      <c r="IJ104" s="92" t="s">
        <v>5549</v>
      </c>
      <c r="IK104" s="92" t="s">
        <v>1398</v>
      </c>
      <c r="IL104" s="92" t="s">
        <v>4844</v>
      </c>
      <c r="IM104" s="92" t="s">
        <v>1338</v>
      </c>
      <c r="IN104" s="92" t="s">
        <v>109</v>
      </c>
      <c r="IO104" s="92" t="s">
        <v>4844</v>
      </c>
      <c r="IP104" s="92" t="s">
        <v>1452</v>
      </c>
      <c r="IQ104" s="92">
        <v>1150</v>
      </c>
      <c r="IR104" s="92" t="s">
        <v>1372</v>
      </c>
      <c r="IS104" s="92" t="s">
        <v>192</v>
      </c>
      <c r="IT104" s="92" t="s">
        <v>109</v>
      </c>
      <c r="IU104" s="92" t="s">
        <v>192</v>
      </c>
      <c r="IV104" s="92" t="s">
        <v>109</v>
      </c>
      <c r="IW104" s="92" t="s">
        <v>1440</v>
      </c>
      <c r="IX104" s="92">
        <v>2200</v>
      </c>
      <c r="IY104" s="92" t="s">
        <v>4438</v>
      </c>
      <c r="IZ104" s="92" t="s">
        <v>1425</v>
      </c>
      <c r="JA104" s="92" t="s">
        <v>1460</v>
      </c>
      <c r="JB104" s="92" t="s">
        <v>192</v>
      </c>
      <c r="JC104" s="92" t="s">
        <v>5795</v>
      </c>
      <c r="JD104" s="92" t="s">
        <v>109</v>
      </c>
      <c r="JE104" s="92" t="s">
        <v>109</v>
      </c>
      <c r="JF104" s="92" t="s">
        <v>1372</v>
      </c>
      <c r="JG104" s="92" t="s">
        <v>4438</v>
      </c>
      <c r="JH104" s="92" t="s">
        <v>109</v>
      </c>
      <c r="JI104" s="92" t="s">
        <v>109</v>
      </c>
    </row>
    <row r="105" spans="1:269" x14ac:dyDescent="0.25">
      <c r="A105" t="s">
        <v>3213</v>
      </c>
      <c r="B105" t="s">
        <v>3214</v>
      </c>
      <c r="C105" t="s">
        <v>1305</v>
      </c>
      <c r="D105" t="s">
        <v>1306</v>
      </c>
      <c r="F105" t="s">
        <v>1307</v>
      </c>
      <c r="G105" t="s">
        <v>1319</v>
      </c>
      <c r="H105">
        <v>4</v>
      </c>
      <c r="I105" t="s">
        <v>1307</v>
      </c>
      <c r="J105" t="s">
        <v>1406</v>
      </c>
      <c r="K105" t="s">
        <v>1309</v>
      </c>
      <c r="L105" t="s">
        <v>1310</v>
      </c>
      <c r="M105" t="s">
        <v>1309</v>
      </c>
      <c r="N105" t="s">
        <v>1309</v>
      </c>
      <c r="O105" t="s">
        <v>1309</v>
      </c>
      <c r="P105" t="s">
        <v>1309</v>
      </c>
      <c r="Q105" t="s">
        <v>1309</v>
      </c>
      <c r="R105" t="s">
        <v>1309</v>
      </c>
      <c r="S105">
        <v>2</v>
      </c>
      <c r="U105" t="s">
        <v>1312</v>
      </c>
      <c r="V105" t="s">
        <v>1312</v>
      </c>
      <c r="W105" t="s">
        <v>1312</v>
      </c>
      <c r="X105" t="s">
        <v>1312</v>
      </c>
      <c r="Y105" t="s">
        <v>1312</v>
      </c>
      <c r="Z105" t="s">
        <v>1312</v>
      </c>
      <c r="AC105">
        <v>2</v>
      </c>
      <c r="AD105">
        <v>12000</v>
      </c>
      <c r="AE105">
        <v>11000</v>
      </c>
      <c r="AF105" t="s">
        <v>1351</v>
      </c>
      <c r="AH105" t="s">
        <v>1319</v>
      </c>
      <c r="AI105" t="s">
        <v>4876</v>
      </c>
      <c r="AK105" t="s">
        <v>1307</v>
      </c>
      <c r="CG105" t="s">
        <v>2849</v>
      </c>
      <c r="CH105" t="s">
        <v>1309</v>
      </c>
      <c r="CI105" t="s">
        <v>1309</v>
      </c>
      <c r="CJ105" t="s">
        <v>1309</v>
      </c>
      <c r="CK105" t="s">
        <v>1310</v>
      </c>
      <c r="CL105" t="s">
        <v>1309</v>
      </c>
      <c r="CM105" t="s">
        <v>1309</v>
      </c>
      <c r="CN105" t="s">
        <v>1309</v>
      </c>
      <c r="CO105" t="s">
        <v>1309</v>
      </c>
      <c r="CP105" t="s">
        <v>1310</v>
      </c>
      <c r="CQ105" t="s">
        <v>1309</v>
      </c>
      <c r="CR105" t="s">
        <v>1309</v>
      </c>
      <c r="CS105" t="s">
        <v>1309</v>
      </c>
      <c r="CT105" t="s">
        <v>1309</v>
      </c>
      <c r="CU105" t="s">
        <v>1309</v>
      </c>
      <c r="CV105" t="s">
        <v>1309</v>
      </c>
      <c r="CX105" t="s">
        <v>3215</v>
      </c>
      <c r="CY105" t="s">
        <v>1309</v>
      </c>
      <c r="CZ105" t="s">
        <v>1309</v>
      </c>
      <c r="DA105" t="s">
        <v>1309</v>
      </c>
      <c r="DB105" t="s">
        <v>1310</v>
      </c>
      <c r="DC105" t="s">
        <v>1309</v>
      </c>
      <c r="DD105" t="s">
        <v>1310</v>
      </c>
      <c r="DE105" t="s">
        <v>1309</v>
      </c>
      <c r="DF105" t="s">
        <v>1309</v>
      </c>
      <c r="DG105" t="s">
        <v>1309</v>
      </c>
      <c r="DH105" t="s">
        <v>1309</v>
      </c>
      <c r="DI105" t="s">
        <v>1309</v>
      </c>
      <c r="DJ105" t="s">
        <v>1309</v>
      </c>
      <c r="DK105" t="s">
        <v>1309</v>
      </c>
      <c r="DM105" t="s">
        <v>4435</v>
      </c>
      <c r="DO105" t="s">
        <v>1308</v>
      </c>
      <c r="DP105" t="s">
        <v>1310</v>
      </c>
      <c r="DQ105" t="s">
        <v>1309</v>
      </c>
      <c r="DR105" t="s">
        <v>1309</v>
      </c>
      <c r="DS105" t="s">
        <v>1309</v>
      </c>
      <c r="DT105" t="s">
        <v>1309</v>
      </c>
      <c r="DU105" t="s">
        <v>1309</v>
      </c>
      <c r="DV105" t="s">
        <v>1309</v>
      </c>
      <c r="DX105" t="s">
        <v>1358</v>
      </c>
      <c r="DY105" t="s">
        <v>1307</v>
      </c>
      <c r="EA105">
        <v>1600</v>
      </c>
      <c r="EB105">
        <v>900</v>
      </c>
      <c r="EC105" t="s">
        <v>1358</v>
      </c>
      <c r="EE105">
        <v>2100</v>
      </c>
      <c r="EF105">
        <v>1200</v>
      </c>
      <c r="EG105" t="s">
        <v>1703</v>
      </c>
      <c r="EH105" t="s">
        <v>1310</v>
      </c>
      <c r="EI105" t="s">
        <v>1309</v>
      </c>
      <c r="EJ105" t="s">
        <v>1309</v>
      </c>
      <c r="EK105" t="s">
        <v>1309</v>
      </c>
      <c r="EL105" t="s">
        <v>1309</v>
      </c>
      <c r="EM105" t="s">
        <v>1309</v>
      </c>
      <c r="EN105" t="s">
        <v>1309</v>
      </c>
      <c r="EO105" t="s">
        <v>1309</v>
      </c>
      <c r="EQ105" t="s">
        <v>1319</v>
      </c>
      <c r="ER105" t="s">
        <v>1319</v>
      </c>
      <c r="EU105" t="s">
        <v>3216</v>
      </c>
      <c r="EV105" t="s">
        <v>1309</v>
      </c>
      <c r="EW105" t="s">
        <v>1309</v>
      </c>
      <c r="EX105" t="s">
        <v>1309</v>
      </c>
      <c r="EY105" t="s">
        <v>1309</v>
      </c>
      <c r="EZ105" t="s">
        <v>1309</v>
      </c>
      <c r="FA105" t="s">
        <v>1309</v>
      </c>
      <c r="FB105" t="s">
        <v>1309</v>
      </c>
      <c r="FC105" t="s">
        <v>1309</v>
      </c>
      <c r="FD105" t="s">
        <v>1310</v>
      </c>
      <c r="FE105" t="s">
        <v>1309</v>
      </c>
      <c r="FF105" t="s">
        <v>1310</v>
      </c>
      <c r="FG105" t="s">
        <v>1310</v>
      </c>
      <c r="FH105" t="s">
        <v>1310</v>
      </c>
      <c r="FI105" t="s">
        <v>1309</v>
      </c>
      <c r="FJ105" t="s">
        <v>1309</v>
      </c>
      <c r="FK105" t="s">
        <v>1309</v>
      </c>
      <c r="FL105" t="s">
        <v>1309</v>
      </c>
      <c r="FN105" t="s">
        <v>1307</v>
      </c>
      <c r="GC105" t="s">
        <v>1324</v>
      </c>
      <c r="GD105" t="s">
        <v>1324</v>
      </c>
      <c r="GN105" t="s">
        <v>1364</v>
      </c>
      <c r="HB105" t="s">
        <v>1307</v>
      </c>
      <c r="HR105" t="s">
        <v>1393</v>
      </c>
      <c r="HS105" t="s">
        <v>1310</v>
      </c>
      <c r="HT105" t="s">
        <v>1309</v>
      </c>
      <c r="HU105" t="s">
        <v>1309</v>
      </c>
      <c r="HV105" t="s">
        <v>1309</v>
      </c>
      <c r="HW105" t="s">
        <v>1309</v>
      </c>
      <c r="HX105" t="s">
        <v>1309</v>
      </c>
      <c r="HY105" t="s">
        <v>1309</v>
      </c>
      <c r="HZ105" t="s">
        <v>1309</v>
      </c>
      <c r="IB105" s="92" t="s">
        <v>1333</v>
      </c>
      <c r="IC105" s="92" t="s">
        <v>1334</v>
      </c>
      <c r="ID105" s="92">
        <v>38</v>
      </c>
      <c r="IE105" s="92" t="s">
        <v>1307</v>
      </c>
      <c r="IF105" s="92" t="s">
        <v>4396</v>
      </c>
      <c r="IG105" s="92" t="s">
        <v>1336</v>
      </c>
      <c r="IH105" s="92" t="s">
        <v>1296</v>
      </c>
      <c r="II105" s="92" t="s">
        <v>71</v>
      </c>
      <c r="IJ105" s="92" t="s">
        <v>5549</v>
      </c>
      <c r="IK105" s="92" t="s">
        <v>1337</v>
      </c>
      <c r="IL105" s="92" t="s">
        <v>4845</v>
      </c>
      <c r="IM105" s="92" t="s">
        <v>1415</v>
      </c>
      <c r="IN105" s="92" t="s">
        <v>109</v>
      </c>
      <c r="IO105" s="92" t="s">
        <v>4847</v>
      </c>
      <c r="IP105" s="92" t="s">
        <v>1371</v>
      </c>
      <c r="IQ105" s="92">
        <v>2500</v>
      </c>
      <c r="IR105" s="92" t="s">
        <v>4438</v>
      </c>
      <c r="IS105" s="92" t="s">
        <v>109</v>
      </c>
      <c r="IT105" s="92" t="s">
        <v>192</v>
      </c>
      <c r="IU105" s="92" t="s">
        <v>109</v>
      </c>
      <c r="IV105" s="92" t="s">
        <v>192</v>
      </c>
      <c r="IW105" s="92" t="s">
        <v>1425</v>
      </c>
      <c r="IX105" s="92">
        <v>3300</v>
      </c>
      <c r="IY105" s="92" t="s">
        <v>4439</v>
      </c>
      <c r="IZ105" s="92" t="s">
        <v>1341</v>
      </c>
      <c r="JA105" s="92" t="s">
        <v>1342</v>
      </c>
      <c r="JB105" s="92" t="s">
        <v>109</v>
      </c>
      <c r="JC105" s="92" t="s">
        <v>5795</v>
      </c>
      <c r="JD105" s="92" t="s">
        <v>109</v>
      </c>
      <c r="JE105" s="92" t="s">
        <v>109</v>
      </c>
      <c r="JF105" s="92" t="s">
        <v>4438</v>
      </c>
      <c r="JG105" s="92" t="s">
        <v>4438</v>
      </c>
      <c r="JH105" s="92" t="s">
        <v>192</v>
      </c>
      <c r="JI105" s="92" t="s">
        <v>192</v>
      </c>
    </row>
    <row r="106" spans="1:269" x14ac:dyDescent="0.25">
      <c r="A106" t="s">
        <v>3217</v>
      </c>
      <c r="B106" t="s">
        <v>3218</v>
      </c>
      <c r="C106" t="s">
        <v>1305</v>
      </c>
      <c r="D106" t="s">
        <v>1306</v>
      </c>
      <c r="F106" t="s">
        <v>1307</v>
      </c>
      <c r="G106" t="s">
        <v>1319</v>
      </c>
      <c r="H106">
        <v>2</v>
      </c>
      <c r="I106" t="s">
        <v>1307</v>
      </c>
      <c r="J106" t="s">
        <v>1308</v>
      </c>
      <c r="K106" t="s">
        <v>1309</v>
      </c>
      <c r="L106" t="s">
        <v>1309</v>
      </c>
      <c r="M106" t="s">
        <v>1309</v>
      </c>
      <c r="N106" t="s">
        <v>1309</v>
      </c>
      <c r="O106" t="s">
        <v>1309</v>
      </c>
      <c r="P106" t="s">
        <v>1309</v>
      </c>
      <c r="Q106" t="s">
        <v>1310</v>
      </c>
      <c r="R106" t="s">
        <v>1309</v>
      </c>
      <c r="U106" t="s">
        <v>1312</v>
      </c>
      <c r="V106" t="s">
        <v>1312</v>
      </c>
      <c r="W106" t="s">
        <v>1312</v>
      </c>
      <c r="X106" t="s">
        <v>1312</v>
      </c>
      <c r="Y106" t="s">
        <v>1312</v>
      </c>
      <c r="Z106" t="s">
        <v>1312</v>
      </c>
      <c r="AC106">
        <v>2</v>
      </c>
      <c r="AD106">
        <v>14000</v>
      </c>
      <c r="AE106">
        <v>12000</v>
      </c>
      <c r="AF106" t="s">
        <v>1313</v>
      </c>
      <c r="AH106" t="s">
        <v>1319</v>
      </c>
      <c r="AI106" t="s">
        <v>4876</v>
      </c>
      <c r="AK106" t="s">
        <v>1307</v>
      </c>
      <c r="CG106" t="s">
        <v>2853</v>
      </c>
      <c r="CH106" t="s">
        <v>1309</v>
      </c>
      <c r="CI106" t="s">
        <v>1309</v>
      </c>
      <c r="CJ106" t="s">
        <v>1309</v>
      </c>
      <c r="CK106" t="s">
        <v>1310</v>
      </c>
      <c r="CL106" t="s">
        <v>1309</v>
      </c>
      <c r="CM106" t="s">
        <v>1309</v>
      </c>
      <c r="CN106" t="s">
        <v>1309</v>
      </c>
      <c r="CO106" t="s">
        <v>1309</v>
      </c>
      <c r="CP106" t="s">
        <v>1309</v>
      </c>
      <c r="CQ106" t="s">
        <v>1309</v>
      </c>
      <c r="CR106" t="s">
        <v>1309</v>
      </c>
      <c r="CS106" t="s">
        <v>1309</v>
      </c>
      <c r="CT106" t="s">
        <v>1309</v>
      </c>
      <c r="CU106" t="s">
        <v>1309</v>
      </c>
      <c r="CV106" t="s">
        <v>1309</v>
      </c>
      <c r="CX106" t="s">
        <v>2135</v>
      </c>
      <c r="CY106" t="s">
        <v>1309</v>
      </c>
      <c r="CZ106" t="s">
        <v>1309</v>
      </c>
      <c r="DA106" t="s">
        <v>1309</v>
      </c>
      <c r="DB106" t="s">
        <v>1309</v>
      </c>
      <c r="DC106" t="s">
        <v>1309</v>
      </c>
      <c r="DD106" t="s">
        <v>1310</v>
      </c>
      <c r="DE106" t="s">
        <v>1309</v>
      </c>
      <c r="DF106" t="s">
        <v>1309</v>
      </c>
      <c r="DG106" t="s">
        <v>1309</v>
      </c>
      <c r="DH106" t="s">
        <v>1309</v>
      </c>
      <c r="DI106" t="s">
        <v>1309</v>
      </c>
      <c r="DJ106" t="s">
        <v>1309</v>
      </c>
      <c r="DK106" t="s">
        <v>1309</v>
      </c>
      <c r="DM106" t="s">
        <v>4435</v>
      </c>
      <c r="DO106" t="s">
        <v>1308</v>
      </c>
      <c r="DP106" t="s">
        <v>1310</v>
      </c>
      <c r="DQ106" t="s">
        <v>1309</v>
      </c>
      <c r="DR106" t="s">
        <v>1309</v>
      </c>
      <c r="DS106" t="s">
        <v>1309</v>
      </c>
      <c r="DT106" t="s">
        <v>1309</v>
      </c>
      <c r="DU106" t="s">
        <v>1309</v>
      </c>
      <c r="DV106" t="s">
        <v>1309</v>
      </c>
      <c r="DX106" t="s">
        <v>1358</v>
      </c>
      <c r="DY106" t="s">
        <v>1319</v>
      </c>
      <c r="DZ106">
        <v>200</v>
      </c>
      <c r="EA106">
        <v>2300</v>
      </c>
      <c r="EB106">
        <v>650</v>
      </c>
      <c r="EC106" t="s">
        <v>1358</v>
      </c>
      <c r="ED106">
        <v>200</v>
      </c>
      <c r="EE106">
        <v>2400</v>
      </c>
      <c r="EF106">
        <v>500</v>
      </c>
      <c r="EG106" t="s">
        <v>1703</v>
      </c>
      <c r="EH106" t="s">
        <v>1310</v>
      </c>
      <c r="EI106" t="s">
        <v>1309</v>
      </c>
      <c r="EJ106" t="s">
        <v>1309</v>
      </c>
      <c r="EK106" t="s">
        <v>1309</v>
      </c>
      <c r="EL106" t="s">
        <v>1309</v>
      </c>
      <c r="EM106" t="s">
        <v>1309</v>
      </c>
      <c r="EN106" t="s">
        <v>1309</v>
      </c>
      <c r="EO106" t="s">
        <v>1309</v>
      </c>
      <c r="EQ106" t="s">
        <v>1307</v>
      </c>
      <c r="ER106" t="s">
        <v>1307</v>
      </c>
      <c r="ES106" t="s">
        <v>1307</v>
      </c>
      <c r="FN106" t="s">
        <v>1307</v>
      </c>
      <c r="GC106" t="s">
        <v>1436</v>
      </c>
      <c r="GD106" t="s">
        <v>1324</v>
      </c>
      <c r="GE106" t="s">
        <v>1307</v>
      </c>
      <c r="GN106" t="s">
        <v>1364</v>
      </c>
      <c r="HB106" t="s">
        <v>1307</v>
      </c>
      <c r="HR106" t="s">
        <v>1523</v>
      </c>
      <c r="HS106" t="s">
        <v>1309</v>
      </c>
      <c r="HT106" t="s">
        <v>1309</v>
      </c>
      <c r="HU106" t="s">
        <v>1309</v>
      </c>
      <c r="HV106" t="s">
        <v>1310</v>
      </c>
      <c r="HW106" t="s">
        <v>1309</v>
      </c>
      <c r="HX106" t="s">
        <v>1309</v>
      </c>
      <c r="HY106" t="s">
        <v>1309</v>
      </c>
      <c r="HZ106" t="s">
        <v>1309</v>
      </c>
      <c r="IB106" s="92" t="s">
        <v>1333</v>
      </c>
      <c r="IC106" s="92" t="s">
        <v>1334</v>
      </c>
      <c r="ID106" s="92">
        <v>19</v>
      </c>
      <c r="IE106" s="92" t="s">
        <v>1307</v>
      </c>
      <c r="IF106" s="92" t="s">
        <v>4398</v>
      </c>
      <c r="IG106" s="92" t="s">
        <v>1336</v>
      </c>
      <c r="IH106" s="92" t="s">
        <v>1296</v>
      </c>
      <c r="II106" s="92" t="s">
        <v>71</v>
      </c>
      <c r="IJ106" s="92" t="s">
        <v>5549</v>
      </c>
      <c r="IK106" s="92" t="s">
        <v>1398</v>
      </c>
      <c r="IL106" s="92" t="s">
        <v>4845</v>
      </c>
      <c r="IM106" s="92" t="s">
        <v>1338</v>
      </c>
      <c r="IN106" s="92" t="s">
        <v>109</v>
      </c>
      <c r="IO106" s="92" t="s">
        <v>4847</v>
      </c>
      <c r="IP106" s="92" t="s">
        <v>1371</v>
      </c>
      <c r="IQ106" s="92">
        <v>3150</v>
      </c>
      <c r="IR106" s="92" t="s">
        <v>4438</v>
      </c>
      <c r="IS106" s="92" t="s">
        <v>192</v>
      </c>
      <c r="IT106" s="92" t="s">
        <v>192</v>
      </c>
      <c r="IU106" s="92" t="s">
        <v>192</v>
      </c>
      <c r="IV106" s="92" t="s">
        <v>192</v>
      </c>
      <c r="IW106" s="92" t="s">
        <v>1341</v>
      </c>
      <c r="IX106" s="92">
        <v>3100</v>
      </c>
      <c r="IY106" s="92" t="s">
        <v>4438</v>
      </c>
      <c r="IZ106" s="92" t="s">
        <v>1341</v>
      </c>
      <c r="JA106" s="92" t="s">
        <v>1342</v>
      </c>
      <c r="JB106" s="92" t="s">
        <v>192</v>
      </c>
      <c r="JC106" s="92" t="s">
        <v>5795</v>
      </c>
      <c r="JD106" s="92" t="s">
        <v>109</v>
      </c>
      <c r="JE106" s="92" t="s">
        <v>109</v>
      </c>
      <c r="JF106" s="92" t="s">
        <v>4438</v>
      </c>
      <c r="JG106" s="92" t="s">
        <v>4438</v>
      </c>
      <c r="JH106" s="92" t="s">
        <v>192</v>
      </c>
      <c r="JI106" s="92" t="s">
        <v>192</v>
      </c>
    </row>
    <row r="107" spans="1:269" x14ac:dyDescent="0.25">
      <c r="A107" t="s">
        <v>3219</v>
      </c>
      <c r="B107" t="s">
        <v>3220</v>
      </c>
      <c r="C107" t="s">
        <v>1305</v>
      </c>
      <c r="D107" t="s">
        <v>2516</v>
      </c>
      <c r="F107" t="s">
        <v>1319</v>
      </c>
      <c r="G107" t="s">
        <v>1319</v>
      </c>
      <c r="H107">
        <v>2</v>
      </c>
      <c r="I107" t="s">
        <v>1358</v>
      </c>
      <c r="J107" t="s">
        <v>1382</v>
      </c>
      <c r="K107" t="s">
        <v>1309</v>
      </c>
      <c r="L107" t="s">
        <v>1310</v>
      </c>
      <c r="M107" t="s">
        <v>1309</v>
      </c>
      <c r="N107" t="s">
        <v>1309</v>
      </c>
      <c r="O107" t="s">
        <v>1309</v>
      </c>
      <c r="P107" t="s">
        <v>1310</v>
      </c>
      <c r="Q107" t="s">
        <v>1309</v>
      </c>
      <c r="R107" t="s">
        <v>1309</v>
      </c>
      <c r="S107">
        <v>1</v>
      </c>
      <c r="U107" t="s">
        <v>1312</v>
      </c>
      <c r="V107" t="s">
        <v>1312</v>
      </c>
      <c r="W107" t="s">
        <v>1312</v>
      </c>
      <c r="X107" t="s">
        <v>1312</v>
      </c>
      <c r="Y107" t="s">
        <v>1312</v>
      </c>
      <c r="Z107" t="s">
        <v>1312</v>
      </c>
      <c r="AC107">
        <v>1</v>
      </c>
      <c r="AD107">
        <v>20000</v>
      </c>
      <c r="AE107">
        <v>10000</v>
      </c>
      <c r="AF107" t="s">
        <v>1313</v>
      </c>
      <c r="AH107" t="s">
        <v>1319</v>
      </c>
      <c r="AI107" t="s">
        <v>4879</v>
      </c>
      <c r="AK107" t="s">
        <v>1319</v>
      </c>
      <c r="AL107" t="s">
        <v>1315</v>
      </c>
      <c r="AN107" t="s">
        <v>1316</v>
      </c>
      <c r="BU107" t="s">
        <v>2853</v>
      </c>
      <c r="BV107" t="s">
        <v>1310</v>
      </c>
      <c r="BW107" t="s">
        <v>1309</v>
      </c>
      <c r="BX107" t="s">
        <v>1309</v>
      </c>
      <c r="BY107" t="s">
        <v>1309</v>
      </c>
      <c r="BZ107" t="s">
        <v>1309</v>
      </c>
      <c r="CA107" t="s">
        <v>1309</v>
      </c>
      <c r="CB107" t="s">
        <v>1309</v>
      </c>
      <c r="CC107" t="s">
        <v>1309</v>
      </c>
      <c r="CD107" t="s">
        <v>1309</v>
      </c>
      <c r="CE107" t="s">
        <v>1309</v>
      </c>
      <c r="CX107" t="s">
        <v>2135</v>
      </c>
      <c r="CY107" t="s">
        <v>1309</v>
      </c>
      <c r="CZ107" t="s">
        <v>1309</v>
      </c>
      <c r="DA107" t="s">
        <v>1309</v>
      </c>
      <c r="DB107" t="s">
        <v>1309</v>
      </c>
      <c r="DC107" t="s">
        <v>1309</v>
      </c>
      <c r="DD107" t="s">
        <v>1310</v>
      </c>
      <c r="DE107" t="s">
        <v>1309</v>
      </c>
      <c r="DF107" t="s">
        <v>1309</v>
      </c>
      <c r="DG107" t="s">
        <v>1309</v>
      </c>
      <c r="DH107" t="s">
        <v>1309</v>
      </c>
      <c r="DI107" t="s">
        <v>1309</v>
      </c>
      <c r="DJ107" t="s">
        <v>1309</v>
      </c>
      <c r="DK107" t="s">
        <v>1309</v>
      </c>
      <c r="DM107" t="s">
        <v>4434</v>
      </c>
      <c r="DO107" t="s">
        <v>1308</v>
      </c>
      <c r="DP107" t="s">
        <v>1310</v>
      </c>
      <c r="DQ107" t="s">
        <v>1309</v>
      </c>
      <c r="DR107" t="s">
        <v>1309</v>
      </c>
      <c r="DS107" t="s">
        <v>1309</v>
      </c>
      <c r="DT107" t="s">
        <v>1309</v>
      </c>
      <c r="DU107" t="s">
        <v>1309</v>
      </c>
      <c r="DV107" t="s">
        <v>1309</v>
      </c>
      <c r="DX107" t="s">
        <v>1358</v>
      </c>
      <c r="DZ107">
        <v>2300</v>
      </c>
      <c r="EB107">
        <v>500</v>
      </c>
      <c r="EC107" t="s">
        <v>1358</v>
      </c>
      <c r="ED107">
        <v>3000</v>
      </c>
      <c r="EF107">
        <v>500</v>
      </c>
      <c r="EG107" t="s">
        <v>3221</v>
      </c>
      <c r="EH107" t="s">
        <v>1310</v>
      </c>
      <c r="EI107" t="s">
        <v>1310</v>
      </c>
      <c r="EJ107" t="s">
        <v>1309</v>
      </c>
      <c r="EK107" t="s">
        <v>1310</v>
      </c>
      <c r="EL107" t="s">
        <v>1309</v>
      </c>
      <c r="EM107" t="s">
        <v>1309</v>
      </c>
      <c r="EN107" t="s">
        <v>1309</v>
      </c>
      <c r="EO107" t="s">
        <v>1309</v>
      </c>
      <c r="EQ107" t="s">
        <v>1319</v>
      </c>
      <c r="ER107" t="s">
        <v>1307</v>
      </c>
      <c r="ES107" t="s">
        <v>1307</v>
      </c>
      <c r="FN107" t="s">
        <v>1307</v>
      </c>
      <c r="GC107" t="s">
        <v>1324</v>
      </c>
      <c r="GD107" t="s">
        <v>1324</v>
      </c>
      <c r="GN107" t="s">
        <v>1364</v>
      </c>
      <c r="HB107" t="s">
        <v>1307</v>
      </c>
      <c r="HR107" t="s">
        <v>1639</v>
      </c>
      <c r="HS107" t="s">
        <v>1309</v>
      </c>
      <c r="HT107" t="s">
        <v>1310</v>
      </c>
      <c r="HU107" t="s">
        <v>1309</v>
      </c>
      <c r="HV107" t="s">
        <v>1309</v>
      </c>
      <c r="HW107" t="s">
        <v>1309</v>
      </c>
      <c r="HX107" t="s">
        <v>1309</v>
      </c>
      <c r="HY107" t="s">
        <v>1309</v>
      </c>
      <c r="HZ107" t="s">
        <v>1309</v>
      </c>
      <c r="IB107" s="92" t="s">
        <v>1333</v>
      </c>
      <c r="IC107" s="92" t="s">
        <v>1334</v>
      </c>
      <c r="ID107" s="92">
        <v>33</v>
      </c>
      <c r="IE107" s="92" t="s">
        <v>1307</v>
      </c>
      <c r="IF107" s="92" t="s">
        <v>4398</v>
      </c>
      <c r="IG107" s="92" t="s">
        <v>1336</v>
      </c>
      <c r="IH107" s="92" t="s">
        <v>1296</v>
      </c>
      <c r="II107" s="92" t="s">
        <v>71</v>
      </c>
      <c r="IJ107" s="92" t="s">
        <v>1397</v>
      </c>
      <c r="IK107" s="92" t="s">
        <v>1398</v>
      </c>
      <c r="IL107" s="92" t="s">
        <v>4845</v>
      </c>
      <c r="IM107" s="92" t="s">
        <v>1399</v>
      </c>
      <c r="IN107" s="92" t="s">
        <v>109</v>
      </c>
      <c r="IO107" s="92" t="s">
        <v>4844</v>
      </c>
      <c r="IP107" s="92" t="s">
        <v>1452</v>
      </c>
      <c r="IQ107" s="92">
        <v>2800</v>
      </c>
      <c r="IR107" s="92" t="s">
        <v>4438</v>
      </c>
      <c r="IS107" s="92" t="s">
        <v>192</v>
      </c>
      <c r="IT107" s="92" t="s">
        <v>109</v>
      </c>
      <c r="IU107" s="92" t="s">
        <v>192</v>
      </c>
      <c r="IV107" s="92" t="s">
        <v>109</v>
      </c>
      <c r="IW107" s="92" t="s">
        <v>1425</v>
      </c>
      <c r="IX107" s="92">
        <v>3500</v>
      </c>
      <c r="IY107" s="92" t="s">
        <v>4438</v>
      </c>
      <c r="IZ107" s="92" t="s">
        <v>1341</v>
      </c>
      <c r="JA107" s="92" t="s">
        <v>1460</v>
      </c>
      <c r="JB107" s="92" t="s">
        <v>192</v>
      </c>
      <c r="JC107" s="92" t="s">
        <v>1403</v>
      </c>
      <c r="JD107" s="92" t="s">
        <v>109</v>
      </c>
      <c r="JE107" s="92" t="s">
        <v>109</v>
      </c>
      <c r="JF107" s="92" t="s">
        <v>4438</v>
      </c>
      <c r="JG107" s="92" t="s">
        <v>4439</v>
      </c>
      <c r="JH107" s="92" t="s">
        <v>109</v>
      </c>
      <c r="JI107" s="92" t="s">
        <v>109</v>
      </c>
    </row>
    <row r="108" spans="1:269" x14ac:dyDescent="0.25">
      <c r="A108" t="s">
        <v>3222</v>
      </c>
      <c r="B108" t="s">
        <v>3223</v>
      </c>
      <c r="C108" t="s">
        <v>1429</v>
      </c>
      <c r="D108" t="s">
        <v>1306</v>
      </c>
      <c r="F108" t="s">
        <v>1307</v>
      </c>
      <c r="G108" t="s">
        <v>1319</v>
      </c>
      <c r="H108">
        <v>2</v>
      </c>
      <c r="I108" t="s">
        <v>1307</v>
      </c>
      <c r="J108" t="s">
        <v>1308</v>
      </c>
      <c r="K108" t="s">
        <v>1309</v>
      </c>
      <c r="L108" t="s">
        <v>1309</v>
      </c>
      <c r="M108" t="s">
        <v>1309</v>
      </c>
      <c r="N108" t="s">
        <v>1309</v>
      </c>
      <c r="O108" t="s">
        <v>1309</v>
      </c>
      <c r="P108" t="s">
        <v>1309</v>
      </c>
      <c r="Q108" t="s">
        <v>1310</v>
      </c>
      <c r="R108" t="s">
        <v>1309</v>
      </c>
      <c r="U108" t="s">
        <v>1312</v>
      </c>
      <c r="V108" t="s">
        <v>1312</v>
      </c>
      <c r="W108" t="s">
        <v>1312</v>
      </c>
      <c r="X108" t="s">
        <v>1312</v>
      </c>
      <c r="Y108" t="s">
        <v>1312</v>
      </c>
      <c r="Z108" t="s">
        <v>1312</v>
      </c>
      <c r="AC108">
        <v>2</v>
      </c>
      <c r="AD108">
        <v>15000</v>
      </c>
      <c r="AE108">
        <v>10000</v>
      </c>
      <c r="AF108" t="s">
        <v>1313</v>
      </c>
      <c r="AH108" t="s">
        <v>1319</v>
      </c>
      <c r="AI108" t="s">
        <v>4879</v>
      </c>
      <c r="AK108" t="s">
        <v>1307</v>
      </c>
      <c r="CG108" t="s">
        <v>3027</v>
      </c>
      <c r="CH108" t="s">
        <v>1309</v>
      </c>
      <c r="CI108" t="s">
        <v>1309</v>
      </c>
      <c r="CJ108" t="s">
        <v>1309</v>
      </c>
      <c r="CK108" t="s">
        <v>1309</v>
      </c>
      <c r="CL108" t="s">
        <v>1309</v>
      </c>
      <c r="CM108" t="s">
        <v>1309</v>
      </c>
      <c r="CN108" t="s">
        <v>1309</v>
      </c>
      <c r="CO108" t="s">
        <v>1309</v>
      </c>
      <c r="CP108" t="s">
        <v>1310</v>
      </c>
      <c r="CQ108" t="s">
        <v>1309</v>
      </c>
      <c r="CR108" t="s">
        <v>1309</v>
      </c>
      <c r="CS108" t="s">
        <v>1309</v>
      </c>
      <c r="CT108" t="s">
        <v>1309</v>
      </c>
      <c r="CU108" t="s">
        <v>1309</v>
      </c>
      <c r="CV108" t="s">
        <v>1309</v>
      </c>
      <c r="CX108" t="s">
        <v>3224</v>
      </c>
      <c r="CY108" t="s">
        <v>1310</v>
      </c>
      <c r="CZ108" t="s">
        <v>1309</v>
      </c>
      <c r="DA108" t="s">
        <v>1310</v>
      </c>
      <c r="DB108" t="s">
        <v>1309</v>
      </c>
      <c r="DC108" t="s">
        <v>1309</v>
      </c>
      <c r="DD108" t="s">
        <v>1310</v>
      </c>
      <c r="DE108" t="s">
        <v>1309</v>
      </c>
      <c r="DF108" t="s">
        <v>1309</v>
      </c>
      <c r="DG108" t="s">
        <v>1309</v>
      </c>
      <c r="DH108" t="s">
        <v>1310</v>
      </c>
      <c r="DI108" t="s">
        <v>1309</v>
      </c>
      <c r="DJ108" t="s">
        <v>1309</v>
      </c>
      <c r="DK108" t="s">
        <v>1309</v>
      </c>
      <c r="DM108" t="s">
        <v>4435</v>
      </c>
      <c r="DO108" t="s">
        <v>1308</v>
      </c>
      <c r="DP108" t="s">
        <v>1310</v>
      </c>
      <c r="DQ108" t="s">
        <v>1309</v>
      </c>
      <c r="DR108" t="s">
        <v>1309</v>
      </c>
      <c r="DS108" t="s">
        <v>1309</v>
      </c>
      <c r="DT108" t="s">
        <v>1309</v>
      </c>
      <c r="DU108" t="s">
        <v>1309</v>
      </c>
      <c r="DV108" t="s">
        <v>1309</v>
      </c>
      <c r="DX108" t="s">
        <v>1358</v>
      </c>
      <c r="DY108" t="s">
        <v>1319</v>
      </c>
      <c r="DZ108">
        <v>200</v>
      </c>
      <c r="EA108">
        <v>2000</v>
      </c>
      <c r="EB108">
        <v>600</v>
      </c>
      <c r="EC108" t="s">
        <v>1358</v>
      </c>
      <c r="ED108">
        <v>200</v>
      </c>
      <c r="EE108">
        <v>2500</v>
      </c>
      <c r="EF108">
        <v>600</v>
      </c>
      <c r="EG108" t="s">
        <v>1703</v>
      </c>
      <c r="EH108" t="s">
        <v>1310</v>
      </c>
      <c r="EI108" t="s">
        <v>1309</v>
      </c>
      <c r="EJ108" t="s">
        <v>1309</v>
      </c>
      <c r="EK108" t="s">
        <v>1309</v>
      </c>
      <c r="EL108" t="s">
        <v>1309</v>
      </c>
      <c r="EM108" t="s">
        <v>1309</v>
      </c>
      <c r="EN108" t="s">
        <v>1309</v>
      </c>
      <c r="EO108" t="s">
        <v>1309</v>
      </c>
      <c r="EQ108" t="s">
        <v>1307</v>
      </c>
      <c r="ER108" t="s">
        <v>1319</v>
      </c>
      <c r="ES108" t="s">
        <v>1307</v>
      </c>
      <c r="EU108" t="s">
        <v>3225</v>
      </c>
      <c r="EV108" t="s">
        <v>1309</v>
      </c>
      <c r="EW108" t="s">
        <v>1309</v>
      </c>
      <c r="EX108" t="s">
        <v>1309</v>
      </c>
      <c r="EY108" t="s">
        <v>1309</v>
      </c>
      <c r="EZ108" t="s">
        <v>1309</v>
      </c>
      <c r="FA108" t="s">
        <v>1309</v>
      </c>
      <c r="FB108" t="s">
        <v>1309</v>
      </c>
      <c r="FC108" t="s">
        <v>1310</v>
      </c>
      <c r="FD108" t="s">
        <v>1309</v>
      </c>
      <c r="FE108" t="s">
        <v>1309</v>
      </c>
      <c r="FF108" t="s">
        <v>1310</v>
      </c>
      <c r="FG108" t="s">
        <v>1309</v>
      </c>
      <c r="FH108" t="s">
        <v>1310</v>
      </c>
      <c r="FI108" t="s">
        <v>1309</v>
      </c>
      <c r="FJ108" t="s">
        <v>1309</v>
      </c>
      <c r="FK108" t="s">
        <v>1309</v>
      </c>
      <c r="FL108" t="s">
        <v>1309</v>
      </c>
      <c r="FN108" t="s">
        <v>1307</v>
      </c>
      <c r="GC108" t="s">
        <v>1324</v>
      </c>
      <c r="GD108" t="s">
        <v>1324</v>
      </c>
      <c r="GN108" t="s">
        <v>1364</v>
      </c>
      <c r="HB108" t="s">
        <v>1319</v>
      </c>
      <c r="HC108" t="s">
        <v>1412</v>
      </c>
      <c r="HD108" t="s">
        <v>1309</v>
      </c>
      <c r="HE108" t="s">
        <v>1310</v>
      </c>
      <c r="HF108" t="s">
        <v>1309</v>
      </c>
      <c r="HG108" t="s">
        <v>1309</v>
      </c>
      <c r="HH108" t="s">
        <v>1310</v>
      </c>
      <c r="HI108" t="s">
        <v>1309</v>
      </c>
      <c r="HJ108" t="s">
        <v>1309</v>
      </c>
      <c r="HK108" t="s">
        <v>1309</v>
      </c>
      <c r="HL108" t="s">
        <v>1309</v>
      </c>
      <c r="HM108" t="s">
        <v>1309</v>
      </c>
      <c r="HN108" t="s">
        <v>1309</v>
      </c>
      <c r="HO108" t="s">
        <v>1309</v>
      </c>
      <c r="HP108" t="s">
        <v>1309</v>
      </c>
      <c r="HR108" t="s">
        <v>2088</v>
      </c>
      <c r="HS108" t="s">
        <v>1310</v>
      </c>
      <c r="HT108" t="s">
        <v>1309</v>
      </c>
      <c r="HU108" t="s">
        <v>1309</v>
      </c>
      <c r="HV108" t="s">
        <v>1310</v>
      </c>
      <c r="HW108" t="s">
        <v>1310</v>
      </c>
      <c r="HX108" t="s">
        <v>1309</v>
      </c>
      <c r="HY108" t="s">
        <v>1309</v>
      </c>
      <c r="HZ108" t="s">
        <v>1309</v>
      </c>
      <c r="IB108" s="92" t="s">
        <v>1333</v>
      </c>
      <c r="IC108" s="92" t="s">
        <v>1334</v>
      </c>
      <c r="ID108" s="92">
        <v>24</v>
      </c>
      <c r="IE108" s="92" t="s">
        <v>1307</v>
      </c>
      <c r="IF108" s="92" t="s">
        <v>4398</v>
      </c>
      <c r="IG108" s="92" t="s">
        <v>1336</v>
      </c>
      <c r="IH108" s="92" t="s">
        <v>1296</v>
      </c>
      <c r="II108" s="92" t="s">
        <v>71</v>
      </c>
      <c r="IJ108" s="92" t="s">
        <v>5549</v>
      </c>
      <c r="IK108" s="92" t="s">
        <v>1398</v>
      </c>
      <c r="IL108" s="92" t="s">
        <v>4845</v>
      </c>
      <c r="IM108" s="92" t="s">
        <v>1338</v>
      </c>
      <c r="IN108" s="92" t="s">
        <v>109</v>
      </c>
      <c r="IO108" s="92" t="s">
        <v>4847</v>
      </c>
      <c r="IP108" s="92" t="s">
        <v>1371</v>
      </c>
      <c r="IQ108" s="92">
        <v>2800</v>
      </c>
      <c r="IR108" s="92" t="s">
        <v>4438</v>
      </c>
      <c r="IS108" s="92" t="s">
        <v>192</v>
      </c>
      <c r="IT108" s="92" t="s">
        <v>192</v>
      </c>
      <c r="IU108" s="92" t="s">
        <v>192</v>
      </c>
      <c r="IV108" s="92" t="s">
        <v>192</v>
      </c>
      <c r="IW108" s="92" t="s">
        <v>1425</v>
      </c>
      <c r="IX108" s="92">
        <v>3300</v>
      </c>
      <c r="IY108" s="92" t="s">
        <v>4438</v>
      </c>
      <c r="IZ108" s="92" t="s">
        <v>1341</v>
      </c>
      <c r="JA108" s="92" t="s">
        <v>1342</v>
      </c>
      <c r="JB108" s="92" t="s">
        <v>192</v>
      </c>
      <c r="JC108" s="92" t="s">
        <v>5795</v>
      </c>
      <c r="JD108" s="92" t="s">
        <v>109</v>
      </c>
      <c r="JE108" s="92" t="s">
        <v>109</v>
      </c>
      <c r="JF108" s="92" t="s">
        <v>4438</v>
      </c>
      <c r="JG108" s="92" t="s">
        <v>4438</v>
      </c>
      <c r="JH108" s="92" t="s">
        <v>109</v>
      </c>
      <c r="JI108" s="92" t="s">
        <v>109</v>
      </c>
    </row>
    <row r="109" spans="1:269" x14ac:dyDescent="0.25">
      <c r="A109" t="s">
        <v>3226</v>
      </c>
      <c r="B109" t="s">
        <v>3227</v>
      </c>
      <c r="C109" t="s">
        <v>1305</v>
      </c>
      <c r="D109" t="s">
        <v>1306</v>
      </c>
      <c r="F109" t="s">
        <v>1307</v>
      </c>
      <c r="G109" t="s">
        <v>1319</v>
      </c>
      <c r="H109">
        <v>4</v>
      </c>
      <c r="I109" t="s">
        <v>1307</v>
      </c>
      <c r="J109" t="s">
        <v>1406</v>
      </c>
      <c r="K109" t="s">
        <v>1309</v>
      </c>
      <c r="L109" t="s">
        <v>1310</v>
      </c>
      <c r="M109" t="s">
        <v>1309</v>
      </c>
      <c r="N109" t="s">
        <v>1309</v>
      </c>
      <c r="O109" t="s">
        <v>1309</v>
      </c>
      <c r="P109" t="s">
        <v>1309</v>
      </c>
      <c r="Q109" t="s">
        <v>1309</v>
      </c>
      <c r="R109" t="s">
        <v>1309</v>
      </c>
      <c r="S109">
        <v>2</v>
      </c>
      <c r="U109" t="s">
        <v>1312</v>
      </c>
      <c r="V109" t="s">
        <v>1312</v>
      </c>
      <c r="W109" t="s">
        <v>1312</v>
      </c>
      <c r="X109" t="s">
        <v>1312</v>
      </c>
      <c r="Y109" t="s">
        <v>1312</v>
      </c>
      <c r="Z109" t="s">
        <v>1312</v>
      </c>
      <c r="AC109">
        <v>2</v>
      </c>
      <c r="AD109">
        <v>15000</v>
      </c>
      <c r="AE109">
        <v>12000</v>
      </c>
      <c r="AF109" t="s">
        <v>1313</v>
      </c>
      <c r="AH109" t="s">
        <v>1319</v>
      </c>
      <c r="AI109" t="s">
        <v>4879</v>
      </c>
      <c r="AK109" t="s">
        <v>1307</v>
      </c>
      <c r="CG109" t="s">
        <v>2853</v>
      </c>
      <c r="CH109" t="s">
        <v>1309</v>
      </c>
      <c r="CI109" t="s">
        <v>1309</v>
      </c>
      <c r="CJ109" t="s">
        <v>1309</v>
      </c>
      <c r="CK109" t="s">
        <v>1310</v>
      </c>
      <c r="CL109" t="s">
        <v>1309</v>
      </c>
      <c r="CM109" t="s">
        <v>1309</v>
      </c>
      <c r="CN109" t="s">
        <v>1309</v>
      </c>
      <c r="CO109" t="s">
        <v>1309</v>
      </c>
      <c r="CP109" t="s">
        <v>1309</v>
      </c>
      <c r="CQ109" t="s">
        <v>1309</v>
      </c>
      <c r="CR109" t="s">
        <v>1309</v>
      </c>
      <c r="CS109" t="s">
        <v>1309</v>
      </c>
      <c r="CT109" t="s">
        <v>1309</v>
      </c>
      <c r="CU109" t="s">
        <v>1309</v>
      </c>
      <c r="CV109" t="s">
        <v>1309</v>
      </c>
      <c r="CX109" t="s">
        <v>2941</v>
      </c>
      <c r="CY109" t="s">
        <v>1310</v>
      </c>
      <c r="CZ109" t="s">
        <v>1309</v>
      </c>
      <c r="DA109" t="s">
        <v>1309</v>
      </c>
      <c r="DB109" t="s">
        <v>1309</v>
      </c>
      <c r="DC109" t="s">
        <v>1309</v>
      </c>
      <c r="DD109" t="s">
        <v>1310</v>
      </c>
      <c r="DE109" t="s">
        <v>1309</v>
      </c>
      <c r="DF109" t="s">
        <v>1309</v>
      </c>
      <c r="DG109" t="s">
        <v>1309</v>
      </c>
      <c r="DH109" t="s">
        <v>1310</v>
      </c>
      <c r="DI109" t="s">
        <v>1309</v>
      </c>
      <c r="DJ109" t="s">
        <v>1309</v>
      </c>
      <c r="DK109" t="s">
        <v>1309</v>
      </c>
      <c r="DM109" t="s">
        <v>4433</v>
      </c>
      <c r="DO109" t="s">
        <v>1308</v>
      </c>
      <c r="DP109" t="s">
        <v>1310</v>
      </c>
      <c r="DQ109" t="s">
        <v>1309</v>
      </c>
      <c r="DR109" t="s">
        <v>1309</v>
      </c>
      <c r="DS109" t="s">
        <v>1309</v>
      </c>
      <c r="DT109" t="s">
        <v>1309</v>
      </c>
      <c r="DU109" t="s">
        <v>1309</v>
      </c>
      <c r="DV109" t="s">
        <v>1309</v>
      </c>
      <c r="DX109" t="s">
        <v>1358</v>
      </c>
      <c r="DY109" t="s">
        <v>1319</v>
      </c>
      <c r="DZ109">
        <v>300</v>
      </c>
      <c r="EB109">
        <v>200</v>
      </c>
      <c r="EC109" t="s">
        <v>1358</v>
      </c>
      <c r="ED109">
        <v>300</v>
      </c>
      <c r="EF109">
        <v>3000</v>
      </c>
      <c r="EG109" t="s">
        <v>1703</v>
      </c>
      <c r="EH109" t="s">
        <v>1310</v>
      </c>
      <c r="EI109" t="s">
        <v>1309</v>
      </c>
      <c r="EJ109" t="s">
        <v>1309</v>
      </c>
      <c r="EK109" t="s">
        <v>1309</v>
      </c>
      <c r="EL109" t="s">
        <v>1309</v>
      </c>
      <c r="EM109" t="s">
        <v>1309</v>
      </c>
      <c r="EN109" t="s">
        <v>1309</v>
      </c>
      <c r="EO109" t="s">
        <v>1309</v>
      </c>
      <c r="EQ109" t="s">
        <v>1307</v>
      </c>
      <c r="ER109" t="s">
        <v>1319</v>
      </c>
      <c r="ES109" t="s">
        <v>1307</v>
      </c>
      <c r="EU109" t="s">
        <v>1807</v>
      </c>
      <c r="EV109" t="s">
        <v>1310</v>
      </c>
      <c r="EW109" t="s">
        <v>1309</v>
      </c>
      <c r="EX109" t="s">
        <v>1310</v>
      </c>
      <c r="EY109" t="s">
        <v>1309</v>
      </c>
      <c r="EZ109" t="s">
        <v>1309</v>
      </c>
      <c r="FA109" t="s">
        <v>1309</v>
      </c>
      <c r="FB109" t="s">
        <v>1309</v>
      </c>
      <c r="FC109" t="s">
        <v>1309</v>
      </c>
      <c r="FD109" t="s">
        <v>1309</v>
      </c>
      <c r="FE109" t="s">
        <v>1309</v>
      </c>
      <c r="FF109" t="s">
        <v>1309</v>
      </c>
      <c r="FG109" t="s">
        <v>1309</v>
      </c>
      <c r="FH109" t="s">
        <v>1309</v>
      </c>
      <c r="FI109" t="s">
        <v>1309</v>
      </c>
      <c r="FJ109" t="s">
        <v>1309</v>
      </c>
      <c r="FK109" t="s">
        <v>1309</v>
      </c>
      <c r="FL109" t="s">
        <v>1309</v>
      </c>
      <c r="FN109" t="s">
        <v>1307</v>
      </c>
      <c r="GC109" t="s">
        <v>1324</v>
      </c>
      <c r="GD109" t="s">
        <v>1324</v>
      </c>
      <c r="GN109" t="s">
        <v>1364</v>
      </c>
      <c r="HB109" t="s">
        <v>1319</v>
      </c>
      <c r="HC109" t="s">
        <v>1870</v>
      </c>
      <c r="HD109" t="s">
        <v>1309</v>
      </c>
      <c r="HE109" t="s">
        <v>1309</v>
      </c>
      <c r="HF109" t="s">
        <v>1309</v>
      </c>
      <c r="HG109" t="s">
        <v>1310</v>
      </c>
      <c r="HH109" t="s">
        <v>1310</v>
      </c>
      <c r="HI109" t="s">
        <v>1309</v>
      </c>
      <c r="HJ109" t="s">
        <v>1309</v>
      </c>
      <c r="HK109" t="s">
        <v>1309</v>
      </c>
      <c r="HL109" t="s">
        <v>1309</v>
      </c>
      <c r="HM109" t="s">
        <v>1309</v>
      </c>
      <c r="HN109" t="s">
        <v>1309</v>
      </c>
      <c r="HO109" t="s">
        <v>1309</v>
      </c>
      <c r="HP109" t="s">
        <v>1309</v>
      </c>
      <c r="HR109" t="s">
        <v>1945</v>
      </c>
      <c r="HS109" t="s">
        <v>1310</v>
      </c>
      <c r="HT109" t="s">
        <v>1309</v>
      </c>
      <c r="HU109" t="s">
        <v>1309</v>
      </c>
      <c r="HV109" t="s">
        <v>1310</v>
      </c>
      <c r="HW109" t="s">
        <v>1309</v>
      </c>
      <c r="HX109" t="s">
        <v>1309</v>
      </c>
      <c r="HY109" t="s">
        <v>1309</v>
      </c>
      <c r="HZ109" t="s">
        <v>1309</v>
      </c>
      <c r="IB109" s="92" t="s">
        <v>1333</v>
      </c>
      <c r="IC109" s="92" t="s">
        <v>1334</v>
      </c>
      <c r="ID109" s="92">
        <v>33</v>
      </c>
      <c r="IE109" s="92" t="s">
        <v>1307</v>
      </c>
      <c r="IF109" s="92" t="s">
        <v>4398</v>
      </c>
      <c r="IG109" s="92" t="s">
        <v>1336</v>
      </c>
      <c r="IH109" s="92" t="s">
        <v>1296</v>
      </c>
      <c r="II109" s="92" t="s">
        <v>71</v>
      </c>
      <c r="IJ109" s="92" t="s">
        <v>5549</v>
      </c>
      <c r="IK109" s="92" t="s">
        <v>1398</v>
      </c>
      <c r="IL109" s="92" t="s">
        <v>4845</v>
      </c>
      <c r="IM109" s="92" t="s">
        <v>1415</v>
      </c>
      <c r="IN109" s="92" t="s">
        <v>109</v>
      </c>
      <c r="IO109" s="92" t="s">
        <v>4847</v>
      </c>
      <c r="IP109" s="92" t="s">
        <v>1371</v>
      </c>
      <c r="IQ109" s="92">
        <v>500</v>
      </c>
      <c r="IR109" s="92" t="s">
        <v>1372</v>
      </c>
      <c r="IS109" s="92" t="s">
        <v>192</v>
      </c>
      <c r="IT109" s="92" t="s">
        <v>109</v>
      </c>
      <c r="IU109" s="92" t="s">
        <v>192</v>
      </c>
      <c r="IV109" s="92" t="s">
        <v>109</v>
      </c>
      <c r="IW109" s="92" t="s">
        <v>1373</v>
      </c>
      <c r="IX109" s="92">
        <v>3300</v>
      </c>
      <c r="IY109" s="92" t="s">
        <v>4438</v>
      </c>
      <c r="IZ109" s="92" t="s">
        <v>1341</v>
      </c>
      <c r="JA109" s="92" t="s">
        <v>1561</v>
      </c>
      <c r="JB109" s="92" t="s">
        <v>192</v>
      </c>
      <c r="JC109" s="92" t="s">
        <v>5795</v>
      </c>
      <c r="JD109" s="92" t="s">
        <v>109</v>
      </c>
      <c r="JE109" s="92" t="s">
        <v>109</v>
      </c>
      <c r="JF109" s="92" t="s">
        <v>1372</v>
      </c>
      <c r="JG109" s="92" t="s">
        <v>4438</v>
      </c>
      <c r="JH109" s="92" t="s">
        <v>109</v>
      </c>
      <c r="JI109" s="92" t="s">
        <v>192</v>
      </c>
    </row>
    <row r="110" spans="1:269" x14ac:dyDescent="0.25">
      <c r="A110" t="s">
        <v>3228</v>
      </c>
      <c r="B110" t="s">
        <v>3229</v>
      </c>
      <c r="C110" t="s">
        <v>1305</v>
      </c>
      <c r="D110" t="s">
        <v>1306</v>
      </c>
      <c r="F110" t="s">
        <v>1307</v>
      </c>
      <c r="G110" t="s">
        <v>1319</v>
      </c>
      <c r="H110">
        <v>1</v>
      </c>
      <c r="J110" t="s">
        <v>1308</v>
      </c>
      <c r="K110" t="s">
        <v>1309</v>
      </c>
      <c r="L110" t="s">
        <v>1309</v>
      </c>
      <c r="M110" t="s">
        <v>1309</v>
      </c>
      <c r="N110" t="s">
        <v>1309</v>
      </c>
      <c r="O110" t="s">
        <v>1309</v>
      </c>
      <c r="P110" t="s">
        <v>1309</v>
      </c>
      <c r="Q110" t="s">
        <v>1310</v>
      </c>
      <c r="R110" t="s">
        <v>1309</v>
      </c>
      <c r="U110" t="s">
        <v>1312</v>
      </c>
      <c r="V110" t="s">
        <v>1312</v>
      </c>
      <c r="W110" t="s">
        <v>1312</v>
      </c>
      <c r="X110" t="s">
        <v>1312</v>
      </c>
      <c r="Y110" t="s">
        <v>1312</v>
      </c>
      <c r="Z110" t="s">
        <v>1312</v>
      </c>
      <c r="AC110">
        <v>1</v>
      </c>
      <c r="AD110">
        <v>12000</v>
      </c>
      <c r="AE110">
        <v>8000</v>
      </c>
      <c r="AF110" t="s">
        <v>1313</v>
      </c>
      <c r="AH110" t="s">
        <v>1319</v>
      </c>
      <c r="AI110" t="s">
        <v>4878</v>
      </c>
      <c r="AK110" t="s">
        <v>1307</v>
      </c>
      <c r="CG110" t="s">
        <v>2853</v>
      </c>
      <c r="CH110" t="s">
        <v>1309</v>
      </c>
      <c r="CI110" t="s">
        <v>1309</v>
      </c>
      <c r="CJ110" t="s">
        <v>1309</v>
      </c>
      <c r="CK110" t="s">
        <v>1310</v>
      </c>
      <c r="CL110" t="s">
        <v>1309</v>
      </c>
      <c r="CM110" t="s">
        <v>1309</v>
      </c>
      <c r="CN110" t="s">
        <v>1309</v>
      </c>
      <c r="CO110" t="s">
        <v>1309</v>
      </c>
      <c r="CP110" t="s">
        <v>1309</v>
      </c>
      <c r="CQ110" t="s">
        <v>1309</v>
      </c>
      <c r="CR110" t="s">
        <v>1309</v>
      </c>
      <c r="CS110" t="s">
        <v>1309</v>
      </c>
      <c r="CT110" t="s">
        <v>1309</v>
      </c>
      <c r="CU110" t="s">
        <v>1309</v>
      </c>
      <c r="CV110" t="s">
        <v>1309</v>
      </c>
      <c r="CX110" t="s">
        <v>1384</v>
      </c>
      <c r="CY110" t="s">
        <v>1310</v>
      </c>
      <c r="CZ110" t="s">
        <v>1309</v>
      </c>
      <c r="DA110" t="s">
        <v>1309</v>
      </c>
      <c r="DB110" t="s">
        <v>1309</v>
      </c>
      <c r="DC110" t="s">
        <v>1309</v>
      </c>
      <c r="DD110" t="s">
        <v>1309</v>
      </c>
      <c r="DE110" t="s">
        <v>1309</v>
      </c>
      <c r="DF110" t="s">
        <v>1309</v>
      </c>
      <c r="DG110" t="s">
        <v>1309</v>
      </c>
      <c r="DH110" t="s">
        <v>1309</v>
      </c>
      <c r="DI110" t="s">
        <v>1309</v>
      </c>
      <c r="DJ110" t="s">
        <v>1309</v>
      </c>
      <c r="DK110" t="s">
        <v>1309</v>
      </c>
      <c r="DM110" t="s">
        <v>4435</v>
      </c>
      <c r="DO110" t="s">
        <v>1308</v>
      </c>
      <c r="DP110" t="s">
        <v>1310</v>
      </c>
      <c r="DQ110" t="s">
        <v>1309</v>
      </c>
      <c r="DR110" t="s">
        <v>1309</v>
      </c>
      <c r="DS110" t="s">
        <v>1309</v>
      </c>
      <c r="DT110" t="s">
        <v>1309</v>
      </c>
      <c r="DU110" t="s">
        <v>1309</v>
      </c>
      <c r="DV110" t="s">
        <v>1309</v>
      </c>
      <c r="DX110" t="s">
        <v>1358</v>
      </c>
      <c r="DY110" t="s">
        <v>1319</v>
      </c>
      <c r="DZ110">
        <v>100</v>
      </c>
      <c r="EA110">
        <v>800</v>
      </c>
      <c r="EB110">
        <v>300</v>
      </c>
      <c r="EC110" t="s">
        <v>1358</v>
      </c>
      <c r="ED110">
        <v>150</v>
      </c>
      <c r="EE110">
        <v>1300</v>
      </c>
      <c r="EF110">
        <v>400</v>
      </c>
      <c r="EG110" t="s">
        <v>1703</v>
      </c>
      <c r="EH110" t="s">
        <v>1310</v>
      </c>
      <c r="EI110" t="s">
        <v>1309</v>
      </c>
      <c r="EJ110" t="s">
        <v>1309</v>
      </c>
      <c r="EK110" t="s">
        <v>1309</v>
      </c>
      <c r="EL110" t="s">
        <v>1309</v>
      </c>
      <c r="EM110" t="s">
        <v>1309</v>
      </c>
      <c r="EN110" t="s">
        <v>1309</v>
      </c>
      <c r="EO110" t="s">
        <v>1309</v>
      </c>
      <c r="EQ110" t="s">
        <v>1307</v>
      </c>
      <c r="ER110" t="s">
        <v>1319</v>
      </c>
      <c r="ES110" t="s">
        <v>1307</v>
      </c>
      <c r="EU110" t="s">
        <v>1902</v>
      </c>
      <c r="EV110" t="s">
        <v>1309</v>
      </c>
      <c r="EW110" t="s">
        <v>1309</v>
      </c>
      <c r="EX110" t="s">
        <v>1309</v>
      </c>
      <c r="EY110" t="s">
        <v>1309</v>
      </c>
      <c r="EZ110" t="s">
        <v>1309</v>
      </c>
      <c r="FA110" t="s">
        <v>1309</v>
      </c>
      <c r="FB110" t="s">
        <v>1309</v>
      </c>
      <c r="FC110" t="s">
        <v>1310</v>
      </c>
      <c r="FD110" t="s">
        <v>1309</v>
      </c>
      <c r="FE110" t="s">
        <v>1309</v>
      </c>
      <c r="FF110" t="s">
        <v>1309</v>
      </c>
      <c r="FG110" t="s">
        <v>1309</v>
      </c>
      <c r="FH110" t="s">
        <v>1310</v>
      </c>
      <c r="FI110" t="s">
        <v>1309</v>
      </c>
      <c r="FJ110" t="s">
        <v>1309</v>
      </c>
      <c r="FK110" t="s">
        <v>1309</v>
      </c>
      <c r="FL110" t="s">
        <v>1309</v>
      </c>
      <c r="FN110" t="s">
        <v>1319</v>
      </c>
      <c r="FO110" t="s">
        <v>2861</v>
      </c>
      <c r="FP110" t="s">
        <v>1309</v>
      </c>
      <c r="FQ110" t="s">
        <v>1309</v>
      </c>
      <c r="FR110" t="s">
        <v>1309</v>
      </c>
      <c r="FS110" t="s">
        <v>1309</v>
      </c>
      <c r="FT110" t="s">
        <v>1310</v>
      </c>
      <c r="FU110" t="s">
        <v>1309</v>
      </c>
      <c r="FV110" t="s">
        <v>1309</v>
      </c>
      <c r="FW110" t="s">
        <v>1309</v>
      </c>
      <c r="FX110" t="s">
        <v>1309</v>
      </c>
      <c r="FY110" t="s">
        <v>1309</v>
      </c>
      <c r="FZ110" t="s">
        <v>1309</v>
      </c>
      <c r="GA110" t="s">
        <v>1309</v>
      </c>
      <c r="GC110" t="s">
        <v>1324</v>
      </c>
      <c r="GD110" t="s">
        <v>1324</v>
      </c>
      <c r="GN110" t="s">
        <v>1364</v>
      </c>
      <c r="HB110" t="s">
        <v>1319</v>
      </c>
      <c r="HC110" t="s">
        <v>2162</v>
      </c>
      <c r="HD110" t="s">
        <v>1309</v>
      </c>
      <c r="HE110" t="s">
        <v>1309</v>
      </c>
      <c r="HF110" t="s">
        <v>1309</v>
      </c>
      <c r="HG110" t="s">
        <v>1310</v>
      </c>
      <c r="HH110" t="s">
        <v>1309</v>
      </c>
      <c r="HI110" t="s">
        <v>1309</v>
      </c>
      <c r="HJ110" t="s">
        <v>1309</v>
      </c>
      <c r="HK110" t="s">
        <v>1309</v>
      </c>
      <c r="HL110" t="s">
        <v>1309</v>
      </c>
      <c r="HM110" t="s">
        <v>1309</v>
      </c>
      <c r="HN110" t="s">
        <v>1309</v>
      </c>
      <c r="HO110" t="s">
        <v>1309</v>
      </c>
      <c r="HP110" t="s">
        <v>1309</v>
      </c>
      <c r="HR110" t="s">
        <v>1523</v>
      </c>
      <c r="HS110" t="s">
        <v>1309</v>
      </c>
      <c r="HT110" t="s">
        <v>1309</v>
      </c>
      <c r="HU110" t="s">
        <v>1309</v>
      </c>
      <c r="HV110" t="s">
        <v>1310</v>
      </c>
      <c r="HW110" t="s">
        <v>1309</v>
      </c>
      <c r="HX110" t="s">
        <v>1309</v>
      </c>
      <c r="HY110" t="s">
        <v>1309</v>
      </c>
      <c r="HZ110" t="s">
        <v>1309</v>
      </c>
      <c r="IB110" s="92" t="s">
        <v>1333</v>
      </c>
      <c r="IC110" s="92" t="s">
        <v>1334</v>
      </c>
      <c r="ID110" s="92">
        <v>22</v>
      </c>
      <c r="IE110" s="92" t="s">
        <v>1307</v>
      </c>
      <c r="IF110" s="92" t="s">
        <v>4398</v>
      </c>
      <c r="IG110" s="92" t="s">
        <v>1336</v>
      </c>
      <c r="IH110" s="92" t="s">
        <v>1296</v>
      </c>
      <c r="II110" s="92" t="s">
        <v>71</v>
      </c>
      <c r="IJ110" s="92" t="s">
        <v>5549</v>
      </c>
      <c r="IK110" s="92" t="s">
        <v>1398</v>
      </c>
      <c r="IL110" s="92" t="s">
        <v>4844</v>
      </c>
      <c r="IM110" s="92" t="s">
        <v>1338</v>
      </c>
      <c r="IN110" s="92" t="s">
        <v>109</v>
      </c>
      <c r="IO110" s="92" t="s">
        <v>4844</v>
      </c>
      <c r="IP110" s="92" t="s">
        <v>1371</v>
      </c>
      <c r="IQ110" s="92">
        <v>1200</v>
      </c>
      <c r="IR110" s="92" t="s">
        <v>1372</v>
      </c>
      <c r="IS110" s="92" t="s">
        <v>192</v>
      </c>
      <c r="IT110" s="92" t="s">
        <v>192</v>
      </c>
      <c r="IU110" s="92" t="s">
        <v>192</v>
      </c>
      <c r="IV110" s="92" t="s">
        <v>192</v>
      </c>
      <c r="IW110" s="92" t="s">
        <v>1440</v>
      </c>
      <c r="IX110" s="92">
        <v>1850</v>
      </c>
      <c r="IY110" s="92" t="s">
        <v>4438</v>
      </c>
      <c r="IZ110" s="92" t="s">
        <v>1440</v>
      </c>
      <c r="JA110" s="92" t="s">
        <v>1342</v>
      </c>
      <c r="JB110" s="92" t="s">
        <v>192</v>
      </c>
      <c r="JC110" s="92" t="s">
        <v>5795</v>
      </c>
      <c r="JD110" s="92" t="s">
        <v>109</v>
      </c>
      <c r="JE110" s="92" t="s">
        <v>109</v>
      </c>
      <c r="JF110" s="92" t="s">
        <v>4438</v>
      </c>
      <c r="JG110" s="92" t="s">
        <v>4438</v>
      </c>
      <c r="JH110" s="92" t="s">
        <v>109</v>
      </c>
      <c r="JI110" s="92" t="s">
        <v>109</v>
      </c>
    </row>
    <row r="111" spans="1:269" x14ac:dyDescent="0.25">
      <c r="A111" t="s">
        <v>3230</v>
      </c>
      <c r="B111" t="s">
        <v>3231</v>
      </c>
      <c r="C111" t="s">
        <v>1305</v>
      </c>
      <c r="D111" t="s">
        <v>1306</v>
      </c>
      <c r="F111" t="s">
        <v>1307</v>
      </c>
      <c r="G111" t="s">
        <v>1319</v>
      </c>
      <c r="H111">
        <v>3</v>
      </c>
      <c r="I111" t="s">
        <v>1307</v>
      </c>
      <c r="J111" t="s">
        <v>1406</v>
      </c>
      <c r="K111" t="s">
        <v>1309</v>
      </c>
      <c r="L111" t="s">
        <v>1310</v>
      </c>
      <c r="M111" t="s">
        <v>1309</v>
      </c>
      <c r="N111" t="s">
        <v>1309</v>
      </c>
      <c r="O111" t="s">
        <v>1309</v>
      </c>
      <c r="P111" t="s">
        <v>1309</v>
      </c>
      <c r="Q111" t="s">
        <v>1309</v>
      </c>
      <c r="R111" t="s">
        <v>1309</v>
      </c>
      <c r="S111">
        <v>1</v>
      </c>
      <c r="U111" t="s">
        <v>1312</v>
      </c>
      <c r="V111" t="s">
        <v>1312</v>
      </c>
      <c r="W111" t="s">
        <v>1312</v>
      </c>
      <c r="X111" t="s">
        <v>1312</v>
      </c>
      <c r="Y111" t="s">
        <v>1312</v>
      </c>
      <c r="Z111" t="s">
        <v>1312</v>
      </c>
      <c r="AC111">
        <v>2</v>
      </c>
      <c r="AD111">
        <v>18000</v>
      </c>
      <c r="AE111">
        <v>19000</v>
      </c>
      <c r="AF111" t="s">
        <v>1313</v>
      </c>
      <c r="AH111" t="s">
        <v>1319</v>
      </c>
      <c r="AI111" t="s">
        <v>4876</v>
      </c>
      <c r="AK111" t="s">
        <v>1319</v>
      </c>
      <c r="AL111" t="s">
        <v>1315</v>
      </c>
      <c r="AN111" t="s">
        <v>1316</v>
      </c>
      <c r="BU111" t="s">
        <v>2853</v>
      </c>
      <c r="BV111" t="s">
        <v>1310</v>
      </c>
      <c r="BW111" t="s">
        <v>1309</v>
      </c>
      <c r="BX111" t="s">
        <v>1309</v>
      </c>
      <c r="BY111" t="s">
        <v>1309</v>
      </c>
      <c r="BZ111" t="s">
        <v>1309</v>
      </c>
      <c r="CA111" t="s">
        <v>1309</v>
      </c>
      <c r="CB111" t="s">
        <v>1309</v>
      </c>
      <c r="CC111" t="s">
        <v>1309</v>
      </c>
      <c r="CD111" t="s">
        <v>1309</v>
      </c>
      <c r="CE111" t="s">
        <v>1309</v>
      </c>
      <c r="CX111" t="s">
        <v>1384</v>
      </c>
      <c r="CY111" t="s">
        <v>1310</v>
      </c>
      <c r="CZ111" t="s">
        <v>1309</v>
      </c>
      <c r="DA111" t="s">
        <v>1309</v>
      </c>
      <c r="DB111" t="s">
        <v>1309</v>
      </c>
      <c r="DC111" t="s">
        <v>1309</v>
      </c>
      <c r="DD111" t="s">
        <v>1309</v>
      </c>
      <c r="DE111" t="s">
        <v>1309</v>
      </c>
      <c r="DF111" t="s">
        <v>1309</v>
      </c>
      <c r="DG111" t="s">
        <v>1309</v>
      </c>
      <c r="DH111" t="s">
        <v>1309</v>
      </c>
      <c r="DI111" t="s">
        <v>1309</v>
      </c>
      <c r="DJ111" t="s">
        <v>1309</v>
      </c>
      <c r="DK111" t="s">
        <v>1309</v>
      </c>
      <c r="DM111" t="s">
        <v>4435</v>
      </c>
      <c r="DO111" t="s">
        <v>1308</v>
      </c>
      <c r="DP111" t="s">
        <v>1310</v>
      </c>
      <c r="DQ111" t="s">
        <v>1309</v>
      </c>
      <c r="DR111" t="s">
        <v>1309</v>
      </c>
      <c r="DS111" t="s">
        <v>1309</v>
      </c>
      <c r="DT111" t="s">
        <v>1309</v>
      </c>
      <c r="DU111" t="s">
        <v>1309</v>
      </c>
      <c r="DV111" t="s">
        <v>1309</v>
      </c>
      <c r="DX111" t="s">
        <v>1358</v>
      </c>
      <c r="DY111" t="s">
        <v>1319</v>
      </c>
      <c r="EC111" t="s">
        <v>1358</v>
      </c>
      <c r="ED111">
        <v>150</v>
      </c>
      <c r="EE111">
        <v>2500</v>
      </c>
      <c r="EF111">
        <v>800</v>
      </c>
      <c r="EG111" t="s">
        <v>1703</v>
      </c>
      <c r="EH111" t="s">
        <v>1310</v>
      </c>
      <c r="EI111" t="s">
        <v>1309</v>
      </c>
      <c r="EJ111" t="s">
        <v>1309</v>
      </c>
      <c r="EK111" t="s">
        <v>1309</v>
      </c>
      <c r="EL111" t="s">
        <v>1309</v>
      </c>
      <c r="EM111" t="s">
        <v>1309</v>
      </c>
      <c r="EN111" t="s">
        <v>1309</v>
      </c>
      <c r="EO111" t="s">
        <v>1309</v>
      </c>
      <c r="EQ111" t="s">
        <v>1307</v>
      </c>
      <c r="ER111" t="s">
        <v>1319</v>
      </c>
      <c r="ES111" t="s">
        <v>1307</v>
      </c>
      <c r="EU111" t="s">
        <v>2136</v>
      </c>
      <c r="EV111" t="s">
        <v>1309</v>
      </c>
      <c r="EW111" t="s">
        <v>1309</v>
      </c>
      <c r="EX111" t="s">
        <v>1309</v>
      </c>
      <c r="EY111" t="s">
        <v>1309</v>
      </c>
      <c r="EZ111" t="s">
        <v>1309</v>
      </c>
      <c r="FA111" t="s">
        <v>1309</v>
      </c>
      <c r="FB111" t="s">
        <v>1310</v>
      </c>
      <c r="FC111" t="s">
        <v>1310</v>
      </c>
      <c r="FD111" t="s">
        <v>1309</v>
      </c>
      <c r="FE111" t="s">
        <v>1309</v>
      </c>
      <c r="FF111" t="s">
        <v>1309</v>
      </c>
      <c r="FG111" t="s">
        <v>1309</v>
      </c>
      <c r="FH111" t="s">
        <v>1310</v>
      </c>
      <c r="FI111" t="s">
        <v>1309</v>
      </c>
      <c r="FJ111" t="s">
        <v>1309</v>
      </c>
      <c r="FK111" t="s">
        <v>1309</v>
      </c>
      <c r="FL111" t="s">
        <v>1309</v>
      </c>
      <c r="FN111" t="s">
        <v>1307</v>
      </c>
      <c r="GC111" t="s">
        <v>1324</v>
      </c>
      <c r="GD111" t="s">
        <v>1324</v>
      </c>
      <c r="GN111" t="s">
        <v>1364</v>
      </c>
      <c r="HB111" t="s">
        <v>1307</v>
      </c>
      <c r="HR111" t="s">
        <v>1414</v>
      </c>
      <c r="HS111" t="s">
        <v>1309</v>
      </c>
      <c r="HT111" t="s">
        <v>1309</v>
      </c>
      <c r="HU111" t="s">
        <v>1309</v>
      </c>
      <c r="HV111" t="s">
        <v>1309</v>
      </c>
      <c r="HW111" t="s">
        <v>1309</v>
      </c>
      <c r="HX111" t="s">
        <v>1309</v>
      </c>
      <c r="HY111" t="s">
        <v>1310</v>
      </c>
      <c r="HZ111" t="s">
        <v>1309</v>
      </c>
      <c r="IB111" s="92" t="s">
        <v>1333</v>
      </c>
      <c r="IC111" s="92" t="s">
        <v>1334</v>
      </c>
      <c r="ID111" s="92">
        <v>33</v>
      </c>
      <c r="IE111" s="92" t="s">
        <v>1307</v>
      </c>
      <c r="IF111" s="92" t="s">
        <v>4396</v>
      </c>
      <c r="IG111" s="92" t="s">
        <v>1336</v>
      </c>
      <c r="IH111" s="92" t="s">
        <v>1296</v>
      </c>
      <c r="II111" s="92" t="s">
        <v>71</v>
      </c>
      <c r="IJ111" s="92" t="s">
        <v>5549</v>
      </c>
      <c r="IK111" s="92" t="s">
        <v>1398</v>
      </c>
      <c r="IL111" s="92" t="s">
        <v>4845</v>
      </c>
      <c r="IM111" s="92" t="s">
        <v>1415</v>
      </c>
      <c r="IN111" s="92" t="s">
        <v>109</v>
      </c>
      <c r="IO111" s="92" t="s">
        <v>4847</v>
      </c>
      <c r="IP111" s="92" t="s">
        <v>1452</v>
      </c>
      <c r="IQ111" s="92">
        <v>0</v>
      </c>
      <c r="IR111" s="92" t="s">
        <v>1372</v>
      </c>
      <c r="IS111" s="92" t="s">
        <v>109</v>
      </c>
      <c r="IT111" s="92" t="s">
        <v>109</v>
      </c>
      <c r="IU111" s="92" t="s">
        <v>192</v>
      </c>
      <c r="IV111" s="92" t="s">
        <v>192</v>
      </c>
      <c r="IW111" s="92" t="s">
        <v>1373</v>
      </c>
      <c r="IX111" s="92">
        <v>3450</v>
      </c>
      <c r="IY111" s="92" t="s">
        <v>4438</v>
      </c>
      <c r="IZ111" s="92" t="s">
        <v>1341</v>
      </c>
      <c r="JA111" s="92" t="s">
        <v>1342</v>
      </c>
      <c r="JB111" s="92" t="s">
        <v>192</v>
      </c>
      <c r="JC111" s="92" t="s">
        <v>5795</v>
      </c>
      <c r="JD111" s="92" t="s">
        <v>109</v>
      </c>
      <c r="JE111" s="92" t="s">
        <v>109</v>
      </c>
      <c r="JF111" s="92" t="s">
        <v>1372</v>
      </c>
      <c r="JG111" s="92" t="s">
        <v>4438</v>
      </c>
      <c r="JH111" s="92" t="s">
        <v>192</v>
      </c>
      <c r="JI111" s="92" t="s">
        <v>192</v>
      </c>
    </row>
    <row r="112" spans="1:269" x14ac:dyDescent="0.25">
      <c r="A112" t="s">
        <v>3232</v>
      </c>
      <c r="B112" t="s">
        <v>3233</v>
      </c>
      <c r="C112" t="s">
        <v>1305</v>
      </c>
      <c r="D112" t="s">
        <v>1306</v>
      </c>
      <c r="F112" t="s">
        <v>1307</v>
      </c>
      <c r="G112" t="s">
        <v>1319</v>
      </c>
      <c r="H112">
        <v>4</v>
      </c>
      <c r="I112" t="s">
        <v>1307</v>
      </c>
      <c r="J112" t="s">
        <v>1548</v>
      </c>
      <c r="K112" t="s">
        <v>1309</v>
      </c>
      <c r="L112" t="s">
        <v>1309</v>
      </c>
      <c r="M112" t="s">
        <v>1310</v>
      </c>
      <c r="N112" t="s">
        <v>1310</v>
      </c>
      <c r="O112" t="s">
        <v>1309</v>
      </c>
      <c r="P112" t="s">
        <v>1309</v>
      </c>
      <c r="Q112" t="s">
        <v>1309</v>
      </c>
      <c r="R112" t="s">
        <v>1309</v>
      </c>
      <c r="T112">
        <v>1</v>
      </c>
      <c r="U112" t="s">
        <v>1312</v>
      </c>
      <c r="V112" t="s">
        <v>1312</v>
      </c>
      <c r="W112" t="s">
        <v>1486</v>
      </c>
      <c r="X112" t="s">
        <v>1312</v>
      </c>
      <c r="Y112" t="s">
        <v>1311</v>
      </c>
      <c r="Z112" t="s">
        <v>1312</v>
      </c>
      <c r="AA112">
        <v>1</v>
      </c>
      <c r="AB112">
        <v>1</v>
      </c>
      <c r="AC112">
        <v>4</v>
      </c>
      <c r="AD112">
        <v>40000</v>
      </c>
      <c r="AE112">
        <v>30000</v>
      </c>
      <c r="AF112" t="s">
        <v>1351</v>
      </c>
      <c r="AH112" t="s">
        <v>1319</v>
      </c>
      <c r="AI112" t="s">
        <v>4880</v>
      </c>
      <c r="AK112" t="s">
        <v>1319</v>
      </c>
      <c r="AL112" t="s">
        <v>1315</v>
      </c>
      <c r="AN112" t="s">
        <v>1316</v>
      </c>
      <c r="BU112" t="s">
        <v>2853</v>
      </c>
      <c r="BV112" t="s">
        <v>1310</v>
      </c>
      <c r="BW112" t="s">
        <v>1309</v>
      </c>
      <c r="BX112" t="s">
        <v>1309</v>
      </c>
      <c r="BY112" t="s">
        <v>1309</v>
      </c>
      <c r="BZ112" t="s">
        <v>1309</v>
      </c>
      <c r="CA112" t="s">
        <v>1309</v>
      </c>
      <c r="CB112" t="s">
        <v>1309</v>
      </c>
      <c r="CC112" t="s">
        <v>1309</v>
      </c>
      <c r="CD112" t="s">
        <v>1309</v>
      </c>
      <c r="CE112" t="s">
        <v>1309</v>
      </c>
      <c r="CX112" t="s">
        <v>2941</v>
      </c>
      <c r="CY112" t="s">
        <v>1310</v>
      </c>
      <c r="CZ112" t="s">
        <v>1309</v>
      </c>
      <c r="DA112" t="s">
        <v>1309</v>
      </c>
      <c r="DB112" t="s">
        <v>1309</v>
      </c>
      <c r="DC112" t="s">
        <v>1309</v>
      </c>
      <c r="DD112" t="s">
        <v>1310</v>
      </c>
      <c r="DE112" t="s">
        <v>1309</v>
      </c>
      <c r="DF112" t="s">
        <v>1309</v>
      </c>
      <c r="DG112" t="s">
        <v>1309</v>
      </c>
      <c r="DH112" t="s">
        <v>1310</v>
      </c>
      <c r="DI112" t="s">
        <v>1309</v>
      </c>
      <c r="DJ112" t="s">
        <v>1309</v>
      </c>
      <c r="DK112" t="s">
        <v>1309</v>
      </c>
      <c r="DM112" t="s">
        <v>4434</v>
      </c>
      <c r="DO112" t="s">
        <v>1357</v>
      </c>
      <c r="DP112" t="s">
        <v>1309</v>
      </c>
      <c r="DQ112" t="s">
        <v>1309</v>
      </c>
      <c r="DR112" t="s">
        <v>1309</v>
      </c>
      <c r="DS112" t="s">
        <v>1309</v>
      </c>
      <c r="DT112" t="s">
        <v>1310</v>
      </c>
      <c r="DU112" t="s">
        <v>1309</v>
      </c>
      <c r="DV112" t="s">
        <v>1309</v>
      </c>
      <c r="DX112" t="s">
        <v>1358</v>
      </c>
      <c r="DZ112">
        <v>3700</v>
      </c>
      <c r="EB112">
        <v>900</v>
      </c>
      <c r="EC112" t="s">
        <v>1358</v>
      </c>
      <c r="ED112">
        <v>4500</v>
      </c>
      <c r="EF112">
        <v>1100</v>
      </c>
      <c r="EG112" t="s">
        <v>1703</v>
      </c>
      <c r="EH112" t="s">
        <v>1310</v>
      </c>
      <c r="EI112" t="s">
        <v>1309</v>
      </c>
      <c r="EJ112" t="s">
        <v>1309</v>
      </c>
      <c r="EK112" t="s">
        <v>1309</v>
      </c>
      <c r="EL112" t="s">
        <v>1309</v>
      </c>
      <c r="EM112" t="s">
        <v>1309</v>
      </c>
      <c r="EN112" t="s">
        <v>1309</v>
      </c>
      <c r="EO112" t="s">
        <v>1309</v>
      </c>
      <c r="EQ112" t="s">
        <v>1319</v>
      </c>
      <c r="ER112" t="s">
        <v>1319</v>
      </c>
      <c r="ES112" t="s">
        <v>1319</v>
      </c>
      <c r="EU112" t="s">
        <v>3234</v>
      </c>
      <c r="EV112" t="s">
        <v>1310</v>
      </c>
      <c r="EW112" t="s">
        <v>1309</v>
      </c>
      <c r="EX112" t="s">
        <v>1309</v>
      </c>
      <c r="EY112" t="s">
        <v>1309</v>
      </c>
      <c r="EZ112" t="s">
        <v>1309</v>
      </c>
      <c r="FA112" t="s">
        <v>1310</v>
      </c>
      <c r="FB112" t="s">
        <v>1310</v>
      </c>
      <c r="FC112" t="s">
        <v>1310</v>
      </c>
      <c r="FD112" t="s">
        <v>1309</v>
      </c>
      <c r="FE112" t="s">
        <v>1309</v>
      </c>
      <c r="FF112" t="s">
        <v>1309</v>
      </c>
      <c r="FG112" t="s">
        <v>1310</v>
      </c>
      <c r="FH112" t="s">
        <v>1309</v>
      </c>
      <c r="FI112" t="s">
        <v>1309</v>
      </c>
      <c r="FJ112" t="s">
        <v>1309</v>
      </c>
      <c r="FK112" t="s">
        <v>1309</v>
      </c>
      <c r="FL112" t="s">
        <v>1309</v>
      </c>
      <c r="FN112" t="s">
        <v>1307</v>
      </c>
      <c r="GC112" t="s">
        <v>1324</v>
      </c>
      <c r="GD112" t="s">
        <v>1324</v>
      </c>
      <c r="GN112" t="s">
        <v>1364</v>
      </c>
      <c r="HB112" t="s">
        <v>1319</v>
      </c>
      <c r="HC112" t="s">
        <v>3235</v>
      </c>
      <c r="HD112" t="s">
        <v>1309</v>
      </c>
      <c r="HE112" t="s">
        <v>1310</v>
      </c>
      <c r="HF112" t="s">
        <v>1309</v>
      </c>
      <c r="HG112" t="s">
        <v>1309</v>
      </c>
      <c r="HH112" t="s">
        <v>1309</v>
      </c>
      <c r="HI112" t="s">
        <v>1309</v>
      </c>
      <c r="HJ112" t="s">
        <v>1309</v>
      </c>
      <c r="HK112" t="s">
        <v>1310</v>
      </c>
      <c r="HL112" t="s">
        <v>1309</v>
      </c>
      <c r="HM112" t="s">
        <v>1309</v>
      </c>
      <c r="HN112" t="s">
        <v>1309</v>
      </c>
      <c r="HO112" t="s">
        <v>1309</v>
      </c>
      <c r="HP112" t="s">
        <v>1309</v>
      </c>
      <c r="HR112" t="s">
        <v>3236</v>
      </c>
      <c r="HS112" t="s">
        <v>1310</v>
      </c>
      <c r="HT112" t="s">
        <v>1310</v>
      </c>
      <c r="HU112" t="s">
        <v>1310</v>
      </c>
      <c r="HV112" t="s">
        <v>1310</v>
      </c>
      <c r="HW112" t="s">
        <v>1309</v>
      </c>
      <c r="HX112" t="s">
        <v>1309</v>
      </c>
      <c r="HY112" t="s">
        <v>1309</v>
      </c>
      <c r="HZ112" t="s">
        <v>1309</v>
      </c>
      <c r="IB112" s="92" t="s">
        <v>1333</v>
      </c>
      <c r="IC112" s="92" t="s">
        <v>1334</v>
      </c>
      <c r="ID112" s="92">
        <v>44</v>
      </c>
      <c r="IE112" s="92" t="s">
        <v>1307</v>
      </c>
      <c r="IF112" s="92" t="s">
        <v>4396</v>
      </c>
      <c r="IG112" s="92" t="s">
        <v>1336</v>
      </c>
      <c r="IH112" s="92" t="s">
        <v>1296</v>
      </c>
      <c r="II112" s="92" t="s">
        <v>71</v>
      </c>
      <c r="IJ112" s="92" t="s">
        <v>5549</v>
      </c>
      <c r="IK112" s="92" t="s">
        <v>1337</v>
      </c>
      <c r="IL112" s="92" t="s">
        <v>4845</v>
      </c>
      <c r="IM112" s="92" t="s">
        <v>1439</v>
      </c>
      <c r="IN112" s="92" t="s">
        <v>192</v>
      </c>
      <c r="IO112" s="92" t="s">
        <v>4848</v>
      </c>
      <c r="IP112" s="92" t="s">
        <v>1416</v>
      </c>
      <c r="IQ112" s="92">
        <v>4600</v>
      </c>
      <c r="IR112" s="92" t="s">
        <v>4438</v>
      </c>
      <c r="IS112" s="92" t="s">
        <v>192</v>
      </c>
      <c r="IT112" s="92" t="s">
        <v>109</v>
      </c>
      <c r="IU112" s="92" t="s">
        <v>192</v>
      </c>
      <c r="IV112" s="92" t="s">
        <v>109</v>
      </c>
      <c r="IW112" s="92" t="s">
        <v>1341</v>
      </c>
      <c r="IX112" s="92">
        <v>5600</v>
      </c>
      <c r="IY112" s="92" t="s">
        <v>4438</v>
      </c>
      <c r="IZ112" s="92" t="s">
        <v>1341</v>
      </c>
      <c r="JA112" s="92" t="s">
        <v>1375</v>
      </c>
      <c r="JB112" s="92" t="s">
        <v>192</v>
      </c>
      <c r="JC112" s="92" t="s">
        <v>5795</v>
      </c>
      <c r="JD112" s="92" t="s">
        <v>192</v>
      </c>
      <c r="JE112" s="92" t="s">
        <v>192</v>
      </c>
      <c r="JF112" s="92" t="s">
        <v>4438</v>
      </c>
      <c r="JG112" s="92" t="s">
        <v>4438</v>
      </c>
      <c r="JH112" s="92" t="s">
        <v>109</v>
      </c>
      <c r="JI112" s="92" t="s">
        <v>109</v>
      </c>
    </row>
    <row r="113" spans="1:269" x14ac:dyDescent="0.25">
      <c r="A113" t="s">
        <v>3237</v>
      </c>
      <c r="B113" t="s">
        <v>3238</v>
      </c>
      <c r="C113" t="s">
        <v>1305</v>
      </c>
      <c r="D113" t="s">
        <v>1306</v>
      </c>
      <c r="F113" t="s">
        <v>1307</v>
      </c>
      <c r="G113" t="s">
        <v>1319</v>
      </c>
      <c r="H113">
        <v>1</v>
      </c>
      <c r="J113" t="s">
        <v>1308</v>
      </c>
      <c r="K113" t="s">
        <v>1309</v>
      </c>
      <c r="L113" t="s">
        <v>1309</v>
      </c>
      <c r="M113" t="s">
        <v>1309</v>
      </c>
      <c r="N113" t="s">
        <v>1309</v>
      </c>
      <c r="O113" t="s">
        <v>1309</v>
      </c>
      <c r="P113" t="s">
        <v>1309</v>
      </c>
      <c r="Q113" t="s">
        <v>1310</v>
      </c>
      <c r="R113" t="s">
        <v>1309</v>
      </c>
      <c r="U113" t="s">
        <v>1312</v>
      </c>
      <c r="V113" t="s">
        <v>1312</v>
      </c>
      <c r="W113" t="s">
        <v>1312</v>
      </c>
      <c r="X113" t="s">
        <v>1312</v>
      </c>
      <c r="Y113" t="s">
        <v>1312</v>
      </c>
      <c r="Z113" t="s">
        <v>1312</v>
      </c>
      <c r="AC113">
        <v>1</v>
      </c>
      <c r="AD113">
        <v>14000</v>
      </c>
      <c r="AE113">
        <v>12000</v>
      </c>
      <c r="AF113" t="s">
        <v>1313</v>
      </c>
      <c r="AH113" t="s">
        <v>1319</v>
      </c>
      <c r="AI113" t="s">
        <v>4876</v>
      </c>
      <c r="AK113" t="s">
        <v>1307</v>
      </c>
      <c r="CG113" t="s">
        <v>2853</v>
      </c>
      <c r="CH113" t="s">
        <v>1309</v>
      </c>
      <c r="CI113" t="s">
        <v>1309</v>
      </c>
      <c r="CJ113" t="s">
        <v>1309</v>
      </c>
      <c r="CK113" t="s">
        <v>1310</v>
      </c>
      <c r="CL113" t="s">
        <v>1309</v>
      </c>
      <c r="CM113" t="s">
        <v>1309</v>
      </c>
      <c r="CN113" t="s">
        <v>1309</v>
      </c>
      <c r="CO113" t="s">
        <v>1309</v>
      </c>
      <c r="CP113" t="s">
        <v>1309</v>
      </c>
      <c r="CQ113" t="s">
        <v>1309</v>
      </c>
      <c r="CR113" t="s">
        <v>1309</v>
      </c>
      <c r="CS113" t="s">
        <v>1309</v>
      </c>
      <c r="CT113" t="s">
        <v>1309</v>
      </c>
      <c r="CU113" t="s">
        <v>1309</v>
      </c>
      <c r="CV113" t="s">
        <v>1309</v>
      </c>
      <c r="CX113" t="s">
        <v>1702</v>
      </c>
      <c r="CY113" t="s">
        <v>1310</v>
      </c>
      <c r="CZ113" t="s">
        <v>1309</v>
      </c>
      <c r="DA113" t="s">
        <v>1309</v>
      </c>
      <c r="DB113" t="s">
        <v>1309</v>
      </c>
      <c r="DC113" t="s">
        <v>1309</v>
      </c>
      <c r="DD113" t="s">
        <v>1309</v>
      </c>
      <c r="DE113" t="s">
        <v>1309</v>
      </c>
      <c r="DF113" t="s">
        <v>1309</v>
      </c>
      <c r="DG113" t="s">
        <v>1309</v>
      </c>
      <c r="DH113" t="s">
        <v>1310</v>
      </c>
      <c r="DI113" t="s">
        <v>1309</v>
      </c>
      <c r="DJ113" t="s">
        <v>1309</v>
      </c>
      <c r="DK113" t="s">
        <v>1309</v>
      </c>
      <c r="DM113" t="s">
        <v>4434</v>
      </c>
      <c r="DO113" t="s">
        <v>1357</v>
      </c>
      <c r="DP113" t="s">
        <v>1309</v>
      </c>
      <c r="DQ113" t="s">
        <v>1309</v>
      </c>
      <c r="DR113" t="s">
        <v>1309</v>
      </c>
      <c r="DS113" t="s">
        <v>1309</v>
      </c>
      <c r="DT113" t="s">
        <v>1310</v>
      </c>
      <c r="DU113" t="s">
        <v>1309</v>
      </c>
      <c r="DV113" t="s">
        <v>1309</v>
      </c>
      <c r="DX113" t="s">
        <v>1318</v>
      </c>
      <c r="DZ113">
        <v>1200</v>
      </c>
      <c r="EB113">
        <v>500</v>
      </c>
      <c r="EC113" t="s">
        <v>1318</v>
      </c>
      <c r="ED113">
        <v>2500</v>
      </c>
      <c r="EF113">
        <v>950</v>
      </c>
      <c r="EG113" t="s">
        <v>2911</v>
      </c>
      <c r="EH113" t="s">
        <v>1310</v>
      </c>
      <c r="EI113" t="s">
        <v>1309</v>
      </c>
      <c r="EJ113" t="s">
        <v>1309</v>
      </c>
      <c r="EK113" t="s">
        <v>1310</v>
      </c>
      <c r="EL113" t="s">
        <v>1309</v>
      </c>
      <c r="EM113" t="s">
        <v>1309</v>
      </c>
      <c r="EN113" t="s">
        <v>1309</v>
      </c>
      <c r="EO113" t="s">
        <v>1309</v>
      </c>
      <c r="EQ113" t="s">
        <v>1307</v>
      </c>
      <c r="ER113" t="s">
        <v>1319</v>
      </c>
      <c r="ES113" t="s">
        <v>1319</v>
      </c>
      <c r="EU113" t="s">
        <v>2326</v>
      </c>
      <c r="EV113" t="s">
        <v>1310</v>
      </c>
      <c r="EW113" t="s">
        <v>1309</v>
      </c>
      <c r="EX113" t="s">
        <v>1309</v>
      </c>
      <c r="EY113" t="s">
        <v>1309</v>
      </c>
      <c r="EZ113" t="s">
        <v>1309</v>
      </c>
      <c r="FA113" t="s">
        <v>1309</v>
      </c>
      <c r="FB113" t="s">
        <v>1309</v>
      </c>
      <c r="FC113" t="s">
        <v>1310</v>
      </c>
      <c r="FD113" t="s">
        <v>1309</v>
      </c>
      <c r="FE113" t="s">
        <v>1309</v>
      </c>
      <c r="FF113" t="s">
        <v>1309</v>
      </c>
      <c r="FG113" t="s">
        <v>1309</v>
      </c>
      <c r="FH113" t="s">
        <v>1309</v>
      </c>
      <c r="FI113" t="s">
        <v>1309</v>
      </c>
      <c r="FJ113" t="s">
        <v>1309</v>
      </c>
      <c r="FK113" t="s">
        <v>1309</v>
      </c>
      <c r="FL113" t="s">
        <v>1309</v>
      </c>
      <c r="FN113" t="s">
        <v>1319</v>
      </c>
      <c r="FO113" t="s">
        <v>3239</v>
      </c>
      <c r="FP113" t="s">
        <v>1309</v>
      </c>
      <c r="FQ113" t="s">
        <v>1309</v>
      </c>
      <c r="FR113" t="s">
        <v>1309</v>
      </c>
      <c r="FS113" t="s">
        <v>1309</v>
      </c>
      <c r="FT113" t="s">
        <v>1309</v>
      </c>
      <c r="FU113" t="s">
        <v>1309</v>
      </c>
      <c r="FV113" t="s">
        <v>1309</v>
      </c>
      <c r="FW113" t="s">
        <v>1310</v>
      </c>
      <c r="FX113" t="s">
        <v>1309</v>
      </c>
      <c r="FY113" t="s">
        <v>1309</v>
      </c>
      <c r="FZ113" t="s">
        <v>1309</v>
      </c>
      <c r="GA113" t="s">
        <v>1309</v>
      </c>
      <c r="GC113" t="s">
        <v>1436</v>
      </c>
      <c r="GD113" t="s">
        <v>1436</v>
      </c>
      <c r="GE113" t="s">
        <v>1307</v>
      </c>
      <c r="GN113" t="s">
        <v>1364</v>
      </c>
      <c r="HB113" t="s">
        <v>1307</v>
      </c>
      <c r="HR113" t="s">
        <v>1414</v>
      </c>
      <c r="HS113" t="s">
        <v>1309</v>
      </c>
      <c r="HT113" t="s">
        <v>1309</v>
      </c>
      <c r="HU113" t="s">
        <v>1309</v>
      </c>
      <c r="HV113" t="s">
        <v>1309</v>
      </c>
      <c r="HW113" t="s">
        <v>1309</v>
      </c>
      <c r="HX113" t="s">
        <v>1309</v>
      </c>
      <c r="HY113" t="s">
        <v>1310</v>
      </c>
      <c r="HZ113" t="s">
        <v>1309</v>
      </c>
      <c r="IB113" s="92" t="s">
        <v>1333</v>
      </c>
      <c r="IC113" s="92" t="s">
        <v>1334</v>
      </c>
      <c r="ID113" s="92">
        <v>39</v>
      </c>
      <c r="IE113" s="92" t="s">
        <v>1307</v>
      </c>
      <c r="IF113" s="92" t="s">
        <v>4396</v>
      </c>
      <c r="IG113" s="92" t="s">
        <v>1336</v>
      </c>
      <c r="IH113" s="92" t="s">
        <v>1296</v>
      </c>
      <c r="II113" s="92" t="s">
        <v>71</v>
      </c>
      <c r="IJ113" s="92" t="s">
        <v>5549</v>
      </c>
      <c r="IK113" s="92" t="s">
        <v>1337</v>
      </c>
      <c r="IL113" s="92" t="s">
        <v>4844</v>
      </c>
      <c r="IM113" s="92" t="s">
        <v>1338</v>
      </c>
      <c r="IN113" s="92" t="s">
        <v>109</v>
      </c>
      <c r="IO113" s="92" t="s">
        <v>4844</v>
      </c>
      <c r="IP113" s="92" t="s">
        <v>1371</v>
      </c>
      <c r="IQ113" s="92">
        <v>1700</v>
      </c>
      <c r="IR113" s="92" t="s">
        <v>4438</v>
      </c>
      <c r="IS113" s="92" t="s">
        <v>192</v>
      </c>
      <c r="IT113" s="92" t="s">
        <v>109</v>
      </c>
      <c r="IU113" s="92" t="s">
        <v>192</v>
      </c>
      <c r="IV113" s="92" t="s">
        <v>109</v>
      </c>
      <c r="IW113" s="92" t="s">
        <v>1440</v>
      </c>
      <c r="IX113" s="92">
        <v>3450</v>
      </c>
      <c r="IY113" s="92" t="s">
        <v>4438</v>
      </c>
      <c r="IZ113" s="92" t="s">
        <v>1341</v>
      </c>
      <c r="JA113" s="92" t="s">
        <v>1375</v>
      </c>
      <c r="JB113" s="92" t="s">
        <v>192</v>
      </c>
      <c r="JC113" s="92" t="s">
        <v>5795</v>
      </c>
      <c r="JD113" s="92" t="s">
        <v>109</v>
      </c>
      <c r="JE113" s="92" t="s">
        <v>109</v>
      </c>
      <c r="JF113" s="92" t="s">
        <v>4438</v>
      </c>
      <c r="JG113" s="92" t="s">
        <v>4438</v>
      </c>
      <c r="JH113" s="92" t="s">
        <v>109</v>
      </c>
      <c r="JI113" s="92" t="s">
        <v>192</v>
      </c>
    </row>
    <row r="114" spans="1:269" x14ac:dyDescent="0.25">
      <c r="A114" t="s">
        <v>3240</v>
      </c>
      <c r="B114" t="s">
        <v>3241</v>
      </c>
      <c r="C114" t="s">
        <v>1429</v>
      </c>
      <c r="D114" t="s">
        <v>1306</v>
      </c>
      <c r="F114" t="s">
        <v>1307</v>
      </c>
      <c r="G114" t="s">
        <v>1319</v>
      </c>
      <c r="H114">
        <v>3</v>
      </c>
      <c r="I114" t="s">
        <v>1307</v>
      </c>
      <c r="J114" t="s">
        <v>1406</v>
      </c>
      <c r="K114" t="s">
        <v>1309</v>
      </c>
      <c r="L114" t="s">
        <v>1310</v>
      </c>
      <c r="M114" t="s">
        <v>1309</v>
      </c>
      <c r="N114" t="s">
        <v>1309</v>
      </c>
      <c r="O114" t="s">
        <v>1309</v>
      </c>
      <c r="P114" t="s">
        <v>1309</v>
      </c>
      <c r="Q114" t="s">
        <v>1309</v>
      </c>
      <c r="R114" t="s">
        <v>1309</v>
      </c>
      <c r="S114">
        <v>1</v>
      </c>
      <c r="U114" t="s">
        <v>1312</v>
      </c>
      <c r="V114" t="s">
        <v>1312</v>
      </c>
      <c r="W114" t="s">
        <v>1312</v>
      </c>
      <c r="X114" t="s">
        <v>1312</v>
      </c>
      <c r="Y114" t="s">
        <v>1312</v>
      </c>
      <c r="Z114" t="s">
        <v>1312</v>
      </c>
      <c r="AC114">
        <v>2</v>
      </c>
      <c r="AD114">
        <v>40000</v>
      </c>
      <c r="AE114">
        <v>30000</v>
      </c>
      <c r="AF114" t="s">
        <v>1313</v>
      </c>
      <c r="AH114" t="s">
        <v>1319</v>
      </c>
      <c r="AI114" t="s">
        <v>4876</v>
      </c>
      <c r="AK114" t="s">
        <v>1307</v>
      </c>
      <c r="CG114" t="s">
        <v>3242</v>
      </c>
      <c r="CH114" t="s">
        <v>1310</v>
      </c>
      <c r="CI114" t="s">
        <v>1309</v>
      </c>
      <c r="CJ114" t="s">
        <v>1309</v>
      </c>
      <c r="CK114" t="s">
        <v>1309</v>
      </c>
      <c r="CL114" t="s">
        <v>1309</v>
      </c>
      <c r="CM114" t="s">
        <v>1309</v>
      </c>
      <c r="CN114" t="s">
        <v>1309</v>
      </c>
      <c r="CO114" t="s">
        <v>1309</v>
      </c>
      <c r="CP114" t="s">
        <v>1309</v>
      </c>
      <c r="CQ114" t="s">
        <v>1309</v>
      </c>
      <c r="CR114" t="s">
        <v>1309</v>
      </c>
      <c r="CS114" t="s">
        <v>1310</v>
      </c>
      <c r="CT114" t="s">
        <v>1309</v>
      </c>
      <c r="CU114" t="s">
        <v>1309</v>
      </c>
      <c r="CV114" t="s">
        <v>1309</v>
      </c>
      <c r="CX114" t="s">
        <v>1414</v>
      </c>
      <c r="CY114" t="s">
        <v>1309</v>
      </c>
      <c r="CZ114" t="s">
        <v>1309</v>
      </c>
      <c r="DA114" t="s">
        <v>1309</v>
      </c>
      <c r="DB114" t="s">
        <v>1309</v>
      </c>
      <c r="DC114" t="s">
        <v>1309</v>
      </c>
      <c r="DD114" t="s">
        <v>1309</v>
      </c>
      <c r="DE114" t="s">
        <v>1309</v>
      </c>
      <c r="DF114" t="s">
        <v>1309</v>
      </c>
      <c r="DG114" t="s">
        <v>1309</v>
      </c>
      <c r="DH114" t="s">
        <v>1309</v>
      </c>
      <c r="DI114" t="s">
        <v>1309</v>
      </c>
      <c r="DJ114" t="s">
        <v>1310</v>
      </c>
      <c r="DK114" t="s">
        <v>1309</v>
      </c>
      <c r="DM114" t="s">
        <v>4434</v>
      </c>
      <c r="DO114" t="s">
        <v>1308</v>
      </c>
      <c r="DP114" t="s">
        <v>1310</v>
      </c>
      <c r="DQ114" t="s">
        <v>1309</v>
      </c>
      <c r="DR114" t="s">
        <v>1309</v>
      </c>
      <c r="DS114" t="s">
        <v>1309</v>
      </c>
      <c r="DT114" t="s">
        <v>1309</v>
      </c>
      <c r="DU114" t="s">
        <v>1309</v>
      </c>
      <c r="DV114" t="s">
        <v>1309</v>
      </c>
      <c r="DX114" t="s">
        <v>1358</v>
      </c>
      <c r="DZ114">
        <v>2500</v>
      </c>
      <c r="EB114">
        <v>500</v>
      </c>
      <c r="EC114" t="s">
        <v>1358</v>
      </c>
      <c r="ED114">
        <v>3700</v>
      </c>
      <c r="EF114">
        <v>750</v>
      </c>
      <c r="EG114" t="s">
        <v>1703</v>
      </c>
      <c r="EH114" t="s">
        <v>1310</v>
      </c>
      <c r="EI114" t="s">
        <v>1309</v>
      </c>
      <c r="EJ114" t="s">
        <v>1309</v>
      </c>
      <c r="EK114" t="s">
        <v>1309</v>
      </c>
      <c r="EL114" t="s">
        <v>1309</v>
      </c>
      <c r="EM114" t="s">
        <v>1309</v>
      </c>
      <c r="EN114" t="s">
        <v>1309</v>
      </c>
      <c r="EO114" t="s">
        <v>1309</v>
      </c>
      <c r="EQ114" t="s">
        <v>1307</v>
      </c>
      <c r="ER114" t="s">
        <v>1307</v>
      </c>
      <c r="ES114" t="s">
        <v>1307</v>
      </c>
      <c r="FN114" t="s">
        <v>1307</v>
      </c>
      <c r="GC114" t="s">
        <v>1324</v>
      </c>
      <c r="GD114" t="s">
        <v>1324</v>
      </c>
      <c r="GN114" t="s">
        <v>1364</v>
      </c>
      <c r="HB114" t="s">
        <v>1307</v>
      </c>
      <c r="HR114" t="s">
        <v>2997</v>
      </c>
      <c r="HS114" t="s">
        <v>1310</v>
      </c>
      <c r="HT114" t="s">
        <v>1310</v>
      </c>
      <c r="HU114" t="s">
        <v>1309</v>
      </c>
      <c r="HV114" t="s">
        <v>1309</v>
      </c>
      <c r="HW114" t="s">
        <v>1309</v>
      </c>
      <c r="HX114" t="s">
        <v>1309</v>
      </c>
      <c r="HY114" t="s">
        <v>1309</v>
      </c>
      <c r="HZ114" t="s">
        <v>1309</v>
      </c>
      <c r="IB114" s="92" t="s">
        <v>1333</v>
      </c>
      <c r="IC114" s="92" t="s">
        <v>1334</v>
      </c>
      <c r="ID114" s="92">
        <v>47</v>
      </c>
      <c r="IE114" s="92" t="s">
        <v>1307</v>
      </c>
      <c r="IF114" s="92" t="s">
        <v>4396</v>
      </c>
      <c r="IG114" s="92" t="s">
        <v>1336</v>
      </c>
      <c r="IH114" s="92" t="s">
        <v>1296</v>
      </c>
      <c r="II114" s="92" t="s">
        <v>71</v>
      </c>
      <c r="IJ114" s="92" t="s">
        <v>5549</v>
      </c>
      <c r="IK114" s="92" t="s">
        <v>1337</v>
      </c>
      <c r="IL114" s="92" t="s">
        <v>4845</v>
      </c>
      <c r="IM114" s="92" t="s">
        <v>1415</v>
      </c>
      <c r="IN114" s="92" t="s">
        <v>109</v>
      </c>
      <c r="IO114" s="92" t="s">
        <v>4847</v>
      </c>
      <c r="IP114" s="92" t="s">
        <v>1416</v>
      </c>
      <c r="IQ114" s="92">
        <v>3000</v>
      </c>
      <c r="IR114" s="92" t="s">
        <v>1372</v>
      </c>
      <c r="IS114" s="92" t="s">
        <v>192</v>
      </c>
      <c r="IT114" s="92" t="s">
        <v>109</v>
      </c>
      <c r="IU114" s="92" t="s">
        <v>192</v>
      </c>
      <c r="IV114" s="92" t="s">
        <v>109</v>
      </c>
      <c r="IW114" s="92" t="s">
        <v>1425</v>
      </c>
      <c r="IX114" s="92">
        <v>4450</v>
      </c>
      <c r="IY114" s="92" t="s">
        <v>4438</v>
      </c>
      <c r="IZ114" s="92" t="s">
        <v>1341</v>
      </c>
      <c r="JA114" s="92" t="s">
        <v>1460</v>
      </c>
      <c r="JB114" s="92" t="s">
        <v>192</v>
      </c>
      <c r="JC114" s="92" t="s">
        <v>5795</v>
      </c>
      <c r="JD114" s="92" t="s">
        <v>109</v>
      </c>
      <c r="JE114" s="92" t="s">
        <v>109</v>
      </c>
      <c r="JF114" s="92" t="s">
        <v>1372</v>
      </c>
      <c r="JG114" s="92" t="s">
        <v>4438</v>
      </c>
      <c r="JH114" s="92" t="s">
        <v>109</v>
      </c>
      <c r="JI114" s="92" t="s">
        <v>109</v>
      </c>
    </row>
    <row r="115" spans="1:269" x14ac:dyDescent="0.25">
      <c r="A115" t="s">
        <v>3243</v>
      </c>
      <c r="B115" t="s">
        <v>3244</v>
      </c>
      <c r="C115" t="s">
        <v>1305</v>
      </c>
      <c r="D115" t="s">
        <v>1306</v>
      </c>
      <c r="F115" t="s">
        <v>1307</v>
      </c>
      <c r="G115" t="s">
        <v>1319</v>
      </c>
      <c r="H115">
        <v>4</v>
      </c>
      <c r="I115" t="s">
        <v>1307</v>
      </c>
      <c r="J115" t="s">
        <v>1663</v>
      </c>
      <c r="K115" t="s">
        <v>1309</v>
      </c>
      <c r="L115" t="s">
        <v>1310</v>
      </c>
      <c r="M115" t="s">
        <v>1310</v>
      </c>
      <c r="N115" t="s">
        <v>1309</v>
      </c>
      <c r="O115" t="s">
        <v>1309</v>
      </c>
      <c r="P115" t="s">
        <v>1309</v>
      </c>
      <c r="Q115" t="s">
        <v>1309</v>
      </c>
      <c r="R115" t="s">
        <v>1309</v>
      </c>
      <c r="S115">
        <v>1</v>
      </c>
      <c r="T115">
        <v>1</v>
      </c>
      <c r="U115" t="s">
        <v>1311</v>
      </c>
      <c r="V115" t="s">
        <v>1312</v>
      </c>
      <c r="W115" t="s">
        <v>1312</v>
      </c>
      <c r="X115" t="s">
        <v>1311</v>
      </c>
      <c r="Y115" t="s">
        <v>1312</v>
      </c>
      <c r="Z115" t="s">
        <v>1312</v>
      </c>
      <c r="AC115">
        <v>3</v>
      </c>
      <c r="AD115">
        <v>20000</v>
      </c>
      <c r="AE115">
        <v>15000</v>
      </c>
      <c r="AF115" t="s">
        <v>1313</v>
      </c>
      <c r="AH115" t="s">
        <v>1319</v>
      </c>
      <c r="AI115" t="s">
        <v>4879</v>
      </c>
      <c r="AK115" t="s">
        <v>1307</v>
      </c>
      <c r="CG115" t="s">
        <v>3027</v>
      </c>
      <c r="CH115" t="s">
        <v>1309</v>
      </c>
      <c r="CI115" t="s">
        <v>1309</v>
      </c>
      <c r="CJ115" t="s">
        <v>1309</v>
      </c>
      <c r="CK115" t="s">
        <v>1309</v>
      </c>
      <c r="CL115" t="s">
        <v>1309</v>
      </c>
      <c r="CM115" t="s">
        <v>1309</v>
      </c>
      <c r="CN115" t="s">
        <v>1309</v>
      </c>
      <c r="CO115" t="s">
        <v>1309</v>
      </c>
      <c r="CP115" t="s">
        <v>1310</v>
      </c>
      <c r="CQ115" t="s">
        <v>1309</v>
      </c>
      <c r="CR115" t="s">
        <v>1309</v>
      </c>
      <c r="CS115" t="s">
        <v>1309</v>
      </c>
      <c r="CT115" t="s">
        <v>1309</v>
      </c>
      <c r="CU115" t="s">
        <v>1309</v>
      </c>
      <c r="CV115" t="s">
        <v>1309</v>
      </c>
      <c r="CX115" t="s">
        <v>2135</v>
      </c>
      <c r="CY115" t="s">
        <v>1309</v>
      </c>
      <c r="CZ115" t="s">
        <v>1309</v>
      </c>
      <c r="DA115" t="s">
        <v>1309</v>
      </c>
      <c r="DB115" t="s">
        <v>1309</v>
      </c>
      <c r="DC115" t="s">
        <v>1309</v>
      </c>
      <c r="DD115" t="s">
        <v>1310</v>
      </c>
      <c r="DE115" t="s">
        <v>1309</v>
      </c>
      <c r="DF115" t="s">
        <v>1309</v>
      </c>
      <c r="DG115" t="s">
        <v>1309</v>
      </c>
      <c r="DH115" t="s">
        <v>1309</v>
      </c>
      <c r="DI115" t="s">
        <v>1309</v>
      </c>
      <c r="DJ115" t="s">
        <v>1309</v>
      </c>
      <c r="DK115" t="s">
        <v>1309</v>
      </c>
      <c r="DM115" t="s">
        <v>4435</v>
      </c>
      <c r="DO115" t="s">
        <v>1308</v>
      </c>
      <c r="DP115" t="s">
        <v>1310</v>
      </c>
      <c r="DQ115" t="s">
        <v>1309</v>
      </c>
      <c r="DR115" t="s">
        <v>1309</v>
      </c>
      <c r="DS115" t="s">
        <v>1309</v>
      </c>
      <c r="DT115" t="s">
        <v>1309</v>
      </c>
      <c r="DU115" t="s">
        <v>1309</v>
      </c>
      <c r="DV115" t="s">
        <v>1309</v>
      </c>
      <c r="DX115" t="s">
        <v>1358</v>
      </c>
      <c r="DY115" t="s">
        <v>1319</v>
      </c>
      <c r="DZ115">
        <v>300</v>
      </c>
      <c r="EA115">
        <v>2500</v>
      </c>
      <c r="EB115">
        <v>300</v>
      </c>
      <c r="EC115" t="s">
        <v>1358</v>
      </c>
      <c r="ED115">
        <v>300</v>
      </c>
      <c r="EE115">
        <v>3000</v>
      </c>
      <c r="EF115">
        <v>400</v>
      </c>
      <c r="EG115" t="s">
        <v>1703</v>
      </c>
      <c r="EH115" t="s">
        <v>1310</v>
      </c>
      <c r="EI115" t="s">
        <v>1309</v>
      </c>
      <c r="EJ115" t="s">
        <v>1309</v>
      </c>
      <c r="EK115" t="s">
        <v>1309</v>
      </c>
      <c r="EL115" t="s">
        <v>1309</v>
      </c>
      <c r="EM115" t="s">
        <v>1309</v>
      </c>
      <c r="EN115" t="s">
        <v>1309</v>
      </c>
      <c r="EO115" t="s">
        <v>1309</v>
      </c>
      <c r="EQ115" t="s">
        <v>1307</v>
      </c>
      <c r="ER115" t="s">
        <v>1319</v>
      </c>
      <c r="ES115" t="s">
        <v>1307</v>
      </c>
      <c r="EU115" t="s">
        <v>1902</v>
      </c>
      <c r="EV115" t="s">
        <v>1309</v>
      </c>
      <c r="EW115" t="s">
        <v>1309</v>
      </c>
      <c r="EX115" t="s">
        <v>1309</v>
      </c>
      <c r="EY115" t="s">
        <v>1309</v>
      </c>
      <c r="EZ115" t="s">
        <v>1309</v>
      </c>
      <c r="FA115" t="s">
        <v>1309</v>
      </c>
      <c r="FB115" t="s">
        <v>1309</v>
      </c>
      <c r="FC115" t="s">
        <v>1310</v>
      </c>
      <c r="FD115" t="s">
        <v>1309</v>
      </c>
      <c r="FE115" t="s">
        <v>1309</v>
      </c>
      <c r="FF115" t="s">
        <v>1309</v>
      </c>
      <c r="FG115" t="s">
        <v>1309</v>
      </c>
      <c r="FH115" t="s">
        <v>1310</v>
      </c>
      <c r="FI115" t="s">
        <v>1309</v>
      </c>
      <c r="FJ115" t="s">
        <v>1309</v>
      </c>
      <c r="FK115" t="s">
        <v>1309</v>
      </c>
      <c r="FL115" t="s">
        <v>1309</v>
      </c>
      <c r="FN115" t="s">
        <v>1307</v>
      </c>
      <c r="GC115" t="s">
        <v>1324</v>
      </c>
      <c r="GD115" t="s">
        <v>1324</v>
      </c>
      <c r="GN115" t="s">
        <v>1364</v>
      </c>
      <c r="HB115" t="s">
        <v>1319</v>
      </c>
      <c r="HC115" t="s">
        <v>3245</v>
      </c>
      <c r="HD115" t="s">
        <v>1309</v>
      </c>
      <c r="HE115" t="s">
        <v>1309</v>
      </c>
      <c r="HF115" t="s">
        <v>1310</v>
      </c>
      <c r="HG115" t="s">
        <v>1309</v>
      </c>
      <c r="HH115" t="s">
        <v>1309</v>
      </c>
      <c r="HI115" t="s">
        <v>1309</v>
      </c>
      <c r="HJ115" t="s">
        <v>1309</v>
      </c>
      <c r="HK115" t="s">
        <v>1309</v>
      </c>
      <c r="HL115" t="s">
        <v>1310</v>
      </c>
      <c r="HM115" t="s">
        <v>1309</v>
      </c>
      <c r="HN115" t="s">
        <v>1309</v>
      </c>
      <c r="HO115" t="s">
        <v>1309</v>
      </c>
      <c r="HP115" t="s">
        <v>1309</v>
      </c>
      <c r="HR115" t="s">
        <v>1523</v>
      </c>
      <c r="HS115" t="s">
        <v>1309</v>
      </c>
      <c r="HT115" t="s">
        <v>1309</v>
      </c>
      <c r="HU115" t="s">
        <v>1309</v>
      </c>
      <c r="HV115" t="s">
        <v>1310</v>
      </c>
      <c r="HW115" t="s">
        <v>1309</v>
      </c>
      <c r="HX115" t="s">
        <v>1309</v>
      </c>
      <c r="HY115" t="s">
        <v>1309</v>
      </c>
      <c r="HZ115" t="s">
        <v>1309</v>
      </c>
      <c r="IB115" s="92" t="s">
        <v>1333</v>
      </c>
      <c r="IC115" s="92" t="s">
        <v>1334</v>
      </c>
      <c r="ID115" s="92">
        <v>37</v>
      </c>
      <c r="IE115" s="92" t="s">
        <v>1307</v>
      </c>
      <c r="IF115" s="92" t="s">
        <v>4398</v>
      </c>
      <c r="IG115" s="92" t="s">
        <v>1336</v>
      </c>
      <c r="IH115" s="92" t="s">
        <v>1296</v>
      </c>
      <c r="II115" s="92" t="s">
        <v>71</v>
      </c>
      <c r="IJ115" s="92" t="s">
        <v>5549</v>
      </c>
      <c r="IK115" s="92" t="s">
        <v>1337</v>
      </c>
      <c r="IL115" s="92" t="s">
        <v>4845</v>
      </c>
      <c r="IM115" s="92" t="s">
        <v>1370</v>
      </c>
      <c r="IN115" s="92" t="s">
        <v>109</v>
      </c>
      <c r="IO115" s="92" t="s">
        <v>4848</v>
      </c>
      <c r="IP115" s="92" t="s">
        <v>1452</v>
      </c>
      <c r="IQ115" s="92">
        <v>3100</v>
      </c>
      <c r="IR115" s="92" t="s">
        <v>4438</v>
      </c>
      <c r="IS115" s="92" t="s">
        <v>192</v>
      </c>
      <c r="IT115" s="92" t="s">
        <v>192</v>
      </c>
      <c r="IU115" s="92" t="s">
        <v>192</v>
      </c>
      <c r="IV115" s="92" t="s">
        <v>192</v>
      </c>
      <c r="IW115" s="92" t="s">
        <v>1341</v>
      </c>
      <c r="IX115" s="92">
        <v>3700</v>
      </c>
      <c r="IY115" s="92" t="s">
        <v>4438</v>
      </c>
      <c r="IZ115" s="92" t="s">
        <v>1341</v>
      </c>
      <c r="JA115" s="92" t="s">
        <v>1342</v>
      </c>
      <c r="JB115" s="92" t="s">
        <v>192</v>
      </c>
      <c r="JC115" s="92" t="s">
        <v>5795</v>
      </c>
      <c r="JD115" s="92" t="s">
        <v>109</v>
      </c>
      <c r="JE115" s="92" t="s">
        <v>109</v>
      </c>
      <c r="JF115" s="92" t="s">
        <v>4438</v>
      </c>
      <c r="JG115" s="92" t="s">
        <v>4438</v>
      </c>
      <c r="JH115" s="92" t="s">
        <v>109</v>
      </c>
      <c r="JI115" s="92" t="s">
        <v>109</v>
      </c>
    </row>
    <row r="116" spans="1:269" x14ac:dyDescent="0.25">
      <c r="A116" t="s">
        <v>3246</v>
      </c>
      <c r="B116" t="s">
        <v>3247</v>
      </c>
      <c r="C116" t="s">
        <v>1305</v>
      </c>
      <c r="D116" t="s">
        <v>1306</v>
      </c>
      <c r="F116" t="s">
        <v>1307</v>
      </c>
      <c r="G116" t="s">
        <v>1319</v>
      </c>
      <c r="H116">
        <v>3</v>
      </c>
      <c r="I116" t="s">
        <v>1307</v>
      </c>
      <c r="J116" t="s">
        <v>1406</v>
      </c>
      <c r="K116" t="s">
        <v>1309</v>
      </c>
      <c r="L116" t="s">
        <v>1310</v>
      </c>
      <c r="M116" t="s">
        <v>1309</v>
      </c>
      <c r="N116" t="s">
        <v>1309</v>
      </c>
      <c r="O116" t="s">
        <v>1309</v>
      </c>
      <c r="P116" t="s">
        <v>1309</v>
      </c>
      <c r="Q116" t="s">
        <v>1309</v>
      </c>
      <c r="R116" t="s">
        <v>1309</v>
      </c>
      <c r="S116">
        <v>1</v>
      </c>
      <c r="U116" t="s">
        <v>1312</v>
      </c>
      <c r="V116" t="s">
        <v>1312</v>
      </c>
      <c r="W116" t="s">
        <v>1312</v>
      </c>
      <c r="X116" t="s">
        <v>1312</v>
      </c>
      <c r="Y116" t="s">
        <v>1312</v>
      </c>
      <c r="Z116" t="s">
        <v>1312</v>
      </c>
      <c r="AC116">
        <v>2</v>
      </c>
      <c r="AD116">
        <v>16000</v>
      </c>
      <c r="AE116">
        <v>13000</v>
      </c>
      <c r="AF116" t="s">
        <v>1313</v>
      </c>
      <c r="AH116" t="s">
        <v>1319</v>
      </c>
      <c r="AI116" t="s">
        <v>4879</v>
      </c>
      <c r="AK116" t="s">
        <v>1307</v>
      </c>
      <c r="CG116" t="s">
        <v>3054</v>
      </c>
      <c r="CH116" t="s">
        <v>1309</v>
      </c>
      <c r="CI116" t="s">
        <v>1309</v>
      </c>
      <c r="CJ116" t="s">
        <v>1309</v>
      </c>
      <c r="CK116" t="s">
        <v>1309</v>
      </c>
      <c r="CL116" t="s">
        <v>1309</v>
      </c>
      <c r="CM116" t="s">
        <v>1309</v>
      </c>
      <c r="CN116" t="s">
        <v>1309</v>
      </c>
      <c r="CO116" t="s">
        <v>1309</v>
      </c>
      <c r="CP116" t="s">
        <v>1309</v>
      </c>
      <c r="CQ116" t="s">
        <v>1309</v>
      </c>
      <c r="CR116" t="s">
        <v>1309</v>
      </c>
      <c r="CS116" t="s">
        <v>1310</v>
      </c>
      <c r="CT116" t="s">
        <v>1309</v>
      </c>
      <c r="CU116" t="s">
        <v>1309</v>
      </c>
      <c r="CV116" t="s">
        <v>1309</v>
      </c>
      <c r="CX116" t="s">
        <v>3248</v>
      </c>
      <c r="CY116" t="s">
        <v>1309</v>
      </c>
      <c r="CZ116" t="s">
        <v>1309</v>
      </c>
      <c r="DA116" t="s">
        <v>1310</v>
      </c>
      <c r="DB116" t="s">
        <v>1309</v>
      </c>
      <c r="DC116" t="s">
        <v>1309</v>
      </c>
      <c r="DD116" t="s">
        <v>1310</v>
      </c>
      <c r="DE116" t="s">
        <v>1309</v>
      </c>
      <c r="DF116" t="s">
        <v>1309</v>
      </c>
      <c r="DG116" t="s">
        <v>1310</v>
      </c>
      <c r="DH116" t="s">
        <v>1309</v>
      </c>
      <c r="DI116" t="s">
        <v>1309</v>
      </c>
      <c r="DJ116" t="s">
        <v>1309</v>
      </c>
      <c r="DK116" t="s">
        <v>1309</v>
      </c>
      <c r="DM116" t="s">
        <v>4434</v>
      </c>
      <c r="DO116" t="s">
        <v>1357</v>
      </c>
      <c r="DP116" t="s">
        <v>1309</v>
      </c>
      <c r="DQ116" t="s">
        <v>1309</v>
      </c>
      <c r="DR116" t="s">
        <v>1309</v>
      </c>
      <c r="DS116" t="s">
        <v>1309</v>
      </c>
      <c r="DT116" t="s">
        <v>1310</v>
      </c>
      <c r="DU116" t="s">
        <v>1309</v>
      </c>
      <c r="DV116" t="s">
        <v>1309</v>
      </c>
      <c r="DX116" t="s">
        <v>1358</v>
      </c>
      <c r="DZ116">
        <v>3000</v>
      </c>
      <c r="EB116">
        <v>1500</v>
      </c>
      <c r="EC116" t="s">
        <v>1358</v>
      </c>
      <c r="ED116">
        <v>3000</v>
      </c>
      <c r="EF116">
        <v>1800</v>
      </c>
      <c r="EG116" t="s">
        <v>1703</v>
      </c>
      <c r="EH116" t="s">
        <v>1310</v>
      </c>
      <c r="EI116" t="s">
        <v>1309</v>
      </c>
      <c r="EJ116" t="s">
        <v>1309</v>
      </c>
      <c r="EK116" t="s">
        <v>1309</v>
      </c>
      <c r="EL116" t="s">
        <v>1309</v>
      </c>
      <c r="EM116" t="s">
        <v>1309</v>
      </c>
      <c r="EN116" t="s">
        <v>1309</v>
      </c>
      <c r="EO116" t="s">
        <v>1309</v>
      </c>
      <c r="EQ116" t="s">
        <v>1307</v>
      </c>
      <c r="ER116" t="s">
        <v>1319</v>
      </c>
      <c r="ES116" t="s">
        <v>1319</v>
      </c>
      <c r="EU116" t="s">
        <v>3249</v>
      </c>
      <c r="EV116" t="s">
        <v>1310</v>
      </c>
      <c r="EW116" t="s">
        <v>1309</v>
      </c>
      <c r="EX116" t="s">
        <v>1310</v>
      </c>
      <c r="EY116" t="s">
        <v>1309</v>
      </c>
      <c r="EZ116" t="s">
        <v>1309</v>
      </c>
      <c r="FA116" t="s">
        <v>1310</v>
      </c>
      <c r="FB116" t="s">
        <v>1309</v>
      </c>
      <c r="FC116" t="s">
        <v>1310</v>
      </c>
      <c r="FD116" t="s">
        <v>1309</v>
      </c>
      <c r="FE116" t="s">
        <v>1309</v>
      </c>
      <c r="FF116" t="s">
        <v>1309</v>
      </c>
      <c r="FG116" t="s">
        <v>1309</v>
      </c>
      <c r="FH116" t="s">
        <v>1310</v>
      </c>
      <c r="FI116" t="s">
        <v>1309</v>
      </c>
      <c r="FJ116" t="s">
        <v>1309</v>
      </c>
      <c r="FK116" t="s">
        <v>1309</v>
      </c>
      <c r="FL116" t="s">
        <v>1309</v>
      </c>
      <c r="FN116" t="s">
        <v>1307</v>
      </c>
      <c r="GC116" t="s">
        <v>1324</v>
      </c>
      <c r="GD116" t="s">
        <v>1324</v>
      </c>
      <c r="GN116" t="s">
        <v>1364</v>
      </c>
      <c r="HB116" t="s">
        <v>1319</v>
      </c>
      <c r="HC116" t="s">
        <v>1392</v>
      </c>
      <c r="HD116" t="s">
        <v>1309</v>
      </c>
      <c r="HE116" t="s">
        <v>1309</v>
      </c>
      <c r="HF116" t="s">
        <v>1309</v>
      </c>
      <c r="HG116" t="s">
        <v>1309</v>
      </c>
      <c r="HH116" t="s">
        <v>1309</v>
      </c>
      <c r="HI116" t="s">
        <v>1309</v>
      </c>
      <c r="HJ116" t="s">
        <v>1309</v>
      </c>
      <c r="HK116" t="s">
        <v>1309</v>
      </c>
      <c r="HL116" t="s">
        <v>1310</v>
      </c>
      <c r="HM116" t="s">
        <v>1309</v>
      </c>
      <c r="HN116" t="s">
        <v>1309</v>
      </c>
      <c r="HO116" t="s">
        <v>1309</v>
      </c>
      <c r="HP116" t="s">
        <v>1309</v>
      </c>
      <c r="HR116" t="s">
        <v>1523</v>
      </c>
      <c r="HS116" t="s">
        <v>1309</v>
      </c>
      <c r="HT116" t="s">
        <v>1309</v>
      </c>
      <c r="HU116" t="s">
        <v>1309</v>
      </c>
      <c r="HV116" t="s">
        <v>1310</v>
      </c>
      <c r="HW116" t="s">
        <v>1309</v>
      </c>
      <c r="HX116" t="s">
        <v>1309</v>
      </c>
      <c r="HY116" t="s">
        <v>1309</v>
      </c>
      <c r="HZ116" t="s">
        <v>1309</v>
      </c>
      <c r="IB116" s="92" t="s">
        <v>1333</v>
      </c>
      <c r="IC116" s="92" t="s">
        <v>1334</v>
      </c>
      <c r="ID116" s="92">
        <v>42</v>
      </c>
      <c r="IE116" s="92" t="s">
        <v>1307</v>
      </c>
      <c r="IF116" s="92" t="s">
        <v>4398</v>
      </c>
      <c r="IG116" s="92" t="s">
        <v>1336</v>
      </c>
      <c r="IH116" s="92" t="s">
        <v>1296</v>
      </c>
      <c r="II116" s="92" t="s">
        <v>71</v>
      </c>
      <c r="IJ116" s="92" t="s">
        <v>5549</v>
      </c>
      <c r="IK116" s="92" t="s">
        <v>1337</v>
      </c>
      <c r="IL116" s="92" t="s">
        <v>4845</v>
      </c>
      <c r="IM116" s="92" t="s">
        <v>1415</v>
      </c>
      <c r="IN116" s="92" t="s">
        <v>109</v>
      </c>
      <c r="IO116" s="92" t="s">
        <v>4847</v>
      </c>
      <c r="IP116" s="92" t="s">
        <v>1452</v>
      </c>
      <c r="IQ116" s="92">
        <v>4500</v>
      </c>
      <c r="IR116" s="92" t="s">
        <v>4439</v>
      </c>
      <c r="IS116" s="92" t="s">
        <v>192</v>
      </c>
      <c r="IT116" s="92" t="s">
        <v>109</v>
      </c>
      <c r="IU116" s="92" t="s">
        <v>192</v>
      </c>
      <c r="IV116" s="92" t="s">
        <v>109</v>
      </c>
      <c r="IW116" s="92" t="s">
        <v>1341</v>
      </c>
      <c r="IX116" s="92">
        <v>4800</v>
      </c>
      <c r="IY116" s="92" t="s">
        <v>4439</v>
      </c>
      <c r="IZ116" s="92" t="s">
        <v>1341</v>
      </c>
      <c r="JA116" s="92" t="s">
        <v>1375</v>
      </c>
      <c r="JB116" s="92" t="s">
        <v>192</v>
      </c>
      <c r="JC116" s="92" t="s">
        <v>5795</v>
      </c>
      <c r="JD116" s="92" t="s">
        <v>109</v>
      </c>
      <c r="JE116" s="92" t="s">
        <v>109</v>
      </c>
      <c r="JF116" s="92" t="s">
        <v>4439</v>
      </c>
      <c r="JG116" s="92" t="s">
        <v>4439</v>
      </c>
      <c r="JH116" s="92" t="s">
        <v>192</v>
      </c>
      <c r="JI116" s="92" t="s">
        <v>192</v>
      </c>
    </row>
    <row r="117" spans="1:269" x14ac:dyDescent="0.25">
      <c r="A117" t="s">
        <v>3250</v>
      </c>
      <c r="B117" t="s">
        <v>3251</v>
      </c>
      <c r="C117" t="s">
        <v>1305</v>
      </c>
      <c r="D117" t="s">
        <v>1306</v>
      </c>
      <c r="F117" t="s">
        <v>1307</v>
      </c>
      <c r="G117" t="s">
        <v>1319</v>
      </c>
      <c r="H117">
        <v>4</v>
      </c>
      <c r="I117" t="s">
        <v>1307</v>
      </c>
      <c r="J117" t="s">
        <v>1406</v>
      </c>
      <c r="K117" t="s">
        <v>1309</v>
      </c>
      <c r="L117" t="s">
        <v>1310</v>
      </c>
      <c r="M117" t="s">
        <v>1309</v>
      </c>
      <c r="N117" t="s">
        <v>1309</v>
      </c>
      <c r="O117" t="s">
        <v>1309</v>
      </c>
      <c r="P117" t="s">
        <v>1309</v>
      </c>
      <c r="Q117" t="s">
        <v>1309</v>
      </c>
      <c r="R117" t="s">
        <v>1309</v>
      </c>
      <c r="S117">
        <v>2</v>
      </c>
      <c r="U117" t="s">
        <v>1312</v>
      </c>
      <c r="V117" t="s">
        <v>1312</v>
      </c>
      <c r="W117" t="s">
        <v>1312</v>
      </c>
      <c r="X117" t="s">
        <v>1312</v>
      </c>
      <c r="Y117" t="s">
        <v>1312</v>
      </c>
      <c r="Z117" t="s">
        <v>1312</v>
      </c>
      <c r="AC117">
        <v>2</v>
      </c>
      <c r="AD117">
        <v>20000</v>
      </c>
      <c r="AE117">
        <v>15000</v>
      </c>
      <c r="AF117" t="s">
        <v>1313</v>
      </c>
      <c r="AH117" t="s">
        <v>1319</v>
      </c>
      <c r="AI117" t="s">
        <v>4879</v>
      </c>
      <c r="AK117" t="s">
        <v>1307</v>
      </c>
      <c r="CG117" t="s">
        <v>2853</v>
      </c>
      <c r="CH117" t="s">
        <v>1309</v>
      </c>
      <c r="CI117" t="s">
        <v>1309</v>
      </c>
      <c r="CJ117" t="s">
        <v>1309</v>
      </c>
      <c r="CK117" t="s">
        <v>1310</v>
      </c>
      <c r="CL117" t="s">
        <v>1309</v>
      </c>
      <c r="CM117" t="s">
        <v>1309</v>
      </c>
      <c r="CN117" t="s">
        <v>1309</v>
      </c>
      <c r="CO117" t="s">
        <v>1309</v>
      </c>
      <c r="CP117" t="s">
        <v>1309</v>
      </c>
      <c r="CQ117" t="s">
        <v>1309</v>
      </c>
      <c r="CR117" t="s">
        <v>1309</v>
      </c>
      <c r="CS117" t="s">
        <v>1309</v>
      </c>
      <c r="CT117" t="s">
        <v>1309</v>
      </c>
      <c r="CU117" t="s">
        <v>1309</v>
      </c>
      <c r="CV117" t="s">
        <v>1309</v>
      </c>
      <c r="CX117" t="s">
        <v>1384</v>
      </c>
      <c r="CY117" t="s">
        <v>1310</v>
      </c>
      <c r="CZ117" t="s">
        <v>1309</v>
      </c>
      <c r="DA117" t="s">
        <v>1309</v>
      </c>
      <c r="DB117" t="s">
        <v>1309</v>
      </c>
      <c r="DC117" t="s">
        <v>1309</v>
      </c>
      <c r="DD117" t="s">
        <v>1309</v>
      </c>
      <c r="DE117" t="s">
        <v>1309</v>
      </c>
      <c r="DF117" t="s">
        <v>1309</v>
      </c>
      <c r="DG117" t="s">
        <v>1309</v>
      </c>
      <c r="DH117" t="s">
        <v>1309</v>
      </c>
      <c r="DI117" t="s">
        <v>1309</v>
      </c>
      <c r="DJ117" t="s">
        <v>1309</v>
      </c>
      <c r="DK117" t="s">
        <v>1309</v>
      </c>
      <c r="DM117" t="s">
        <v>4434</v>
      </c>
      <c r="DO117" t="s">
        <v>1308</v>
      </c>
      <c r="DP117" t="s">
        <v>1310</v>
      </c>
      <c r="DQ117" t="s">
        <v>1309</v>
      </c>
      <c r="DR117" t="s">
        <v>1309</v>
      </c>
      <c r="DS117" t="s">
        <v>1309</v>
      </c>
      <c r="DT117" t="s">
        <v>1309</v>
      </c>
      <c r="DU117" t="s">
        <v>1309</v>
      </c>
      <c r="DV117" t="s">
        <v>1309</v>
      </c>
      <c r="DX117" t="s">
        <v>1358</v>
      </c>
      <c r="DZ117">
        <v>900</v>
      </c>
      <c r="EB117">
        <v>700</v>
      </c>
      <c r="EC117" t="s">
        <v>1358</v>
      </c>
      <c r="ED117">
        <v>1700</v>
      </c>
      <c r="EF117">
        <v>800</v>
      </c>
      <c r="EG117" t="s">
        <v>1703</v>
      </c>
      <c r="EH117" t="s">
        <v>1310</v>
      </c>
      <c r="EI117" t="s">
        <v>1309</v>
      </c>
      <c r="EJ117" t="s">
        <v>1309</v>
      </c>
      <c r="EK117" t="s">
        <v>1309</v>
      </c>
      <c r="EL117" t="s">
        <v>1309</v>
      </c>
      <c r="EM117" t="s">
        <v>1309</v>
      </c>
      <c r="EN117" t="s">
        <v>1309</v>
      </c>
      <c r="EO117" t="s">
        <v>1309</v>
      </c>
      <c r="EQ117" t="s">
        <v>1307</v>
      </c>
      <c r="ER117" t="s">
        <v>1319</v>
      </c>
      <c r="ES117" t="s">
        <v>1319</v>
      </c>
      <c r="EU117" t="s">
        <v>2553</v>
      </c>
      <c r="EV117" t="s">
        <v>1310</v>
      </c>
      <c r="EW117" t="s">
        <v>1309</v>
      </c>
      <c r="EX117" t="s">
        <v>1310</v>
      </c>
      <c r="EY117" t="s">
        <v>1309</v>
      </c>
      <c r="EZ117" t="s">
        <v>1309</v>
      </c>
      <c r="FA117" t="s">
        <v>1309</v>
      </c>
      <c r="FB117" t="s">
        <v>1309</v>
      </c>
      <c r="FC117" t="s">
        <v>1309</v>
      </c>
      <c r="FD117" t="s">
        <v>1309</v>
      </c>
      <c r="FE117" t="s">
        <v>1309</v>
      </c>
      <c r="FF117" t="s">
        <v>1309</v>
      </c>
      <c r="FG117" t="s">
        <v>1309</v>
      </c>
      <c r="FH117" t="s">
        <v>1310</v>
      </c>
      <c r="FI117" t="s">
        <v>1309</v>
      </c>
      <c r="FJ117" t="s">
        <v>1309</v>
      </c>
      <c r="FK117" t="s">
        <v>1309</v>
      </c>
      <c r="FL117" t="s">
        <v>1309</v>
      </c>
      <c r="FN117" t="s">
        <v>1307</v>
      </c>
      <c r="GC117" t="s">
        <v>1324</v>
      </c>
      <c r="GD117" t="s">
        <v>1324</v>
      </c>
      <c r="GN117" t="s">
        <v>1364</v>
      </c>
      <c r="HB117" t="s">
        <v>1319</v>
      </c>
      <c r="HC117" t="s">
        <v>1870</v>
      </c>
      <c r="HD117" t="s">
        <v>1309</v>
      </c>
      <c r="HE117" t="s">
        <v>1309</v>
      </c>
      <c r="HF117" t="s">
        <v>1309</v>
      </c>
      <c r="HG117" t="s">
        <v>1310</v>
      </c>
      <c r="HH117" t="s">
        <v>1310</v>
      </c>
      <c r="HI117" t="s">
        <v>1309</v>
      </c>
      <c r="HJ117" t="s">
        <v>1309</v>
      </c>
      <c r="HK117" t="s">
        <v>1309</v>
      </c>
      <c r="HL117" t="s">
        <v>1309</v>
      </c>
      <c r="HM117" t="s">
        <v>1309</v>
      </c>
      <c r="HN117" t="s">
        <v>1309</v>
      </c>
      <c r="HO117" t="s">
        <v>1309</v>
      </c>
      <c r="HP117" t="s">
        <v>1309</v>
      </c>
      <c r="HR117" t="s">
        <v>1393</v>
      </c>
      <c r="HS117" t="s">
        <v>1310</v>
      </c>
      <c r="HT117" t="s">
        <v>1309</v>
      </c>
      <c r="HU117" t="s">
        <v>1309</v>
      </c>
      <c r="HV117" t="s">
        <v>1309</v>
      </c>
      <c r="HW117" t="s">
        <v>1309</v>
      </c>
      <c r="HX117" t="s">
        <v>1309</v>
      </c>
      <c r="HY117" t="s">
        <v>1309</v>
      </c>
      <c r="HZ117" t="s">
        <v>1309</v>
      </c>
      <c r="IB117" s="92" t="s">
        <v>1333</v>
      </c>
      <c r="IC117" s="92" t="s">
        <v>1334</v>
      </c>
      <c r="ID117" s="92">
        <v>39</v>
      </c>
      <c r="IE117" s="92" t="s">
        <v>1307</v>
      </c>
      <c r="IF117" s="92" t="s">
        <v>4396</v>
      </c>
      <c r="IG117" s="92" t="s">
        <v>1336</v>
      </c>
      <c r="IH117" s="92" t="s">
        <v>1296</v>
      </c>
      <c r="II117" s="92" t="s">
        <v>71</v>
      </c>
      <c r="IJ117" s="92" t="s">
        <v>5549</v>
      </c>
      <c r="IK117" s="92" t="s">
        <v>1337</v>
      </c>
      <c r="IL117" s="92" t="s">
        <v>4845</v>
      </c>
      <c r="IM117" s="92" t="s">
        <v>1415</v>
      </c>
      <c r="IN117" s="92" t="s">
        <v>109</v>
      </c>
      <c r="IO117" s="92" t="s">
        <v>4847</v>
      </c>
      <c r="IP117" s="92" t="s">
        <v>1452</v>
      </c>
      <c r="IQ117" s="92">
        <v>1600</v>
      </c>
      <c r="IR117" s="92" t="s">
        <v>1372</v>
      </c>
      <c r="IS117" s="92" t="s">
        <v>192</v>
      </c>
      <c r="IT117" s="92" t="s">
        <v>109</v>
      </c>
      <c r="IU117" s="92" t="s">
        <v>192</v>
      </c>
      <c r="IV117" s="92" t="s">
        <v>109</v>
      </c>
      <c r="IW117" s="92" t="s">
        <v>1440</v>
      </c>
      <c r="IX117" s="92">
        <v>2500</v>
      </c>
      <c r="IY117" s="92" t="s">
        <v>4438</v>
      </c>
      <c r="IZ117" s="92" t="s">
        <v>1425</v>
      </c>
      <c r="JA117" s="92" t="s">
        <v>1460</v>
      </c>
      <c r="JB117" s="92" t="s">
        <v>192</v>
      </c>
      <c r="JC117" s="92" t="s">
        <v>5795</v>
      </c>
      <c r="JD117" s="92" t="s">
        <v>109</v>
      </c>
      <c r="JE117" s="92" t="s">
        <v>109</v>
      </c>
      <c r="JF117" s="92" t="s">
        <v>1372</v>
      </c>
      <c r="JG117" s="92" t="s">
        <v>4438</v>
      </c>
      <c r="JH117" s="92" t="s">
        <v>109</v>
      </c>
      <c r="JI117" s="92" t="s">
        <v>109</v>
      </c>
    </row>
    <row r="118" spans="1:269" x14ac:dyDescent="0.25">
      <c r="A118" t="s">
        <v>3252</v>
      </c>
      <c r="B118" t="s">
        <v>3253</v>
      </c>
      <c r="C118" t="s">
        <v>1429</v>
      </c>
      <c r="D118" t="s">
        <v>1306</v>
      </c>
      <c r="F118" t="s">
        <v>1307</v>
      </c>
      <c r="G118" t="s">
        <v>1319</v>
      </c>
      <c r="H118">
        <v>4</v>
      </c>
      <c r="I118" t="s">
        <v>1307</v>
      </c>
      <c r="J118" t="s">
        <v>1406</v>
      </c>
      <c r="K118" t="s">
        <v>1309</v>
      </c>
      <c r="L118" t="s">
        <v>1310</v>
      </c>
      <c r="M118" t="s">
        <v>1309</v>
      </c>
      <c r="N118" t="s">
        <v>1309</v>
      </c>
      <c r="O118" t="s">
        <v>1309</v>
      </c>
      <c r="P118" t="s">
        <v>1309</v>
      </c>
      <c r="Q118" t="s">
        <v>1309</v>
      </c>
      <c r="R118" t="s">
        <v>1309</v>
      </c>
      <c r="S118">
        <v>1</v>
      </c>
      <c r="U118" t="s">
        <v>1312</v>
      </c>
      <c r="V118" t="s">
        <v>1312</v>
      </c>
      <c r="W118" t="s">
        <v>1312</v>
      </c>
      <c r="X118" t="s">
        <v>1312</v>
      </c>
      <c r="Y118" t="s">
        <v>1312</v>
      </c>
      <c r="Z118" t="s">
        <v>1312</v>
      </c>
      <c r="AC118">
        <v>2</v>
      </c>
      <c r="AD118">
        <v>28000</v>
      </c>
      <c r="AE118">
        <v>20000</v>
      </c>
      <c r="AF118" t="s">
        <v>1351</v>
      </c>
      <c r="AH118" t="s">
        <v>1319</v>
      </c>
      <c r="AI118" t="s">
        <v>4879</v>
      </c>
      <c r="AK118" t="s">
        <v>1307</v>
      </c>
      <c r="CG118" t="s">
        <v>3254</v>
      </c>
      <c r="CH118" t="s">
        <v>1310</v>
      </c>
      <c r="CI118" t="s">
        <v>1309</v>
      </c>
      <c r="CJ118" t="s">
        <v>1309</v>
      </c>
      <c r="CK118" t="s">
        <v>1310</v>
      </c>
      <c r="CL118" t="s">
        <v>1309</v>
      </c>
      <c r="CM118" t="s">
        <v>1309</v>
      </c>
      <c r="CN118" t="s">
        <v>1309</v>
      </c>
      <c r="CO118" t="s">
        <v>1309</v>
      </c>
      <c r="CP118" t="s">
        <v>1309</v>
      </c>
      <c r="CQ118" t="s">
        <v>1309</v>
      </c>
      <c r="CR118" t="s">
        <v>1309</v>
      </c>
      <c r="CS118" t="s">
        <v>1309</v>
      </c>
      <c r="CT118" t="s">
        <v>1309</v>
      </c>
      <c r="CU118" t="s">
        <v>1309</v>
      </c>
      <c r="CV118" t="s">
        <v>1309</v>
      </c>
      <c r="CX118" t="s">
        <v>1384</v>
      </c>
      <c r="CY118" t="s">
        <v>1310</v>
      </c>
      <c r="CZ118" t="s">
        <v>1309</v>
      </c>
      <c r="DA118" t="s">
        <v>1309</v>
      </c>
      <c r="DB118" t="s">
        <v>1309</v>
      </c>
      <c r="DC118" t="s">
        <v>1309</v>
      </c>
      <c r="DD118" t="s">
        <v>1309</v>
      </c>
      <c r="DE118" t="s">
        <v>1309</v>
      </c>
      <c r="DF118" t="s">
        <v>1309</v>
      </c>
      <c r="DG118" t="s">
        <v>1309</v>
      </c>
      <c r="DH118" t="s">
        <v>1309</v>
      </c>
      <c r="DI118" t="s">
        <v>1309</v>
      </c>
      <c r="DJ118" t="s">
        <v>1309</v>
      </c>
      <c r="DK118" t="s">
        <v>1309</v>
      </c>
      <c r="DM118" t="s">
        <v>4434</v>
      </c>
      <c r="DO118" t="s">
        <v>1308</v>
      </c>
      <c r="DP118" t="s">
        <v>1310</v>
      </c>
      <c r="DQ118" t="s">
        <v>1309</v>
      </c>
      <c r="DR118" t="s">
        <v>1309</v>
      </c>
      <c r="DS118" t="s">
        <v>1309</v>
      </c>
      <c r="DT118" t="s">
        <v>1309</v>
      </c>
      <c r="DU118" t="s">
        <v>1309</v>
      </c>
      <c r="DV118" t="s">
        <v>1309</v>
      </c>
      <c r="DX118" t="s">
        <v>1358</v>
      </c>
      <c r="DZ118">
        <v>1600</v>
      </c>
      <c r="EB118">
        <v>800</v>
      </c>
      <c r="EC118" t="s">
        <v>1358</v>
      </c>
      <c r="ED118">
        <v>2900</v>
      </c>
      <c r="EF118">
        <v>900</v>
      </c>
      <c r="EG118" t="s">
        <v>1703</v>
      </c>
      <c r="EH118" t="s">
        <v>1310</v>
      </c>
      <c r="EI118" t="s">
        <v>1309</v>
      </c>
      <c r="EJ118" t="s">
        <v>1309</v>
      </c>
      <c r="EK118" t="s">
        <v>1309</v>
      </c>
      <c r="EL118" t="s">
        <v>1309</v>
      </c>
      <c r="EM118" t="s">
        <v>1309</v>
      </c>
      <c r="EN118" t="s">
        <v>1309</v>
      </c>
      <c r="EO118" t="s">
        <v>1309</v>
      </c>
      <c r="EQ118" t="s">
        <v>1307</v>
      </c>
      <c r="ER118" t="s">
        <v>1319</v>
      </c>
      <c r="ES118" t="s">
        <v>1319</v>
      </c>
      <c r="EU118" t="s">
        <v>2553</v>
      </c>
      <c r="EV118" t="s">
        <v>1310</v>
      </c>
      <c r="EW118" t="s">
        <v>1309</v>
      </c>
      <c r="EX118" t="s">
        <v>1310</v>
      </c>
      <c r="EY118" t="s">
        <v>1309</v>
      </c>
      <c r="EZ118" t="s">
        <v>1309</v>
      </c>
      <c r="FA118" t="s">
        <v>1309</v>
      </c>
      <c r="FB118" t="s">
        <v>1309</v>
      </c>
      <c r="FC118" t="s">
        <v>1309</v>
      </c>
      <c r="FD118" t="s">
        <v>1309</v>
      </c>
      <c r="FE118" t="s">
        <v>1309</v>
      </c>
      <c r="FF118" t="s">
        <v>1309</v>
      </c>
      <c r="FG118" t="s">
        <v>1309</v>
      </c>
      <c r="FH118" t="s">
        <v>1310</v>
      </c>
      <c r="FI118" t="s">
        <v>1309</v>
      </c>
      <c r="FJ118" t="s">
        <v>1309</v>
      </c>
      <c r="FK118" t="s">
        <v>1309</v>
      </c>
      <c r="FL118" t="s">
        <v>1309</v>
      </c>
      <c r="FN118" t="s">
        <v>1307</v>
      </c>
      <c r="GC118" t="s">
        <v>1324</v>
      </c>
      <c r="GD118" t="s">
        <v>1324</v>
      </c>
      <c r="GN118" t="s">
        <v>1364</v>
      </c>
      <c r="HB118" t="s">
        <v>1319</v>
      </c>
      <c r="HC118" t="s">
        <v>2873</v>
      </c>
      <c r="HD118" t="s">
        <v>1310</v>
      </c>
      <c r="HE118" t="s">
        <v>1309</v>
      </c>
      <c r="HF118" t="s">
        <v>1309</v>
      </c>
      <c r="HG118" t="s">
        <v>1309</v>
      </c>
      <c r="HH118" t="s">
        <v>1309</v>
      </c>
      <c r="HI118" t="s">
        <v>1309</v>
      </c>
      <c r="HJ118" t="s">
        <v>1309</v>
      </c>
      <c r="HK118" t="s">
        <v>1310</v>
      </c>
      <c r="HL118" t="s">
        <v>1309</v>
      </c>
      <c r="HM118" t="s">
        <v>1309</v>
      </c>
      <c r="HN118" t="s">
        <v>1309</v>
      </c>
      <c r="HO118" t="s">
        <v>1309</v>
      </c>
      <c r="HP118" t="s">
        <v>1309</v>
      </c>
      <c r="HR118" t="s">
        <v>1566</v>
      </c>
      <c r="HS118" t="s">
        <v>1310</v>
      </c>
      <c r="HT118" t="s">
        <v>1309</v>
      </c>
      <c r="HU118" t="s">
        <v>1309</v>
      </c>
      <c r="HV118" t="s">
        <v>1309</v>
      </c>
      <c r="HW118" t="s">
        <v>1310</v>
      </c>
      <c r="HX118" t="s">
        <v>1309</v>
      </c>
      <c r="HY118" t="s">
        <v>1309</v>
      </c>
      <c r="HZ118" t="s">
        <v>1309</v>
      </c>
      <c r="IB118" s="92" t="s">
        <v>1333</v>
      </c>
      <c r="IC118" s="92" t="s">
        <v>1334</v>
      </c>
      <c r="ID118" s="92">
        <v>52</v>
      </c>
      <c r="IE118" s="92" t="s">
        <v>1307</v>
      </c>
      <c r="IF118" s="92" t="s">
        <v>4396</v>
      </c>
      <c r="IG118" s="92" t="s">
        <v>1336</v>
      </c>
      <c r="IH118" s="92" t="s">
        <v>1296</v>
      </c>
      <c r="II118" s="92" t="s">
        <v>71</v>
      </c>
      <c r="IJ118" s="92" t="s">
        <v>5549</v>
      </c>
      <c r="IK118" s="92" t="s">
        <v>1337</v>
      </c>
      <c r="IL118" s="92" t="s">
        <v>4845</v>
      </c>
      <c r="IM118" s="92" t="s">
        <v>1415</v>
      </c>
      <c r="IN118" s="92" t="s">
        <v>109</v>
      </c>
      <c r="IO118" s="92" t="s">
        <v>4847</v>
      </c>
      <c r="IP118" s="92" t="s">
        <v>1416</v>
      </c>
      <c r="IQ118" s="92">
        <v>2400</v>
      </c>
      <c r="IR118" s="92" t="s">
        <v>1372</v>
      </c>
      <c r="IS118" s="92" t="s">
        <v>192</v>
      </c>
      <c r="IT118" s="92" t="s">
        <v>109</v>
      </c>
      <c r="IU118" s="92" t="s">
        <v>192</v>
      </c>
      <c r="IV118" s="92" t="s">
        <v>109</v>
      </c>
      <c r="IW118" s="92" t="s">
        <v>1425</v>
      </c>
      <c r="IX118" s="92">
        <v>3800</v>
      </c>
      <c r="IY118" s="92" t="s">
        <v>4438</v>
      </c>
      <c r="IZ118" s="92" t="s">
        <v>1341</v>
      </c>
      <c r="JA118" s="92" t="s">
        <v>1460</v>
      </c>
      <c r="JB118" s="92" t="s">
        <v>192</v>
      </c>
      <c r="JC118" s="92" t="s">
        <v>5795</v>
      </c>
      <c r="JD118" s="92" t="s">
        <v>109</v>
      </c>
      <c r="JE118" s="92" t="s">
        <v>109</v>
      </c>
      <c r="JF118" s="92" t="s">
        <v>4438</v>
      </c>
      <c r="JG118" s="92" t="s">
        <v>4438</v>
      </c>
      <c r="JH118" s="92" t="s">
        <v>109</v>
      </c>
      <c r="JI118" s="92" t="s">
        <v>109</v>
      </c>
    </row>
    <row r="119" spans="1:269" x14ac:dyDescent="0.25">
      <c r="A119" t="s">
        <v>3255</v>
      </c>
      <c r="B119" t="s">
        <v>3256</v>
      </c>
      <c r="C119" t="s">
        <v>1429</v>
      </c>
      <c r="D119" t="s">
        <v>1306</v>
      </c>
      <c r="F119" t="s">
        <v>1307</v>
      </c>
      <c r="G119" t="s">
        <v>1319</v>
      </c>
      <c r="H119">
        <v>2</v>
      </c>
      <c r="I119" t="s">
        <v>1307</v>
      </c>
      <c r="J119" t="s">
        <v>1308</v>
      </c>
      <c r="K119" t="s">
        <v>1309</v>
      </c>
      <c r="L119" t="s">
        <v>1309</v>
      </c>
      <c r="M119" t="s">
        <v>1309</v>
      </c>
      <c r="N119" t="s">
        <v>1309</v>
      </c>
      <c r="O119" t="s">
        <v>1309</v>
      </c>
      <c r="P119" t="s">
        <v>1309</v>
      </c>
      <c r="Q119" t="s">
        <v>1310</v>
      </c>
      <c r="R119" t="s">
        <v>1309</v>
      </c>
      <c r="U119" t="s">
        <v>1312</v>
      </c>
      <c r="V119" t="s">
        <v>1312</v>
      </c>
      <c r="W119" t="s">
        <v>1312</v>
      </c>
      <c r="X119" t="s">
        <v>1312</v>
      </c>
      <c r="Y119" t="s">
        <v>1312</v>
      </c>
      <c r="Z119" t="s">
        <v>1312</v>
      </c>
      <c r="AC119">
        <v>2</v>
      </c>
      <c r="AD119">
        <v>30000</v>
      </c>
      <c r="AE119">
        <v>25000</v>
      </c>
      <c r="AF119" t="s">
        <v>1351</v>
      </c>
      <c r="AH119" t="s">
        <v>1319</v>
      </c>
      <c r="AI119" t="s">
        <v>4879</v>
      </c>
      <c r="AK119" t="s">
        <v>1319</v>
      </c>
      <c r="AL119" t="s">
        <v>1315</v>
      </c>
      <c r="AN119" t="s">
        <v>1316</v>
      </c>
      <c r="BU119" t="s">
        <v>2853</v>
      </c>
      <c r="BV119" t="s">
        <v>1310</v>
      </c>
      <c r="BW119" t="s">
        <v>1309</v>
      </c>
      <c r="BX119" t="s">
        <v>1309</v>
      </c>
      <c r="BY119" t="s">
        <v>1309</v>
      </c>
      <c r="BZ119" t="s">
        <v>1309</v>
      </c>
      <c r="CA119" t="s">
        <v>1309</v>
      </c>
      <c r="CB119" t="s">
        <v>1309</v>
      </c>
      <c r="CC119" t="s">
        <v>1309</v>
      </c>
      <c r="CD119" t="s">
        <v>1309</v>
      </c>
      <c r="CE119" t="s">
        <v>1309</v>
      </c>
      <c r="CX119" t="s">
        <v>2135</v>
      </c>
      <c r="CY119" t="s">
        <v>1309</v>
      </c>
      <c r="CZ119" t="s">
        <v>1309</v>
      </c>
      <c r="DA119" t="s">
        <v>1309</v>
      </c>
      <c r="DB119" t="s">
        <v>1309</v>
      </c>
      <c r="DC119" t="s">
        <v>1309</v>
      </c>
      <c r="DD119" t="s">
        <v>1310</v>
      </c>
      <c r="DE119" t="s">
        <v>1309</v>
      </c>
      <c r="DF119" t="s">
        <v>1309</v>
      </c>
      <c r="DG119" t="s">
        <v>1309</v>
      </c>
      <c r="DH119" t="s">
        <v>1309</v>
      </c>
      <c r="DI119" t="s">
        <v>1309</v>
      </c>
      <c r="DJ119" t="s">
        <v>1309</v>
      </c>
      <c r="DK119" t="s">
        <v>1309</v>
      </c>
      <c r="DM119" t="s">
        <v>4436</v>
      </c>
      <c r="DO119" t="s">
        <v>1444</v>
      </c>
      <c r="DP119" t="s">
        <v>1309</v>
      </c>
      <c r="DQ119" t="s">
        <v>1310</v>
      </c>
      <c r="DR119" t="s">
        <v>1309</v>
      </c>
      <c r="DS119" t="s">
        <v>1309</v>
      </c>
      <c r="DT119" t="s">
        <v>1309</v>
      </c>
      <c r="DU119" t="s">
        <v>1309</v>
      </c>
      <c r="DV119" t="s">
        <v>1309</v>
      </c>
      <c r="DX119" t="s">
        <v>1358</v>
      </c>
      <c r="DZ119">
        <v>200</v>
      </c>
      <c r="EA119">
        <v>2000</v>
      </c>
      <c r="EB119">
        <v>1300</v>
      </c>
      <c r="EC119" t="s">
        <v>1358</v>
      </c>
      <c r="ED119">
        <v>350</v>
      </c>
      <c r="EF119">
        <v>1200</v>
      </c>
      <c r="EG119" t="s">
        <v>1703</v>
      </c>
      <c r="EH119" t="s">
        <v>1310</v>
      </c>
      <c r="EI119" t="s">
        <v>1309</v>
      </c>
      <c r="EJ119" t="s">
        <v>1309</v>
      </c>
      <c r="EK119" t="s">
        <v>1309</v>
      </c>
      <c r="EL119" t="s">
        <v>1309</v>
      </c>
      <c r="EM119" t="s">
        <v>1309</v>
      </c>
      <c r="EN119" t="s">
        <v>1309</v>
      </c>
      <c r="EO119" t="s">
        <v>1309</v>
      </c>
      <c r="EQ119" t="s">
        <v>1319</v>
      </c>
      <c r="ER119" t="s">
        <v>1307</v>
      </c>
      <c r="ES119" t="s">
        <v>1307</v>
      </c>
      <c r="ET119" t="s">
        <v>1307</v>
      </c>
      <c r="FN119" t="s">
        <v>1307</v>
      </c>
      <c r="GC119" t="s">
        <v>1324</v>
      </c>
      <c r="GD119" t="s">
        <v>1324</v>
      </c>
      <c r="GN119" t="s">
        <v>1364</v>
      </c>
      <c r="HB119" t="s">
        <v>1307</v>
      </c>
      <c r="HR119" t="s">
        <v>1332</v>
      </c>
      <c r="HS119" t="s">
        <v>1309</v>
      </c>
      <c r="HT119" t="s">
        <v>1309</v>
      </c>
      <c r="HU119" t="s">
        <v>1309</v>
      </c>
      <c r="HV119" t="s">
        <v>1309</v>
      </c>
      <c r="HW119" t="s">
        <v>1310</v>
      </c>
      <c r="HX119" t="s">
        <v>1309</v>
      </c>
      <c r="HY119" t="s">
        <v>1309</v>
      </c>
      <c r="HZ119" t="s">
        <v>1309</v>
      </c>
      <c r="IB119" s="92" t="s">
        <v>1366</v>
      </c>
      <c r="IC119" s="92" t="s">
        <v>3257</v>
      </c>
      <c r="ID119" s="92">
        <v>25</v>
      </c>
      <c r="IE119" s="92" t="s">
        <v>1307</v>
      </c>
      <c r="IF119" s="92" t="s">
        <v>4396</v>
      </c>
      <c r="IG119" s="92" t="s">
        <v>1368</v>
      </c>
      <c r="IH119" s="92" t="s">
        <v>1296</v>
      </c>
      <c r="II119" s="92" t="s">
        <v>71</v>
      </c>
      <c r="IJ119" s="92" t="s">
        <v>5549</v>
      </c>
      <c r="IK119" s="92" t="s">
        <v>1398</v>
      </c>
      <c r="IL119" s="92" t="s">
        <v>4845</v>
      </c>
      <c r="IM119" s="92" t="s">
        <v>1338</v>
      </c>
      <c r="IN119" s="92" t="s">
        <v>109</v>
      </c>
      <c r="IO119" s="92" t="s">
        <v>4847</v>
      </c>
      <c r="IP119" s="92" t="s">
        <v>1416</v>
      </c>
      <c r="IQ119" s="92">
        <v>3500</v>
      </c>
      <c r="IR119" s="92" t="s">
        <v>4438</v>
      </c>
      <c r="IS119" s="92" t="s">
        <v>192</v>
      </c>
      <c r="IT119" s="92" t="s">
        <v>192</v>
      </c>
      <c r="IU119" s="92" t="s">
        <v>192</v>
      </c>
      <c r="IV119" s="92" t="s">
        <v>109</v>
      </c>
      <c r="IW119" s="92" t="s">
        <v>1341</v>
      </c>
      <c r="IX119" s="92">
        <v>1550</v>
      </c>
      <c r="IY119" s="92" t="s">
        <v>1372</v>
      </c>
      <c r="IZ119" s="92" t="s">
        <v>1440</v>
      </c>
      <c r="JA119" s="92" t="s">
        <v>1375</v>
      </c>
      <c r="JB119" s="92" t="s">
        <v>192</v>
      </c>
      <c r="JC119" s="92" t="s">
        <v>5795</v>
      </c>
      <c r="JD119" s="92" t="s">
        <v>109</v>
      </c>
      <c r="JE119" s="92" t="s">
        <v>109</v>
      </c>
      <c r="JF119" s="92" t="s">
        <v>4438</v>
      </c>
      <c r="JG119" s="92" t="s">
        <v>1372</v>
      </c>
      <c r="JH119" s="92" t="s">
        <v>109</v>
      </c>
      <c r="JI119" s="92" t="s">
        <v>109</v>
      </c>
    </row>
    <row r="120" spans="1:269" x14ac:dyDescent="0.25">
      <c r="A120" t="s">
        <v>3258</v>
      </c>
      <c r="B120" t="s">
        <v>3259</v>
      </c>
      <c r="C120" t="s">
        <v>1305</v>
      </c>
      <c r="D120" t="s">
        <v>1381</v>
      </c>
      <c r="F120" t="s">
        <v>1319</v>
      </c>
      <c r="G120" t="s">
        <v>1319</v>
      </c>
      <c r="H120">
        <v>4</v>
      </c>
      <c r="I120" t="s">
        <v>1358</v>
      </c>
      <c r="J120" t="s">
        <v>1406</v>
      </c>
      <c r="K120" t="s">
        <v>1309</v>
      </c>
      <c r="L120" t="s">
        <v>1310</v>
      </c>
      <c r="M120" t="s">
        <v>1309</v>
      </c>
      <c r="N120" t="s">
        <v>1309</v>
      </c>
      <c r="O120" t="s">
        <v>1309</v>
      </c>
      <c r="P120" t="s">
        <v>1309</v>
      </c>
      <c r="Q120" t="s">
        <v>1309</v>
      </c>
      <c r="R120" t="s">
        <v>1309</v>
      </c>
      <c r="S120">
        <v>2</v>
      </c>
      <c r="U120" t="s">
        <v>1312</v>
      </c>
      <c r="V120" t="s">
        <v>1312</v>
      </c>
      <c r="W120" t="s">
        <v>1312</v>
      </c>
      <c r="X120" t="s">
        <v>1312</v>
      </c>
      <c r="Y120" t="s">
        <v>1312</v>
      </c>
      <c r="Z120" t="s">
        <v>1312</v>
      </c>
      <c r="AC120">
        <v>2</v>
      </c>
      <c r="AD120">
        <v>40000</v>
      </c>
      <c r="AE120">
        <v>35000</v>
      </c>
      <c r="AF120" t="s">
        <v>1313</v>
      </c>
      <c r="AH120" t="s">
        <v>1319</v>
      </c>
      <c r="AI120" t="s">
        <v>4879</v>
      </c>
      <c r="AK120" t="s">
        <v>1307</v>
      </c>
      <c r="CG120" t="s">
        <v>3260</v>
      </c>
      <c r="CH120" t="s">
        <v>1309</v>
      </c>
      <c r="CI120" t="s">
        <v>1309</v>
      </c>
      <c r="CJ120" t="s">
        <v>1309</v>
      </c>
      <c r="CK120" t="s">
        <v>1310</v>
      </c>
      <c r="CL120" t="s">
        <v>1309</v>
      </c>
      <c r="CM120" t="s">
        <v>1309</v>
      </c>
      <c r="CN120" t="s">
        <v>1309</v>
      </c>
      <c r="CO120" t="s">
        <v>1309</v>
      </c>
      <c r="CP120" t="s">
        <v>1309</v>
      </c>
      <c r="CQ120" t="s">
        <v>1309</v>
      </c>
      <c r="CR120" t="s">
        <v>1309</v>
      </c>
      <c r="CS120" t="s">
        <v>1310</v>
      </c>
      <c r="CT120" t="s">
        <v>1309</v>
      </c>
      <c r="CU120" t="s">
        <v>1309</v>
      </c>
      <c r="CV120" t="s">
        <v>1309</v>
      </c>
      <c r="CX120" t="s">
        <v>1414</v>
      </c>
      <c r="CY120" t="s">
        <v>1309</v>
      </c>
      <c r="CZ120" t="s">
        <v>1309</v>
      </c>
      <c r="DA120" t="s">
        <v>1309</v>
      </c>
      <c r="DB120" t="s">
        <v>1309</v>
      </c>
      <c r="DC120" t="s">
        <v>1309</v>
      </c>
      <c r="DD120" t="s">
        <v>1309</v>
      </c>
      <c r="DE120" t="s">
        <v>1309</v>
      </c>
      <c r="DF120" t="s">
        <v>1309</v>
      </c>
      <c r="DG120" t="s">
        <v>1309</v>
      </c>
      <c r="DH120" t="s">
        <v>1309</v>
      </c>
      <c r="DI120" t="s">
        <v>1309</v>
      </c>
      <c r="DJ120" t="s">
        <v>1310</v>
      </c>
      <c r="DK120" t="s">
        <v>1309</v>
      </c>
      <c r="DM120" t="s">
        <v>4434</v>
      </c>
      <c r="DO120" t="s">
        <v>1308</v>
      </c>
      <c r="DP120" t="s">
        <v>1310</v>
      </c>
      <c r="DQ120" t="s">
        <v>1309</v>
      </c>
      <c r="DR120" t="s">
        <v>1309</v>
      </c>
      <c r="DS120" t="s">
        <v>1309</v>
      </c>
      <c r="DT120" t="s">
        <v>1309</v>
      </c>
      <c r="DU120" t="s">
        <v>1309</v>
      </c>
      <c r="DV120" t="s">
        <v>1309</v>
      </c>
      <c r="DX120" t="s">
        <v>1358</v>
      </c>
      <c r="DZ120">
        <v>3000</v>
      </c>
      <c r="EB120">
        <v>700</v>
      </c>
      <c r="EC120" t="s">
        <v>1358</v>
      </c>
      <c r="ED120">
        <v>5000</v>
      </c>
      <c r="EF120">
        <v>700</v>
      </c>
      <c r="EG120" t="s">
        <v>1703</v>
      </c>
      <c r="EH120" t="s">
        <v>1310</v>
      </c>
      <c r="EI120" t="s">
        <v>1309</v>
      </c>
      <c r="EJ120" t="s">
        <v>1309</v>
      </c>
      <c r="EK120" t="s">
        <v>1309</v>
      </c>
      <c r="EL120" t="s">
        <v>1309</v>
      </c>
      <c r="EM120" t="s">
        <v>1309</v>
      </c>
      <c r="EN120" t="s">
        <v>1309</v>
      </c>
      <c r="EO120" t="s">
        <v>1309</v>
      </c>
      <c r="EQ120" t="s">
        <v>1307</v>
      </c>
      <c r="ER120" t="s">
        <v>1307</v>
      </c>
      <c r="ES120" t="s">
        <v>1307</v>
      </c>
      <c r="FN120" t="s">
        <v>1307</v>
      </c>
      <c r="GC120" t="s">
        <v>1324</v>
      </c>
      <c r="GD120" t="s">
        <v>1324</v>
      </c>
      <c r="GN120" t="s">
        <v>1364</v>
      </c>
      <c r="HB120" t="s">
        <v>1319</v>
      </c>
      <c r="HC120" t="s">
        <v>1784</v>
      </c>
      <c r="HD120" t="s">
        <v>1309</v>
      </c>
      <c r="HE120" t="s">
        <v>1310</v>
      </c>
      <c r="HF120" t="s">
        <v>1309</v>
      </c>
      <c r="HG120" t="s">
        <v>1309</v>
      </c>
      <c r="HH120" t="s">
        <v>1309</v>
      </c>
      <c r="HI120" t="s">
        <v>1309</v>
      </c>
      <c r="HJ120" t="s">
        <v>1309</v>
      </c>
      <c r="HK120" t="s">
        <v>1309</v>
      </c>
      <c r="HL120" t="s">
        <v>1309</v>
      </c>
      <c r="HM120" t="s">
        <v>1309</v>
      </c>
      <c r="HN120" t="s">
        <v>1309</v>
      </c>
      <c r="HO120" t="s">
        <v>1309</v>
      </c>
      <c r="HP120" t="s">
        <v>1309</v>
      </c>
      <c r="HR120" t="s">
        <v>1414</v>
      </c>
      <c r="HS120" t="s">
        <v>1309</v>
      </c>
      <c r="HT120" t="s">
        <v>1309</v>
      </c>
      <c r="HU120" t="s">
        <v>1309</v>
      </c>
      <c r="HV120" t="s">
        <v>1309</v>
      </c>
      <c r="HW120" t="s">
        <v>1309</v>
      </c>
      <c r="HX120" t="s">
        <v>1309</v>
      </c>
      <c r="HY120" t="s">
        <v>1310</v>
      </c>
      <c r="HZ120" t="s">
        <v>1309</v>
      </c>
      <c r="IB120" s="92" t="s">
        <v>1333</v>
      </c>
      <c r="IC120" s="92" t="s">
        <v>1334</v>
      </c>
      <c r="ID120" s="92">
        <v>42</v>
      </c>
      <c r="IE120" s="92" t="s">
        <v>1307</v>
      </c>
      <c r="IF120" s="92" t="s">
        <v>4398</v>
      </c>
      <c r="IG120" s="92" t="s">
        <v>1336</v>
      </c>
      <c r="IH120" s="92" t="s">
        <v>1296</v>
      </c>
      <c r="II120" s="92" t="s">
        <v>71</v>
      </c>
      <c r="IJ120" s="92" t="s">
        <v>1397</v>
      </c>
      <c r="IK120" s="92" t="s">
        <v>1337</v>
      </c>
      <c r="IL120" s="92" t="s">
        <v>4845</v>
      </c>
      <c r="IM120" s="92" t="s">
        <v>1415</v>
      </c>
      <c r="IN120" s="92" t="s">
        <v>109</v>
      </c>
      <c r="IO120" s="92" t="s">
        <v>4847</v>
      </c>
      <c r="IP120" s="92" t="s">
        <v>1416</v>
      </c>
      <c r="IQ120" s="92">
        <v>3700</v>
      </c>
      <c r="IR120" s="92" t="s">
        <v>1372</v>
      </c>
      <c r="IS120" s="92" t="s">
        <v>192</v>
      </c>
      <c r="IT120" s="92" t="s">
        <v>109</v>
      </c>
      <c r="IU120" s="92" t="s">
        <v>192</v>
      </c>
      <c r="IV120" s="92" t="s">
        <v>109</v>
      </c>
      <c r="IW120" s="92" t="s">
        <v>1341</v>
      </c>
      <c r="IX120" s="92">
        <v>5700</v>
      </c>
      <c r="IY120" s="92" t="s">
        <v>4438</v>
      </c>
      <c r="IZ120" s="92" t="s">
        <v>1341</v>
      </c>
      <c r="JA120" s="92" t="s">
        <v>1460</v>
      </c>
      <c r="JB120" s="92" t="s">
        <v>192</v>
      </c>
      <c r="JC120" s="92" t="s">
        <v>1403</v>
      </c>
      <c r="JD120" s="92" t="s">
        <v>109</v>
      </c>
      <c r="JE120" s="92" t="s">
        <v>109</v>
      </c>
      <c r="JF120" s="92" t="s">
        <v>1372</v>
      </c>
      <c r="JG120" s="92" t="s">
        <v>4438</v>
      </c>
      <c r="JH120" s="92" t="s">
        <v>109</v>
      </c>
      <c r="JI120" s="92" t="s">
        <v>192</v>
      </c>
    </row>
    <row r="121" spans="1:269" x14ac:dyDescent="0.25">
      <c r="A121" t="s">
        <v>3261</v>
      </c>
      <c r="B121" t="s">
        <v>3262</v>
      </c>
      <c r="C121" t="s">
        <v>1305</v>
      </c>
      <c r="D121" t="s">
        <v>1306</v>
      </c>
      <c r="F121" t="s">
        <v>1307</v>
      </c>
      <c r="G121" t="s">
        <v>1319</v>
      </c>
      <c r="H121">
        <v>1</v>
      </c>
      <c r="J121" t="s">
        <v>1308</v>
      </c>
      <c r="K121" t="s">
        <v>1309</v>
      </c>
      <c r="L121" t="s">
        <v>1309</v>
      </c>
      <c r="M121" t="s">
        <v>1309</v>
      </c>
      <c r="N121" t="s">
        <v>1309</v>
      </c>
      <c r="O121" t="s">
        <v>1309</v>
      </c>
      <c r="P121" t="s">
        <v>1309</v>
      </c>
      <c r="Q121" t="s">
        <v>1310</v>
      </c>
      <c r="R121" t="s">
        <v>1309</v>
      </c>
      <c r="U121" t="s">
        <v>1312</v>
      </c>
      <c r="V121" t="s">
        <v>1312</v>
      </c>
      <c r="W121" t="s">
        <v>1312</v>
      </c>
      <c r="X121" t="s">
        <v>1312</v>
      </c>
      <c r="Y121" t="s">
        <v>1312</v>
      </c>
      <c r="Z121" t="s">
        <v>1312</v>
      </c>
      <c r="AC121">
        <v>1</v>
      </c>
      <c r="AD121">
        <v>10000</v>
      </c>
      <c r="AE121">
        <v>7000</v>
      </c>
      <c r="AF121" t="s">
        <v>1313</v>
      </c>
      <c r="AH121" t="s">
        <v>1319</v>
      </c>
      <c r="AI121" t="s">
        <v>4879</v>
      </c>
      <c r="AK121" t="s">
        <v>1307</v>
      </c>
      <c r="CG121" t="s">
        <v>2853</v>
      </c>
      <c r="CH121" t="s">
        <v>1309</v>
      </c>
      <c r="CI121" t="s">
        <v>1309</v>
      </c>
      <c r="CJ121" t="s">
        <v>1309</v>
      </c>
      <c r="CK121" t="s">
        <v>1310</v>
      </c>
      <c r="CL121" t="s">
        <v>1309</v>
      </c>
      <c r="CM121" t="s">
        <v>1309</v>
      </c>
      <c r="CN121" t="s">
        <v>1309</v>
      </c>
      <c r="CO121" t="s">
        <v>1309</v>
      </c>
      <c r="CP121" t="s">
        <v>1309</v>
      </c>
      <c r="CQ121" t="s">
        <v>1309</v>
      </c>
      <c r="CR121" t="s">
        <v>1309</v>
      </c>
      <c r="CS121" t="s">
        <v>1309</v>
      </c>
      <c r="CT121" t="s">
        <v>1309</v>
      </c>
      <c r="CU121" t="s">
        <v>1309</v>
      </c>
      <c r="CV121" t="s">
        <v>1309</v>
      </c>
      <c r="CX121" t="s">
        <v>1384</v>
      </c>
      <c r="CY121" t="s">
        <v>1310</v>
      </c>
      <c r="CZ121" t="s">
        <v>1309</v>
      </c>
      <c r="DA121" t="s">
        <v>1309</v>
      </c>
      <c r="DB121" t="s">
        <v>1309</v>
      </c>
      <c r="DC121" t="s">
        <v>1309</v>
      </c>
      <c r="DD121" t="s">
        <v>1309</v>
      </c>
      <c r="DE121" t="s">
        <v>1309</v>
      </c>
      <c r="DF121" t="s">
        <v>1309</v>
      </c>
      <c r="DG121" t="s">
        <v>1309</v>
      </c>
      <c r="DH121" t="s">
        <v>1309</v>
      </c>
      <c r="DI121" t="s">
        <v>1309</v>
      </c>
      <c r="DJ121" t="s">
        <v>1309</v>
      </c>
      <c r="DK121" t="s">
        <v>1309</v>
      </c>
      <c r="DM121" t="s">
        <v>4434</v>
      </c>
      <c r="DO121" t="s">
        <v>1308</v>
      </c>
      <c r="DP121" t="s">
        <v>1310</v>
      </c>
      <c r="DQ121" t="s">
        <v>1309</v>
      </c>
      <c r="DR121" t="s">
        <v>1309</v>
      </c>
      <c r="DS121" t="s">
        <v>1309</v>
      </c>
      <c r="DT121" t="s">
        <v>1309</v>
      </c>
      <c r="DU121" t="s">
        <v>1309</v>
      </c>
      <c r="DV121" t="s">
        <v>1309</v>
      </c>
      <c r="DX121" t="s">
        <v>1318</v>
      </c>
      <c r="DZ121">
        <v>2200</v>
      </c>
      <c r="EB121">
        <v>500</v>
      </c>
      <c r="EC121" t="s">
        <v>1318</v>
      </c>
      <c r="ED121">
        <v>2800</v>
      </c>
      <c r="EF121">
        <v>800</v>
      </c>
      <c r="EG121" t="s">
        <v>1703</v>
      </c>
      <c r="EH121" t="s">
        <v>1310</v>
      </c>
      <c r="EI121" t="s">
        <v>1309</v>
      </c>
      <c r="EJ121" t="s">
        <v>1309</v>
      </c>
      <c r="EK121" t="s">
        <v>1309</v>
      </c>
      <c r="EL121" t="s">
        <v>1309</v>
      </c>
      <c r="EM121" t="s">
        <v>1309</v>
      </c>
      <c r="EN121" t="s">
        <v>1309</v>
      </c>
      <c r="EO121" t="s">
        <v>1309</v>
      </c>
      <c r="EQ121" t="s">
        <v>1307</v>
      </c>
      <c r="ER121" t="s">
        <v>1307</v>
      </c>
      <c r="ES121" t="s">
        <v>1307</v>
      </c>
      <c r="FN121" t="s">
        <v>1307</v>
      </c>
      <c r="GC121" t="s">
        <v>1324</v>
      </c>
      <c r="GD121" t="s">
        <v>1324</v>
      </c>
      <c r="GN121" t="s">
        <v>1328</v>
      </c>
      <c r="GO121" t="s">
        <v>1329</v>
      </c>
      <c r="GP121" t="s">
        <v>1309</v>
      </c>
      <c r="GQ121" t="s">
        <v>1309</v>
      </c>
      <c r="GR121" t="s">
        <v>1309</v>
      </c>
      <c r="GS121" t="s">
        <v>1310</v>
      </c>
      <c r="GT121" t="s">
        <v>1309</v>
      </c>
      <c r="GU121" t="s">
        <v>1309</v>
      </c>
      <c r="GV121" t="s">
        <v>1309</v>
      </c>
      <c r="GW121" t="s">
        <v>1309</v>
      </c>
      <c r="GX121" t="s">
        <v>1309</v>
      </c>
      <c r="GY121" t="s">
        <v>1309</v>
      </c>
      <c r="GZ121" t="s">
        <v>1309</v>
      </c>
      <c r="HB121" t="s">
        <v>1307</v>
      </c>
      <c r="HR121" t="s">
        <v>1414</v>
      </c>
      <c r="HS121" t="s">
        <v>1309</v>
      </c>
      <c r="HT121" t="s">
        <v>1309</v>
      </c>
      <c r="HU121" t="s">
        <v>1309</v>
      </c>
      <c r="HV121" t="s">
        <v>1309</v>
      </c>
      <c r="HW121" t="s">
        <v>1309</v>
      </c>
      <c r="HX121" t="s">
        <v>1309</v>
      </c>
      <c r="HY121" t="s">
        <v>1310</v>
      </c>
      <c r="HZ121" t="s">
        <v>1309</v>
      </c>
      <c r="IB121" s="92" t="s">
        <v>1333</v>
      </c>
      <c r="IC121" s="92" t="s">
        <v>1334</v>
      </c>
      <c r="ID121" s="92">
        <v>36</v>
      </c>
      <c r="IE121" s="92" t="s">
        <v>1307</v>
      </c>
      <c r="IF121" s="92" t="s">
        <v>4398</v>
      </c>
      <c r="IG121" s="92" t="s">
        <v>1336</v>
      </c>
      <c r="IH121" s="92" t="s">
        <v>1296</v>
      </c>
      <c r="II121" s="92" t="s">
        <v>71</v>
      </c>
      <c r="IJ121" s="92" t="s">
        <v>5549</v>
      </c>
      <c r="IK121" s="92" t="s">
        <v>1337</v>
      </c>
      <c r="IL121" s="92" t="s">
        <v>4844</v>
      </c>
      <c r="IM121" s="92" t="s">
        <v>1338</v>
      </c>
      <c r="IN121" s="92" t="s">
        <v>109</v>
      </c>
      <c r="IO121" s="92" t="s">
        <v>4844</v>
      </c>
      <c r="IP121" s="92" t="s">
        <v>1424</v>
      </c>
      <c r="IQ121" s="92">
        <v>2700</v>
      </c>
      <c r="IR121" s="92" t="s">
        <v>4439</v>
      </c>
      <c r="IS121" s="92" t="s">
        <v>192</v>
      </c>
      <c r="IT121" s="92" t="s">
        <v>109</v>
      </c>
      <c r="IU121" s="92" t="s">
        <v>192</v>
      </c>
      <c r="IV121" s="92" t="s">
        <v>109</v>
      </c>
      <c r="IW121" s="92" t="s">
        <v>1425</v>
      </c>
      <c r="IX121" s="92">
        <v>3600</v>
      </c>
      <c r="IY121" s="92" t="s">
        <v>4439</v>
      </c>
      <c r="IZ121" s="92" t="s">
        <v>1341</v>
      </c>
      <c r="JA121" s="92" t="s">
        <v>1460</v>
      </c>
      <c r="JB121" s="92" t="s">
        <v>192</v>
      </c>
      <c r="JC121" s="92" t="s">
        <v>5795</v>
      </c>
      <c r="JD121" s="92" t="s">
        <v>109</v>
      </c>
      <c r="JE121" s="92" t="s">
        <v>109</v>
      </c>
      <c r="JF121" s="92" t="s">
        <v>4439</v>
      </c>
      <c r="JG121" s="92" t="s">
        <v>4439</v>
      </c>
      <c r="JH121" s="92" t="s">
        <v>109</v>
      </c>
      <c r="JI121" s="92" t="s">
        <v>192</v>
      </c>
    </row>
    <row r="122" spans="1:269" x14ac:dyDescent="0.25">
      <c r="A122" t="s">
        <v>3263</v>
      </c>
      <c r="B122" t="s">
        <v>3264</v>
      </c>
      <c r="C122" t="s">
        <v>1305</v>
      </c>
      <c r="D122" t="s">
        <v>1381</v>
      </c>
      <c r="F122" t="s">
        <v>1319</v>
      </c>
      <c r="G122" t="s">
        <v>1319</v>
      </c>
      <c r="H122">
        <v>2</v>
      </c>
      <c r="I122" t="s">
        <v>1358</v>
      </c>
      <c r="J122" t="s">
        <v>1382</v>
      </c>
      <c r="K122" t="s">
        <v>1309</v>
      </c>
      <c r="L122" t="s">
        <v>1310</v>
      </c>
      <c r="M122" t="s">
        <v>1309</v>
      </c>
      <c r="N122" t="s">
        <v>1309</v>
      </c>
      <c r="O122" t="s">
        <v>1309</v>
      </c>
      <c r="P122" t="s">
        <v>1310</v>
      </c>
      <c r="Q122" t="s">
        <v>1309</v>
      </c>
      <c r="R122" t="s">
        <v>1309</v>
      </c>
      <c r="S122">
        <v>1</v>
      </c>
      <c r="U122" t="s">
        <v>1312</v>
      </c>
      <c r="V122" t="s">
        <v>1312</v>
      </c>
      <c r="W122" t="s">
        <v>1312</v>
      </c>
      <c r="X122" t="s">
        <v>1312</v>
      </c>
      <c r="Y122" t="s">
        <v>1312</v>
      </c>
      <c r="Z122" t="s">
        <v>1312</v>
      </c>
      <c r="AC122">
        <v>1</v>
      </c>
      <c r="AD122">
        <v>20000</v>
      </c>
      <c r="AE122">
        <v>15000</v>
      </c>
      <c r="AF122" t="s">
        <v>1313</v>
      </c>
      <c r="AH122" t="s">
        <v>1319</v>
      </c>
      <c r="AI122" t="s">
        <v>4879</v>
      </c>
      <c r="AK122" t="s">
        <v>1319</v>
      </c>
      <c r="AL122" t="s">
        <v>1315</v>
      </c>
      <c r="AN122" t="s">
        <v>1331</v>
      </c>
      <c r="BU122" t="s">
        <v>2853</v>
      </c>
      <c r="BV122" t="s">
        <v>1310</v>
      </c>
      <c r="BW122" t="s">
        <v>1309</v>
      </c>
      <c r="BX122" t="s">
        <v>1309</v>
      </c>
      <c r="BY122" t="s">
        <v>1309</v>
      </c>
      <c r="BZ122" t="s">
        <v>1309</v>
      </c>
      <c r="CA122" t="s">
        <v>1309</v>
      </c>
      <c r="CB122" t="s">
        <v>1309</v>
      </c>
      <c r="CC122" t="s">
        <v>1309</v>
      </c>
      <c r="CD122" t="s">
        <v>1309</v>
      </c>
      <c r="CE122" t="s">
        <v>1309</v>
      </c>
      <c r="CX122" t="s">
        <v>1384</v>
      </c>
      <c r="CY122" t="s">
        <v>1310</v>
      </c>
      <c r="CZ122" t="s">
        <v>1309</v>
      </c>
      <c r="DA122" t="s">
        <v>1309</v>
      </c>
      <c r="DB122" t="s">
        <v>1309</v>
      </c>
      <c r="DC122" t="s">
        <v>1309</v>
      </c>
      <c r="DD122" t="s">
        <v>1309</v>
      </c>
      <c r="DE122" t="s">
        <v>1309</v>
      </c>
      <c r="DF122" t="s">
        <v>1309</v>
      </c>
      <c r="DG122" t="s">
        <v>1309</v>
      </c>
      <c r="DH122" t="s">
        <v>1309</v>
      </c>
      <c r="DI122" t="s">
        <v>1309</v>
      </c>
      <c r="DJ122" t="s">
        <v>1309</v>
      </c>
      <c r="DK122" t="s">
        <v>1309</v>
      </c>
      <c r="DM122" t="s">
        <v>4435</v>
      </c>
      <c r="DO122" t="s">
        <v>1308</v>
      </c>
      <c r="DP122" t="s">
        <v>1310</v>
      </c>
      <c r="DQ122" t="s">
        <v>1309</v>
      </c>
      <c r="DR122" t="s">
        <v>1309</v>
      </c>
      <c r="DS122" t="s">
        <v>1309</v>
      </c>
      <c r="DT122" t="s">
        <v>1309</v>
      </c>
      <c r="DU122" t="s">
        <v>1309</v>
      </c>
      <c r="DV122" t="s">
        <v>1309</v>
      </c>
      <c r="DX122" t="s">
        <v>1358</v>
      </c>
      <c r="DY122" t="s">
        <v>1307</v>
      </c>
      <c r="EA122">
        <v>1800</v>
      </c>
      <c r="EB122">
        <v>300</v>
      </c>
      <c r="EC122" t="s">
        <v>1358</v>
      </c>
      <c r="EE122">
        <v>2500</v>
      </c>
      <c r="EF122">
        <v>400</v>
      </c>
      <c r="EG122" t="s">
        <v>1703</v>
      </c>
      <c r="EH122" t="s">
        <v>1310</v>
      </c>
      <c r="EI122" t="s">
        <v>1309</v>
      </c>
      <c r="EJ122" t="s">
        <v>1309</v>
      </c>
      <c r="EK122" t="s">
        <v>1309</v>
      </c>
      <c r="EL122" t="s">
        <v>1309</v>
      </c>
      <c r="EM122" t="s">
        <v>1309</v>
      </c>
      <c r="EN122" t="s">
        <v>1309</v>
      </c>
      <c r="EO122" t="s">
        <v>1309</v>
      </c>
      <c r="EQ122" t="s">
        <v>1319</v>
      </c>
      <c r="ER122" t="s">
        <v>1319</v>
      </c>
      <c r="EU122" t="s">
        <v>2560</v>
      </c>
      <c r="EV122" t="s">
        <v>1309</v>
      </c>
      <c r="EW122" t="s">
        <v>1309</v>
      </c>
      <c r="EX122" t="s">
        <v>1309</v>
      </c>
      <c r="EY122" t="s">
        <v>1310</v>
      </c>
      <c r="EZ122" t="s">
        <v>1309</v>
      </c>
      <c r="FA122" t="s">
        <v>1309</v>
      </c>
      <c r="FB122" t="s">
        <v>1309</v>
      </c>
      <c r="FC122" t="s">
        <v>1310</v>
      </c>
      <c r="FD122" t="s">
        <v>1309</v>
      </c>
      <c r="FE122" t="s">
        <v>1309</v>
      </c>
      <c r="FF122" t="s">
        <v>1309</v>
      </c>
      <c r="FG122" t="s">
        <v>1309</v>
      </c>
      <c r="FH122" t="s">
        <v>1309</v>
      </c>
      <c r="FI122" t="s">
        <v>1309</v>
      </c>
      <c r="FJ122" t="s">
        <v>1309</v>
      </c>
      <c r="FK122" t="s">
        <v>1309</v>
      </c>
      <c r="FL122" t="s">
        <v>1309</v>
      </c>
      <c r="FN122" t="s">
        <v>1319</v>
      </c>
      <c r="FO122" t="s">
        <v>2469</v>
      </c>
      <c r="FP122" t="s">
        <v>1309</v>
      </c>
      <c r="FQ122" t="s">
        <v>1309</v>
      </c>
      <c r="FR122" t="s">
        <v>1309</v>
      </c>
      <c r="FS122" t="s">
        <v>1309</v>
      </c>
      <c r="FT122" t="s">
        <v>1309</v>
      </c>
      <c r="FU122" t="s">
        <v>1309</v>
      </c>
      <c r="FV122" t="s">
        <v>1309</v>
      </c>
      <c r="FW122" t="s">
        <v>1309</v>
      </c>
      <c r="FX122" t="s">
        <v>1310</v>
      </c>
      <c r="FY122" t="s">
        <v>1309</v>
      </c>
      <c r="FZ122" t="s">
        <v>1309</v>
      </c>
      <c r="GA122" t="s">
        <v>1309</v>
      </c>
      <c r="GC122" t="s">
        <v>1324</v>
      </c>
      <c r="GD122" t="s">
        <v>1324</v>
      </c>
      <c r="GN122" t="s">
        <v>1364</v>
      </c>
      <c r="HB122" t="s">
        <v>1307</v>
      </c>
      <c r="HR122" t="s">
        <v>1414</v>
      </c>
      <c r="HS122" t="s">
        <v>1309</v>
      </c>
      <c r="HT122" t="s">
        <v>1309</v>
      </c>
      <c r="HU122" t="s">
        <v>1309</v>
      </c>
      <c r="HV122" t="s">
        <v>1309</v>
      </c>
      <c r="HW122" t="s">
        <v>1309</v>
      </c>
      <c r="HX122" t="s">
        <v>1309</v>
      </c>
      <c r="HY122" t="s">
        <v>1310</v>
      </c>
      <c r="HZ122" t="s">
        <v>1309</v>
      </c>
      <c r="IB122" s="92" t="s">
        <v>1333</v>
      </c>
      <c r="IC122" s="92" t="s">
        <v>1334</v>
      </c>
      <c r="ID122" s="92">
        <v>35</v>
      </c>
      <c r="IE122" s="92" t="s">
        <v>1307</v>
      </c>
      <c r="IF122" s="92" t="s">
        <v>4398</v>
      </c>
      <c r="IG122" s="92" t="s">
        <v>1336</v>
      </c>
      <c r="IH122" s="92" t="s">
        <v>1296</v>
      </c>
      <c r="II122" s="92" t="s">
        <v>71</v>
      </c>
      <c r="IJ122" s="92" t="s">
        <v>1397</v>
      </c>
      <c r="IK122" s="92" t="s">
        <v>1337</v>
      </c>
      <c r="IL122" s="92" t="s">
        <v>4845</v>
      </c>
      <c r="IM122" s="92" t="s">
        <v>1399</v>
      </c>
      <c r="IN122" s="92" t="s">
        <v>109</v>
      </c>
      <c r="IO122" s="92" t="s">
        <v>4844</v>
      </c>
      <c r="IP122" s="92" t="s">
        <v>1452</v>
      </c>
      <c r="IQ122" s="92">
        <v>2100</v>
      </c>
      <c r="IR122" s="92" t="s">
        <v>1372</v>
      </c>
      <c r="IS122" s="92" t="s">
        <v>109</v>
      </c>
      <c r="IT122" s="92" t="s">
        <v>192</v>
      </c>
      <c r="IU122" s="92" t="s">
        <v>109</v>
      </c>
      <c r="IV122" s="92" t="s">
        <v>192</v>
      </c>
      <c r="IW122" s="92" t="s">
        <v>1425</v>
      </c>
      <c r="IX122" s="92">
        <v>2900</v>
      </c>
      <c r="IY122" s="92" t="s">
        <v>4438</v>
      </c>
      <c r="IZ122" s="92" t="s">
        <v>1425</v>
      </c>
      <c r="JA122" s="92" t="s">
        <v>1342</v>
      </c>
      <c r="JB122" s="92" t="s">
        <v>109</v>
      </c>
      <c r="JC122" s="92" t="s">
        <v>1403</v>
      </c>
      <c r="JD122" s="92" t="s">
        <v>109</v>
      </c>
      <c r="JE122" s="92" t="s">
        <v>109</v>
      </c>
      <c r="JF122" s="92" t="s">
        <v>4438</v>
      </c>
      <c r="JG122" s="92" t="s">
        <v>4438</v>
      </c>
      <c r="JH122" s="92" t="s">
        <v>109</v>
      </c>
      <c r="JI122" s="92" t="s">
        <v>109</v>
      </c>
    </row>
    <row r="123" spans="1:269" x14ac:dyDescent="0.25">
      <c r="A123" t="s">
        <v>3265</v>
      </c>
      <c r="B123" t="s">
        <v>3266</v>
      </c>
      <c r="C123" t="s">
        <v>1305</v>
      </c>
      <c r="D123" t="s">
        <v>1306</v>
      </c>
      <c r="F123" t="s">
        <v>1307</v>
      </c>
      <c r="G123" t="s">
        <v>1319</v>
      </c>
      <c r="H123">
        <v>2</v>
      </c>
      <c r="I123" t="s">
        <v>1307</v>
      </c>
      <c r="J123" t="s">
        <v>1308</v>
      </c>
      <c r="K123" t="s">
        <v>1309</v>
      </c>
      <c r="L123" t="s">
        <v>1309</v>
      </c>
      <c r="M123" t="s">
        <v>1309</v>
      </c>
      <c r="N123" t="s">
        <v>1309</v>
      </c>
      <c r="O123" t="s">
        <v>1309</v>
      </c>
      <c r="P123" t="s">
        <v>1309</v>
      </c>
      <c r="Q123" t="s">
        <v>1310</v>
      </c>
      <c r="R123" t="s">
        <v>1309</v>
      </c>
      <c r="U123" t="s">
        <v>1312</v>
      </c>
      <c r="V123" t="s">
        <v>1312</v>
      </c>
      <c r="W123" t="s">
        <v>1312</v>
      </c>
      <c r="X123" t="s">
        <v>1312</v>
      </c>
      <c r="Y123" t="s">
        <v>1312</v>
      </c>
      <c r="Z123" t="s">
        <v>1312</v>
      </c>
      <c r="AC123">
        <v>2</v>
      </c>
      <c r="AD123">
        <v>18000</v>
      </c>
      <c r="AE123">
        <v>12000</v>
      </c>
      <c r="AF123" t="s">
        <v>1313</v>
      </c>
      <c r="AH123" t="s">
        <v>1319</v>
      </c>
      <c r="AI123" t="s">
        <v>4879</v>
      </c>
      <c r="AK123" t="s">
        <v>1307</v>
      </c>
      <c r="CG123" t="s">
        <v>3054</v>
      </c>
      <c r="CH123" t="s">
        <v>1309</v>
      </c>
      <c r="CI123" t="s">
        <v>1309</v>
      </c>
      <c r="CJ123" t="s">
        <v>1309</v>
      </c>
      <c r="CK123" t="s">
        <v>1309</v>
      </c>
      <c r="CL123" t="s">
        <v>1309</v>
      </c>
      <c r="CM123" t="s">
        <v>1309</v>
      </c>
      <c r="CN123" t="s">
        <v>1309</v>
      </c>
      <c r="CO123" t="s">
        <v>1309</v>
      </c>
      <c r="CP123" t="s">
        <v>1309</v>
      </c>
      <c r="CQ123" t="s">
        <v>1309</v>
      </c>
      <c r="CR123" t="s">
        <v>1309</v>
      </c>
      <c r="CS123" t="s">
        <v>1310</v>
      </c>
      <c r="CT123" t="s">
        <v>1309</v>
      </c>
      <c r="CU123" t="s">
        <v>1309</v>
      </c>
      <c r="CV123" t="s">
        <v>1309</v>
      </c>
      <c r="CX123" t="s">
        <v>3267</v>
      </c>
      <c r="CY123" t="s">
        <v>1309</v>
      </c>
      <c r="CZ123" t="s">
        <v>1309</v>
      </c>
      <c r="DA123" t="s">
        <v>1309</v>
      </c>
      <c r="DB123" t="s">
        <v>1309</v>
      </c>
      <c r="DC123" t="s">
        <v>1309</v>
      </c>
      <c r="DD123" t="s">
        <v>1309</v>
      </c>
      <c r="DE123" t="s">
        <v>1309</v>
      </c>
      <c r="DF123" t="s">
        <v>1310</v>
      </c>
      <c r="DG123" t="s">
        <v>1309</v>
      </c>
      <c r="DH123" t="s">
        <v>1310</v>
      </c>
      <c r="DI123" t="s">
        <v>1309</v>
      </c>
      <c r="DJ123" t="s">
        <v>1309</v>
      </c>
      <c r="DK123" t="s">
        <v>1309</v>
      </c>
      <c r="DM123" t="s">
        <v>4433</v>
      </c>
      <c r="DO123" t="s">
        <v>1308</v>
      </c>
      <c r="DP123" t="s">
        <v>1310</v>
      </c>
      <c r="DQ123" t="s">
        <v>1309</v>
      </c>
      <c r="DR123" t="s">
        <v>1309</v>
      </c>
      <c r="DS123" t="s">
        <v>1309</v>
      </c>
      <c r="DT123" t="s">
        <v>1309</v>
      </c>
      <c r="DU123" t="s">
        <v>1309</v>
      </c>
      <c r="DV123" t="s">
        <v>1309</v>
      </c>
      <c r="DX123" t="s">
        <v>1358</v>
      </c>
      <c r="DY123" t="s">
        <v>1307</v>
      </c>
      <c r="EB123">
        <v>3000</v>
      </c>
      <c r="EC123" t="s">
        <v>1358</v>
      </c>
      <c r="EF123">
        <v>3000</v>
      </c>
      <c r="EG123" t="s">
        <v>1703</v>
      </c>
      <c r="EH123" t="s">
        <v>1310</v>
      </c>
      <c r="EI123" t="s">
        <v>1309</v>
      </c>
      <c r="EJ123" t="s">
        <v>1309</v>
      </c>
      <c r="EK123" t="s">
        <v>1309</v>
      </c>
      <c r="EL123" t="s">
        <v>1309</v>
      </c>
      <c r="EM123" t="s">
        <v>1309</v>
      </c>
      <c r="EN123" t="s">
        <v>1309</v>
      </c>
      <c r="EO123" t="s">
        <v>1309</v>
      </c>
      <c r="EQ123" t="s">
        <v>1307</v>
      </c>
      <c r="ER123" t="s">
        <v>1319</v>
      </c>
      <c r="EU123" t="s">
        <v>2364</v>
      </c>
      <c r="EV123" t="s">
        <v>1310</v>
      </c>
      <c r="EW123" t="s">
        <v>1309</v>
      </c>
      <c r="EX123" t="s">
        <v>1310</v>
      </c>
      <c r="EY123" t="s">
        <v>1310</v>
      </c>
      <c r="EZ123" t="s">
        <v>1309</v>
      </c>
      <c r="FA123" t="s">
        <v>1309</v>
      </c>
      <c r="FB123" t="s">
        <v>1309</v>
      </c>
      <c r="FC123" t="s">
        <v>1310</v>
      </c>
      <c r="FD123" t="s">
        <v>1309</v>
      </c>
      <c r="FE123" t="s">
        <v>1309</v>
      </c>
      <c r="FF123" t="s">
        <v>1309</v>
      </c>
      <c r="FG123" t="s">
        <v>1309</v>
      </c>
      <c r="FH123" t="s">
        <v>1310</v>
      </c>
      <c r="FI123" t="s">
        <v>1309</v>
      </c>
      <c r="FJ123" t="s">
        <v>1309</v>
      </c>
      <c r="FK123" t="s">
        <v>1309</v>
      </c>
      <c r="FL123" t="s">
        <v>1309</v>
      </c>
      <c r="FN123" t="s">
        <v>1307</v>
      </c>
      <c r="GC123" t="s">
        <v>1324</v>
      </c>
      <c r="GD123" t="s">
        <v>1324</v>
      </c>
      <c r="GN123" t="s">
        <v>1364</v>
      </c>
      <c r="HB123" t="s">
        <v>1319</v>
      </c>
      <c r="HC123" t="s">
        <v>1698</v>
      </c>
      <c r="HD123" t="s">
        <v>1309</v>
      </c>
      <c r="HE123" t="s">
        <v>1309</v>
      </c>
      <c r="HF123" t="s">
        <v>1309</v>
      </c>
      <c r="HG123" t="s">
        <v>1309</v>
      </c>
      <c r="HH123" t="s">
        <v>1309</v>
      </c>
      <c r="HI123" t="s">
        <v>1309</v>
      </c>
      <c r="HJ123" t="s">
        <v>1309</v>
      </c>
      <c r="HK123" t="s">
        <v>1309</v>
      </c>
      <c r="HL123" t="s">
        <v>1309</v>
      </c>
      <c r="HM123" t="s">
        <v>1309</v>
      </c>
      <c r="HN123" t="s">
        <v>1310</v>
      </c>
      <c r="HO123" t="s">
        <v>1309</v>
      </c>
      <c r="HP123" t="s">
        <v>1309</v>
      </c>
      <c r="HQ123" t="s">
        <v>3268</v>
      </c>
      <c r="HR123" t="s">
        <v>3269</v>
      </c>
      <c r="HS123" t="s">
        <v>1310</v>
      </c>
      <c r="HT123" t="s">
        <v>1310</v>
      </c>
      <c r="HU123" t="s">
        <v>1310</v>
      </c>
      <c r="HV123" t="s">
        <v>1310</v>
      </c>
      <c r="HW123" t="s">
        <v>1310</v>
      </c>
      <c r="HX123" t="s">
        <v>1309</v>
      </c>
      <c r="HY123" t="s">
        <v>1309</v>
      </c>
      <c r="HZ123" t="s">
        <v>1309</v>
      </c>
      <c r="IB123" s="92" t="s">
        <v>1333</v>
      </c>
      <c r="IC123" s="92" t="s">
        <v>1334</v>
      </c>
      <c r="ID123" s="92">
        <v>33</v>
      </c>
      <c r="IE123" s="92" t="s">
        <v>1307</v>
      </c>
      <c r="IF123" s="92" t="s">
        <v>4398</v>
      </c>
      <c r="IG123" s="92" t="s">
        <v>1336</v>
      </c>
      <c r="IH123" s="92" t="s">
        <v>1296</v>
      </c>
      <c r="II123" s="92" t="s">
        <v>71</v>
      </c>
      <c r="IJ123" s="92" t="s">
        <v>5549</v>
      </c>
      <c r="IK123" s="92" t="s">
        <v>1398</v>
      </c>
      <c r="IL123" s="92" t="s">
        <v>4845</v>
      </c>
      <c r="IM123" s="92" t="s">
        <v>1338</v>
      </c>
      <c r="IN123" s="92" t="s">
        <v>109</v>
      </c>
      <c r="IO123" s="92" t="s">
        <v>4847</v>
      </c>
      <c r="IP123" s="92" t="s">
        <v>1452</v>
      </c>
      <c r="IQ123" s="92">
        <v>3000</v>
      </c>
      <c r="IR123" s="92" t="s">
        <v>4438</v>
      </c>
      <c r="IS123" s="92" t="s">
        <v>109</v>
      </c>
      <c r="IT123" s="92" t="s">
        <v>109</v>
      </c>
      <c r="IU123" s="92" t="s">
        <v>109</v>
      </c>
      <c r="IV123" s="92" t="s">
        <v>109</v>
      </c>
      <c r="IW123" s="92" t="s">
        <v>1425</v>
      </c>
      <c r="IX123" s="92">
        <v>3000</v>
      </c>
      <c r="IY123" s="92" t="s">
        <v>4438</v>
      </c>
      <c r="IZ123" s="92" t="s">
        <v>1425</v>
      </c>
      <c r="JA123" s="92" t="s">
        <v>1561</v>
      </c>
      <c r="JB123" s="92" t="s">
        <v>109</v>
      </c>
      <c r="JC123" s="92" t="s">
        <v>5795</v>
      </c>
      <c r="JD123" s="92" t="s">
        <v>109</v>
      </c>
      <c r="JE123" s="92" t="s">
        <v>109</v>
      </c>
      <c r="JF123" s="92" t="s">
        <v>4438</v>
      </c>
      <c r="JG123" s="92" t="s">
        <v>4438</v>
      </c>
      <c r="JH123" s="92" t="s">
        <v>109</v>
      </c>
      <c r="JI123" s="92" t="s">
        <v>109</v>
      </c>
    </row>
    <row r="124" spans="1:269" x14ac:dyDescent="0.25">
      <c r="A124" t="s">
        <v>3270</v>
      </c>
      <c r="B124" t="s">
        <v>3271</v>
      </c>
      <c r="C124" t="s">
        <v>1305</v>
      </c>
      <c r="D124" t="s">
        <v>1306</v>
      </c>
      <c r="F124" t="s">
        <v>1307</v>
      </c>
      <c r="G124" t="s">
        <v>1319</v>
      </c>
      <c r="H124">
        <v>1</v>
      </c>
      <c r="J124" t="s">
        <v>1308</v>
      </c>
      <c r="K124" t="s">
        <v>1309</v>
      </c>
      <c r="L124" t="s">
        <v>1309</v>
      </c>
      <c r="M124" t="s">
        <v>1309</v>
      </c>
      <c r="N124" t="s">
        <v>1309</v>
      </c>
      <c r="O124" t="s">
        <v>1309</v>
      </c>
      <c r="P124" t="s">
        <v>1309</v>
      </c>
      <c r="Q124" t="s">
        <v>1310</v>
      </c>
      <c r="R124" t="s">
        <v>1309</v>
      </c>
      <c r="U124" t="s">
        <v>1312</v>
      </c>
      <c r="V124" t="s">
        <v>1312</v>
      </c>
      <c r="W124" t="s">
        <v>1312</v>
      </c>
      <c r="X124" t="s">
        <v>1312</v>
      </c>
      <c r="Y124" t="s">
        <v>1312</v>
      </c>
      <c r="Z124" t="s">
        <v>1312</v>
      </c>
      <c r="AC124">
        <v>1</v>
      </c>
      <c r="AD124">
        <v>9000</v>
      </c>
      <c r="AE124">
        <v>7000</v>
      </c>
      <c r="AF124" t="s">
        <v>1313</v>
      </c>
      <c r="AH124" t="s">
        <v>1319</v>
      </c>
      <c r="AI124" t="s">
        <v>4879</v>
      </c>
      <c r="AK124" t="s">
        <v>1307</v>
      </c>
      <c r="CG124" t="s">
        <v>1698</v>
      </c>
      <c r="CH124" t="s">
        <v>1309</v>
      </c>
      <c r="CI124" t="s">
        <v>1309</v>
      </c>
      <c r="CJ124" t="s">
        <v>1309</v>
      </c>
      <c r="CK124" t="s">
        <v>1309</v>
      </c>
      <c r="CL124" t="s">
        <v>1309</v>
      </c>
      <c r="CM124" t="s">
        <v>1309</v>
      </c>
      <c r="CN124" t="s">
        <v>1309</v>
      </c>
      <c r="CO124" t="s">
        <v>1309</v>
      </c>
      <c r="CP124" t="s">
        <v>1309</v>
      </c>
      <c r="CQ124" t="s">
        <v>1309</v>
      </c>
      <c r="CR124" t="s">
        <v>1309</v>
      </c>
      <c r="CS124" t="s">
        <v>1309</v>
      </c>
      <c r="CT124" t="s">
        <v>1310</v>
      </c>
      <c r="CU124" t="s">
        <v>1309</v>
      </c>
      <c r="CV124" t="s">
        <v>1309</v>
      </c>
      <c r="CW124" t="s">
        <v>3272</v>
      </c>
      <c r="CX124" t="s">
        <v>2508</v>
      </c>
      <c r="CY124" t="s">
        <v>1309</v>
      </c>
      <c r="CZ124" t="s">
        <v>1309</v>
      </c>
      <c r="DA124" t="s">
        <v>1309</v>
      </c>
      <c r="DB124" t="s">
        <v>1309</v>
      </c>
      <c r="DC124" t="s">
        <v>1309</v>
      </c>
      <c r="DD124" t="s">
        <v>1309</v>
      </c>
      <c r="DE124" t="s">
        <v>1309</v>
      </c>
      <c r="DF124" t="s">
        <v>1310</v>
      </c>
      <c r="DG124" t="s">
        <v>1309</v>
      </c>
      <c r="DH124" t="s">
        <v>1309</v>
      </c>
      <c r="DI124" t="s">
        <v>1309</v>
      </c>
      <c r="DJ124" t="s">
        <v>1309</v>
      </c>
      <c r="DK124" t="s">
        <v>1309</v>
      </c>
      <c r="DM124" t="s">
        <v>4435</v>
      </c>
      <c r="DO124" t="s">
        <v>1308</v>
      </c>
      <c r="DP124" t="s">
        <v>1310</v>
      </c>
      <c r="DQ124" t="s">
        <v>1309</v>
      </c>
      <c r="DR124" t="s">
        <v>1309</v>
      </c>
      <c r="DS124" t="s">
        <v>1309</v>
      </c>
      <c r="DT124" t="s">
        <v>1309</v>
      </c>
      <c r="DU124" t="s">
        <v>1309</v>
      </c>
      <c r="DV124" t="s">
        <v>1309</v>
      </c>
      <c r="DX124" t="s">
        <v>1358</v>
      </c>
      <c r="DY124" t="s">
        <v>1319</v>
      </c>
      <c r="DZ124">
        <v>100</v>
      </c>
      <c r="EA124">
        <v>700</v>
      </c>
      <c r="EB124">
        <v>150</v>
      </c>
      <c r="EC124" t="s">
        <v>1358</v>
      </c>
      <c r="ED124">
        <v>100</v>
      </c>
      <c r="EE124">
        <v>1000</v>
      </c>
      <c r="EF124">
        <v>150</v>
      </c>
      <c r="EG124" t="s">
        <v>1703</v>
      </c>
      <c r="EH124" t="s">
        <v>1310</v>
      </c>
      <c r="EI124" t="s">
        <v>1309</v>
      </c>
      <c r="EJ124" t="s">
        <v>1309</v>
      </c>
      <c r="EK124" t="s">
        <v>1309</v>
      </c>
      <c r="EL124" t="s">
        <v>1309</v>
      </c>
      <c r="EM124" t="s">
        <v>1309</v>
      </c>
      <c r="EN124" t="s">
        <v>1309</v>
      </c>
      <c r="EO124" t="s">
        <v>1309</v>
      </c>
      <c r="EQ124" t="s">
        <v>1307</v>
      </c>
      <c r="ER124" t="s">
        <v>1307</v>
      </c>
      <c r="ES124" t="s">
        <v>1307</v>
      </c>
      <c r="FN124" t="s">
        <v>1307</v>
      </c>
      <c r="GC124" t="s">
        <v>1324</v>
      </c>
      <c r="GD124" t="s">
        <v>1324</v>
      </c>
      <c r="GN124" t="s">
        <v>1364</v>
      </c>
      <c r="HB124" t="s">
        <v>1319</v>
      </c>
      <c r="HC124" t="s">
        <v>1423</v>
      </c>
      <c r="HD124" t="s">
        <v>1309</v>
      </c>
      <c r="HE124" t="s">
        <v>1309</v>
      </c>
      <c r="HF124" t="s">
        <v>1309</v>
      </c>
      <c r="HG124" t="s">
        <v>1309</v>
      </c>
      <c r="HH124" t="s">
        <v>1310</v>
      </c>
      <c r="HI124" t="s">
        <v>1309</v>
      </c>
      <c r="HJ124" t="s">
        <v>1309</v>
      </c>
      <c r="HK124" t="s">
        <v>1309</v>
      </c>
      <c r="HL124" t="s">
        <v>1309</v>
      </c>
      <c r="HM124" t="s">
        <v>1309</v>
      </c>
      <c r="HN124" t="s">
        <v>1309</v>
      </c>
      <c r="HO124" t="s">
        <v>1309</v>
      </c>
      <c r="HP124" t="s">
        <v>1309</v>
      </c>
      <c r="HR124" t="s">
        <v>1523</v>
      </c>
      <c r="HS124" t="s">
        <v>1309</v>
      </c>
      <c r="HT124" t="s">
        <v>1309</v>
      </c>
      <c r="HU124" t="s">
        <v>1309</v>
      </c>
      <c r="HV124" t="s">
        <v>1310</v>
      </c>
      <c r="HW124" t="s">
        <v>1309</v>
      </c>
      <c r="HX124" t="s">
        <v>1309</v>
      </c>
      <c r="HY124" t="s">
        <v>1309</v>
      </c>
      <c r="HZ124" t="s">
        <v>1309</v>
      </c>
      <c r="IB124" s="92" t="s">
        <v>1333</v>
      </c>
      <c r="IC124" s="92" t="s">
        <v>1334</v>
      </c>
      <c r="ID124" s="92">
        <v>23</v>
      </c>
      <c r="IE124" s="92" t="s">
        <v>1307</v>
      </c>
      <c r="IF124" s="92" t="s">
        <v>4399</v>
      </c>
      <c r="IG124" s="92" t="s">
        <v>1336</v>
      </c>
      <c r="IH124" s="92" t="s">
        <v>1296</v>
      </c>
      <c r="II124" s="92" t="s">
        <v>71</v>
      </c>
      <c r="IJ124" s="92" t="s">
        <v>5549</v>
      </c>
      <c r="IK124" s="92" t="s">
        <v>1398</v>
      </c>
      <c r="IL124" s="92" t="s">
        <v>4844</v>
      </c>
      <c r="IM124" s="92" t="s">
        <v>1338</v>
      </c>
      <c r="IN124" s="92" t="s">
        <v>109</v>
      </c>
      <c r="IO124" s="92" t="s">
        <v>4844</v>
      </c>
      <c r="IP124" s="92" t="s">
        <v>1424</v>
      </c>
      <c r="IQ124" s="92">
        <v>950</v>
      </c>
      <c r="IR124" s="92" t="s">
        <v>4438</v>
      </c>
      <c r="IS124" s="92" t="s">
        <v>192</v>
      </c>
      <c r="IT124" s="92" t="s">
        <v>192</v>
      </c>
      <c r="IU124" s="92" t="s">
        <v>192</v>
      </c>
      <c r="IV124" s="92" t="s">
        <v>192</v>
      </c>
      <c r="IW124" s="92" t="s">
        <v>1374</v>
      </c>
      <c r="IX124" s="92">
        <v>1250</v>
      </c>
      <c r="IY124" s="92" t="s">
        <v>4438</v>
      </c>
      <c r="IZ124" s="92" t="s">
        <v>1440</v>
      </c>
      <c r="JA124" s="92" t="s">
        <v>1342</v>
      </c>
      <c r="JB124" s="92" t="s">
        <v>192</v>
      </c>
      <c r="JC124" s="92" t="s">
        <v>5795</v>
      </c>
      <c r="JD124" s="92" t="s">
        <v>109</v>
      </c>
      <c r="JE124" s="92" t="s">
        <v>109</v>
      </c>
      <c r="JF124" s="92" t="s">
        <v>4438</v>
      </c>
      <c r="JG124" s="92" t="s">
        <v>4438</v>
      </c>
      <c r="JH124" s="92" t="s">
        <v>109</v>
      </c>
      <c r="JI124" s="92" t="s">
        <v>109</v>
      </c>
    </row>
    <row r="125" spans="1:269" x14ac:dyDescent="0.25">
      <c r="A125" t="s">
        <v>3273</v>
      </c>
      <c r="B125" t="s">
        <v>3274</v>
      </c>
      <c r="C125" t="s">
        <v>1305</v>
      </c>
      <c r="D125" t="s">
        <v>1306</v>
      </c>
      <c r="F125" t="s">
        <v>1307</v>
      </c>
      <c r="G125" t="s">
        <v>1319</v>
      </c>
      <c r="H125">
        <v>1</v>
      </c>
      <c r="J125" t="s">
        <v>1308</v>
      </c>
      <c r="K125" t="s">
        <v>1309</v>
      </c>
      <c r="L125" t="s">
        <v>1309</v>
      </c>
      <c r="M125" t="s">
        <v>1309</v>
      </c>
      <c r="N125" t="s">
        <v>1309</v>
      </c>
      <c r="O125" t="s">
        <v>1309</v>
      </c>
      <c r="P125" t="s">
        <v>1309</v>
      </c>
      <c r="Q125" t="s">
        <v>1310</v>
      </c>
      <c r="R125" t="s">
        <v>1309</v>
      </c>
      <c r="U125" t="s">
        <v>1312</v>
      </c>
      <c r="V125" t="s">
        <v>1312</v>
      </c>
      <c r="W125" t="s">
        <v>1312</v>
      </c>
      <c r="X125" t="s">
        <v>1312</v>
      </c>
      <c r="Y125" t="s">
        <v>1312</v>
      </c>
      <c r="Z125" t="s">
        <v>1312</v>
      </c>
      <c r="AC125">
        <v>1</v>
      </c>
      <c r="AD125">
        <v>10000</v>
      </c>
      <c r="AE125">
        <v>8000</v>
      </c>
      <c r="AF125" t="s">
        <v>1313</v>
      </c>
      <c r="AH125" t="s">
        <v>1319</v>
      </c>
      <c r="AI125" t="s">
        <v>4879</v>
      </c>
      <c r="AK125" t="s">
        <v>1307</v>
      </c>
      <c r="CG125" t="s">
        <v>2853</v>
      </c>
      <c r="CH125" t="s">
        <v>1309</v>
      </c>
      <c r="CI125" t="s">
        <v>1309</v>
      </c>
      <c r="CJ125" t="s">
        <v>1309</v>
      </c>
      <c r="CK125" t="s">
        <v>1310</v>
      </c>
      <c r="CL125" t="s">
        <v>1309</v>
      </c>
      <c r="CM125" t="s">
        <v>1309</v>
      </c>
      <c r="CN125" t="s">
        <v>1309</v>
      </c>
      <c r="CO125" t="s">
        <v>1309</v>
      </c>
      <c r="CP125" t="s">
        <v>1309</v>
      </c>
      <c r="CQ125" t="s">
        <v>1309</v>
      </c>
      <c r="CR125" t="s">
        <v>1309</v>
      </c>
      <c r="CS125" t="s">
        <v>1309</v>
      </c>
      <c r="CT125" t="s">
        <v>1309</v>
      </c>
      <c r="CU125" t="s">
        <v>1309</v>
      </c>
      <c r="CV125" t="s">
        <v>1309</v>
      </c>
      <c r="CX125" t="s">
        <v>3275</v>
      </c>
      <c r="CY125" t="s">
        <v>1310</v>
      </c>
      <c r="CZ125" t="s">
        <v>1309</v>
      </c>
      <c r="DA125" t="s">
        <v>1310</v>
      </c>
      <c r="DB125" t="s">
        <v>1309</v>
      </c>
      <c r="DC125" t="s">
        <v>1309</v>
      </c>
      <c r="DD125" t="s">
        <v>1309</v>
      </c>
      <c r="DE125" t="s">
        <v>1309</v>
      </c>
      <c r="DF125" t="s">
        <v>1310</v>
      </c>
      <c r="DG125" t="s">
        <v>1309</v>
      </c>
      <c r="DH125" t="s">
        <v>1309</v>
      </c>
      <c r="DI125" t="s">
        <v>1309</v>
      </c>
      <c r="DJ125" t="s">
        <v>1309</v>
      </c>
      <c r="DK125" t="s">
        <v>1309</v>
      </c>
      <c r="DM125" t="s">
        <v>4435</v>
      </c>
      <c r="DO125" t="s">
        <v>1308</v>
      </c>
      <c r="DP125" t="s">
        <v>1310</v>
      </c>
      <c r="DQ125" t="s">
        <v>1309</v>
      </c>
      <c r="DR125" t="s">
        <v>1309</v>
      </c>
      <c r="DS125" t="s">
        <v>1309</v>
      </c>
      <c r="DT125" t="s">
        <v>1309</v>
      </c>
      <c r="DU125" t="s">
        <v>1309</v>
      </c>
      <c r="DV125" t="s">
        <v>1309</v>
      </c>
      <c r="DX125" t="s">
        <v>1358</v>
      </c>
      <c r="DY125" t="s">
        <v>1319</v>
      </c>
      <c r="DZ125">
        <v>50</v>
      </c>
      <c r="EA125">
        <v>1000</v>
      </c>
      <c r="EB125">
        <v>200</v>
      </c>
      <c r="EC125" t="s">
        <v>1358</v>
      </c>
      <c r="ED125">
        <v>100</v>
      </c>
      <c r="EE125">
        <v>1300</v>
      </c>
      <c r="EF125">
        <v>200</v>
      </c>
      <c r="EG125" t="s">
        <v>1703</v>
      </c>
      <c r="EH125" t="s">
        <v>1310</v>
      </c>
      <c r="EI125" t="s">
        <v>1309</v>
      </c>
      <c r="EJ125" t="s">
        <v>1309</v>
      </c>
      <c r="EK125" t="s">
        <v>1309</v>
      </c>
      <c r="EL125" t="s">
        <v>1309</v>
      </c>
      <c r="EM125" t="s">
        <v>1309</v>
      </c>
      <c r="EN125" t="s">
        <v>1309</v>
      </c>
      <c r="EO125" t="s">
        <v>1309</v>
      </c>
      <c r="EQ125" t="s">
        <v>1307</v>
      </c>
      <c r="ER125" t="s">
        <v>1307</v>
      </c>
      <c r="ES125" t="s">
        <v>1307</v>
      </c>
      <c r="FN125" t="s">
        <v>1307</v>
      </c>
      <c r="GC125" t="s">
        <v>1324</v>
      </c>
      <c r="GD125" t="s">
        <v>1324</v>
      </c>
      <c r="GN125" t="s">
        <v>1364</v>
      </c>
      <c r="HB125" t="s">
        <v>1319</v>
      </c>
      <c r="HC125" t="s">
        <v>1423</v>
      </c>
      <c r="HD125" t="s">
        <v>1309</v>
      </c>
      <c r="HE125" t="s">
        <v>1309</v>
      </c>
      <c r="HF125" t="s">
        <v>1309</v>
      </c>
      <c r="HG125" t="s">
        <v>1309</v>
      </c>
      <c r="HH125" t="s">
        <v>1310</v>
      </c>
      <c r="HI125" t="s">
        <v>1309</v>
      </c>
      <c r="HJ125" t="s">
        <v>1309</v>
      </c>
      <c r="HK125" t="s">
        <v>1309</v>
      </c>
      <c r="HL125" t="s">
        <v>1309</v>
      </c>
      <c r="HM125" t="s">
        <v>1309</v>
      </c>
      <c r="HN125" t="s">
        <v>1309</v>
      </c>
      <c r="HO125" t="s">
        <v>1309</v>
      </c>
      <c r="HP125" t="s">
        <v>1309</v>
      </c>
      <c r="HR125" t="s">
        <v>3276</v>
      </c>
      <c r="HS125" t="s">
        <v>1309</v>
      </c>
      <c r="HT125" t="s">
        <v>1309</v>
      </c>
      <c r="HU125" t="s">
        <v>1310</v>
      </c>
      <c r="HV125" t="s">
        <v>1310</v>
      </c>
      <c r="HW125" t="s">
        <v>1310</v>
      </c>
      <c r="HX125" t="s">
        <v>1309</v>
      </c>
      <c r="HY125" t="s">
        <v>1309</v>
      </c>
      <c r="HZ125" t="s">
        <v>1309</v>
      </c>
      <c r="IB125" s="92" t="s">
        <v>1333</v>
      </c>
      <c r="IC125" s="92" t="s">
        <v>1334</v>
      </c>
      <c r="ID125" s="92">
        <v>25</v>
      </c>
      <c r="IE125" s="92" t="s">
        <v>1307</v>
      </c>
      <c r="IF125" s="92" t="s">
        <v>4398</v>
      </c>
      <c r="IG125" s="92" t="s">
        <v>1336</v>
      </c>
      <c r="IH125" s="92" t="s">
        <v>1296</v>
      </c>
      <c r="II125" s="92" t="s">
        <v>71</v>
      </c>
      <c r="IJ125" s="92" t="s">
        <v>5549</v>
      </c>
      <c r="IK125" s="92" t="s">
        <v>1398</v>
      </c>
      <c r="IL125" s="92" t="s">
        <v>4844</v>
      </c>
      <c r="IM125" s="92" t="s">
        <v>1338</v>
      </c>
      <c r="IN125" s="92" t="s">
        <v>109</v>
      </c>
      <c r="IO125" s="92" t="s">
        <v>4844</v>
      </c>
      <c r="IP125" s="92" t="s">
        <v>1424</v>
      </c>
      <c r="IQ125" s="92">
        <v>1250</v>
      </c>
      <c r="IR125" s="92" t="s">
        <v>4438</v>
      </c>
      <c r="IS125" s="92" t="s">
        <v>192</v>
      </c>
      <c r="IT125" s="92" t="s">
        <v>192</v>
      </c>
      <c r="IU125" s="92" t="s">
        <v>192</v>
      </c>
      <c r="IV125" s="92" t="s">
        <v>192</v>
      </c>
      <c r="IW125" s="92" t="s">
        <v>1440</v>
      </c>
      <c r="IX125" s="92">
        <v>1600</v>
      </c>
      <c r="IY125" s="92" t="s">
        <v>4438</v>
      </c>
      <c r="IZ125" s="92" t="s">
        <v>1440</v>
      </c>
      <c r="JA125" s="92" t="s">
        <v>1342</v>
      </c>
      <c r="JB125" s="92" t="s">
        <v>192</v>
      </c>
      <c r="JC125" s="92" t="s">
        <v>5795</v>
      </c>
      <c r="JD125" s="92" t="s">
        <v>109</v>
      </c>
      <c r="JE125" s="92" t="s">
        <v>109</v>
      </c>
      <c r="JF125" s="92" t="s">
        <v>4438</v>
      </c>
      <c r="JG125" s="92" t="s">
        <v>4438</v>
      </c>
      <c r="JH125" s="92" t="s">
        <v>109</v>
      </c>
      <c r="JI125" s="92" t="s">
        <v>109</v>
      </c>
    </row>
    <row r="126" spans="1:269" x14ac:dyDescent="0.25">
      <c r="A126" t="s">
        <v>3277</v>
      </c>
      <c r="B126" t="s">
        <v>3278</v>
      </c>
      <c r="C126" t="s">
        <v>1429</v>
      </c>
      <c r="D126" t="s">
        <v>1306</v>
      </c>
      <c r="F126" t="s">
        <v>1307</v>
      </c>
      <c r="G126" t="s">
        <v>1319</v>
      </c>
      <c r="H126">
        <v>3</v>
      </c>
      <c r="I126" t="s">
        <v>1307</v>
      </c>
      <c r="J126" t="s">
        <v>1406</v>
      </c>
      <c r="K126" t="s">
        <v>1309</v>
      </c>
      <c r="L126" t="s">
        <v>1310</v>
      </c>
      <c r="M126" t="s">
        <v>1309</v>
      </c>
      <c r="N126" t="s">
        <v>1309</v>
      </c>
      <c r="O126" t="s">
        <v>1309</v>
      </c>
      <c r="P126" t="s">
        <v>1309</v>
      </c>
      <c r="Q126" t="s">
        <v>1309</v>
      </c>
      <c r="R126" t="s">
        <v>1309</v>
      </c>
      <c r="S126">
        <v>1</v>
      </c>
      <c r="U126" t="s">
        <v>1312</v>
      </c>
      <c r="V126" t="s">
        <v>1312</v>
      </c>
      <c r="W126" t="s">
        <v>1312</v>
      </c>
      <c r="X126" t="s">
        <v>1312</v>
      </c>
      <c r="Y126" t="s">
        <v>1312</v>
      </c>
      <c r="Z126" t="s">
        <v>1312</v>
      </c>
      <c r="AC126">
        <v>2</v>
      </c>
      <c r="AD126">
        <v>25000</v>
      </c>
      <c r="AE126">
        <v>20000</v>
      </c>
      <c r="AF126" t="s">
        <v>1313</v>
      </c>
      <c r="AH126" t="s">
        <v>1319</v>
      </c>
      <c r="AI126" t="s">
        <v>4878</v>
      </c>
      <c r="AK126" t="s">
        <v>1307</v>
      </c>
      <c r="CG126" t="s">
        <v>3084</v>
      </c>
      <c r="CH126" t="s">
        <v>1310</v>
      </c>
      <c r="CI126" t="s">
        <v>1309</v>
      </c>
      <c r="CJ126" t="s">
        <v>1309</v>
      </c>
      <c r="CK126" t="s">
        <v>1309</v>
      </c>
      <c r="CL126" t="s">
        <v>1309</v>
      </c>
      <c r="CM126" t="s">
        <v>1309</v>
      </c>
      <c r="CN126" t="s">
        <v>1309</v>
      </c>
      <c r="CO126" t="s">
        <v>1309</v>
      </c>
      <c r="CP126" t="s">
        <v>1309</v>
      </c>
      <c r="CQ126" t="s">
        <v>1309</v>
      </c>
      <c r="CR126" t="s">
        <v>1309</v>
      </c>
      <c r="CS126" t="s">
        <v>1309</v>
      </c>
      <c r="CT126" t="s">
        <v>1309</v>
      </c>
      <c r="CU126" t="s">
        <v>1309</v>
      </c>
      <c r="CV126" t="s">
        <v>1309</v>
      </c>
      <c r="CX126" t="s">
        <v>1414</v>
      </c>
      <c r="CY126" t="s">
        <v>1309</v>
      </c>
      <c r="CZ126" t="s">
        <v>1309</v>
      </c>
      <c r="DA126" t="s">
        <v>1309</v>
      </c>
      <c r="DB126" t="s">
        <v>1309</v>
      </c>
      <c r="DC126" t="s">
        <v>1309</v>
      </c>
      <c r="DD126" t="s">
        <v>1309</v>
      </c>
      <c r="DE126" t="s">
        <v>1309</v>
      </c>
      <c r="DF126" t="s">
        <v>1309</v>
      </c>
      <c r="DG126" t="s">
        <v>1309</v>
      </c>
      <c r="DH126" t="s">
        <v>1309</v>
      </c>
      <c r="DI126" t="s">
        <v>1309</v>
      </c>
      <c r="DJ126" t="s">
        <v>1310</v>
      </c>
      <c r="DK126" t="s">
        <v>1309</v>
      </c>
      <c r="DM126" t="s">
        <v>4435</v>
      </c>
      <c r="DO126" t="s">
        <v>1308</v>
      </c>
      <c r="DP126" t="s">
        <v>1310</v>
      </c>
      <c r="DQ126" t="s">
        <v>1309</v>
      </c>
      <c r="DR126" t="s">
        <v>1309</v>
      </c>
      <c r="DS126" t="s">
        <v>1309</v>
      </c>
      <c r="DT126" t="s">
        <v>1309</v>
      </c>
      <c r="DU126" t="s">
        <v>1309</v>
      </c>
      <c r="DV126" t="s">
        <v>1309</v>
      </c>
      <c r="DX126" t="s">
        <v>1358</v>
      </c>
      <c r="DY126" t="s">
        <v>1307</v>
      </c>
      <c r="EA126">
        <v>3000</v>
      </c>
      <c r="EB126">
        <v>1500</v>
      </c>
      <c r="EC126" t="s">
        <v>1358</v>
      </c>
      <c r="EE126">
        <v>3500</v>
      </c>
      <c r="EF126">
        <v>1500</v>
      </c>
      <c r="EG126" t="s">
        <v>3279</v>
      </c>
      <c r="EH126" t="s">
        <v>1310</v>
      </c>
      <c r="EI126" t="s">
        <v>1309</v>
      </c>
      <c r="EJ126" t="s">
        <v>1310</v>
      </c>
      <c r="EK126" t="s">
        <v>1309</v>
      </c>
      <c r="EL126" t="s">
        <v>1309</v>
      </c>
      <c r="EM126" t="s">
        <v>1309</v>
      </c>
      <c r="EN126" t="s">
        <v>1309</v>
      </c>
      <c r="EO126" t="s">
        <v>1309</v>
      </c>
      <c r="EQ126" t="s">
        <v>1307</v>
      </c>
      <c r="ER126" t="s">
        <v>1307</v>
      </c>
      <c r="FN126" t="s">
        <v>1307</v>
      </c>
      <c r="GC126" t="s">
        <v>1324</v>
      </c>
      <c r="GD126" t="s">
        <v>1324</v>
      </c>
      <c r="GN126" t="s">
        <v>1364</v>
      </c>
      <c r="HB126" t="s">
        <v>1319</v>
      </c>
      <c r="HC126" t="s">
        <v>1639</v>
      </c>
      <c r="HD126" t="s">
        <v>1309</v>
      </c>
      <c r="HE126" t="s">
        <v>1309</v>
      </c>
      <c r="HF126" t="s">
        <v>1309</v>
      </c>
      <c r="HG126" t="s">
        <v>1309</v>
      </c>
      <c r="HH126" t="s">
        <v>1309</v>
      </c>
      <c r="HI126" t="s">
        <v>1309</v>
      </c>
      <c r="HJ126" t="s">
        <v>1309</v>
      </c>
      <c r="HK126" t="s">
        <v>1310</v>
      </c>
      <c r="HL126" t="s">
        <v>1309</v>
      </c>
      <c r="HM126" t="s">
        <v>1309</v>
      </c>
      <c r="HN126" t="s">
        <v>1309</v>
      </c>
      <c r="HO126" t="s">
        <v>1309</v>
      </c>
      <c r="HP126" t="s">
        <v>1309</v>
      </c>
      <c r="HR126" t="s">
        <v>1639</v>
      </c>
      <c r="HS126" t="s">
        <v>1309</v>
      </c>
      <c r="HT126" t="s">
        <v>1310</v>
      </c>
      <c r="HU126" t="s">
        <v>1309</v>
      </c>
      <c r="HV126" t="s">
        <v>1309</v>
      </c>
      <c r="HW126" t="s">
        <v>1309</v>
      </c>
      <c r="HX126" t="s">
        <v>1309</v>
      </c>
      <c r="HY126" t="s">
        <v>1309</v>
      </c>
      <c r="HZ126" t="s">
        <v>1309</v>
      </c>
      <c r="IB126" s="92" t="s">
        <v>1333</v>
      </c>
      <c r="IC126" s="92" t="s">
        <v>1334</v>
      </c>
      <c r="ID126" s="92">
        <v>41</v>
      </c>
      <c r="IE126" s="92" t="s">
        <v>1307</v>
      </c>
      <c r="IF126" s="92" t="s">
        <v>4396</v>
      </c>
      <c r="IG126" s="92" t="s">
        <v>1336</v>
      </c>
      <c r="IH126" s="92" t="s">
        <v>1296</v>
      </c>
      <c r="II126" s="92" t="s">
        <v>71</v>
      </c>
      <c r="IJ126" s="92" t="s">
        <v>5549</v>
      </c>
      <c r="IK126" s="92" t="s">
        <v>1337</v>
      </c>
      <c r="IL126" s="92" t="s">
        <v>4845</v>
      </c>
      <c r="IM126" s="92" t="s">
        <v>1415</v>
      </c>
      <c r="IN126" s="92" t="s">
        <v>109</v>
      </c>
      <c r="IO126" s="92" t="s">
        <v>4847</v>
      </c>
      <c r="IP126" s="92" t="s">
        <v>1416</v>
      </c>
      <c r="IQ126" s="92">
        <v>4500</v>
      </c>
      <c r="IR126" s="92" t="s">
        <v>4438</v>
      </c>
      <c r="IS126" s="92" t="s">
        <v>109</v>
      </c>
      <c r="IT126" s="92" t="s">
        <v>192</v>
      </c>
      <c r="IU126" s="92" t="s">
        <v>109</v>
      </c>
      <c r="IV126" s="92" t="s">
        <v>192</v>
      </c>
      <c r="IW126" s="92" t="s">
        <v>1341</v>
      </c>
      <c r="IX126" s="92">
        <v>5000</v>
      </c>
      <c r="IY126" s="92" t="s">
        <v>4438</v>
      </c>
      <c r="IZ126" s="92" t="s">
        <v>1341</v>
      </c>
      <c r="JA126" s="92" t="s">
        <v>1342</v>
      </c>
      <c r="JB126" s="92" t="s">
        <v>109</v>
      </c>
      <c r="JC126" s="92" t="s">
        <v>5795</v>
      </c>
      <c r="JD126" s="92" t="s">
        <v>109</v>
      </c>
      <c r="JE126" s="92" t="s">
        <v>109</v>
      </c>
      <c r="JF126" s="92" t="s">
        <v>4438</v>
      </c>
      <c r="JG126" s="92" t="s">
        <v>4438</v>
      </c>
      <c r="JH126" s="92" t="s">
        <v>109</v>
      </c>
      <c r="JI126" s="92" t="s">
        <v>109</v>
      </c>
    </row>
    <row r="127" spans="1:269" x14ac:dyDescent="0.25">
      <c r="A127" t="s">
        <v>3280</v>
      </c>
      <c r="B127" t="s">
        <v>3281</v>
      </c>
      <c r="C127" t="s">
        <v>1305</v>
      </c>
      <c r="D127" t="s">
        <v>1306</v>
      </c>
      <c r="F127" t="s">
        <v>1307</v>
      </c>
      <c r="G127" t="s">
        <v>1319</v>
      </c>
      <c r="H127">
        <v>2</v>
      </c>
      <c r="I127" t="s">
        <v>1307</v>
      </c>
      <c r="J127" t="s">
        <v>1571</v>
      </c>
      <c r="K127" t="s">
        <v>1310</v>
      </c>
      <c r="L127" t="s">
        <v>1309</v>
      </c>
      <c r="M127" t="s">
        <v>1309</v>
      </c>
      <c r="N127" t="s">
        <v>1309</v>
      </c>
      <c r="O127" t="s">
        <v>1309</v>
      </c>
      <c r="P127" t="s">
        <v>1309</v>
      </c>
      <c r="Q127" t="s">
        <v>1309</v>
      </c>
      <c r="R127" t="s">
        <v>1309</v>
      </c>
      <c r="U127" t="s">
        <v>1312</v>
      </c>
      <c r="V127" t="s">
        <v>1312</v>
      </c>
      <c r="W127" t="s">
        <v>1312</v>
      </c>
      <c r="X127" t="s">
        <v>1312</v>
      </c>
      <c r="Y127" t="s">
        <v>1312</v>
      </c>
      <c r="Z127" t="s">
        <v>1312</v>
      </c>
      <c r="AC127">
        <v>2</v>
      </c>
      <c r="AD127">
        <v>24000</v>
      </c>
      <c r="AE127">
        <v>20000</v>
      </c>
      <c r="AF127" t="s">
        <v>1313</v>
      </c>
      <c r="AH127" t="s">
        <v>1307</v>
      </c>
      <c r="AI127" t="s">
        <v>4876</v>
      </c>
      <c r="AK127" t="s">
        <v>1307</v>
      </c>
      <c r="CG127" t="s">
        <v>1544</v>
      </c>
      <c r="CH127" t="s">
        <v>1309</v>
      </c>
      <c r="CI127" t="s">
        <v>1310</v>
      </c>
      <c r="CJ127" t="s">
        <v>1309</v>
      </c>
      <c r="CK127" t="s">
        <v>1309</v>
      </c>
      <c r="CL127" t="s">
        <v>1309</v>
      </c>
      <c r="CM127" t="s">
        <v>1309</v>
      </c>
      <c r="CN127" t="s">
        <v>1309</v>
      </c>
      <c r="CO127" t="s">
        <v>1309</v>
      </c>
      <c r="CP127" t="s">
        <v>1309</v>
      </c>
      <c r="CQ127" t="s">
        <v>1309</v>
      </c>
      <c r="CR127" t="s">
        <v>1309</v>
      </c>
      <c r="CS127" t="s">
        <v>1309</v>
      </c>
      <c r="CT127" t="s">
        <v>1309</v>
      </c>
      <c r="CU127" t="s">
        <v>1309</v>
      </c>
      <c r="CV127" t="s">
        <v>1309</v>
      </c>
      <c r="CX127" t="s">
        <v>2869</v>
      </c>
      <c r="CY127" t="s">
        <v>1310</v>
      </c>
      <c r="CZ127" t="s">
        <v>1309</v>
      </c>
      <c r="DA127" t="s">
        <v>1309</v>
      </c>
      <c r="DB127" t="s">
        <v>1309</v>
      </c>
      <c r="DC127" t="s">
        <v>1310</v>
      </c>
      <c r="DD127" t="s">
        <v>1309</v>
      </c>
      <c r="DE127" t="s">
        <v>1309</v>
      </c>
      <c r="DF127" t="s">
        <v>1309</v>
      </c>
      <c r="DG127" t="s">
        <v>1309</v>
      </c>
      <c r="DH127" t="s">
        <v>1309</v>
      </c>
      <c r="DI127" t="s">
        <v>1309</v>
      </c>
      <c r="DJ127" t="s">
        <v>1309</v>
      </c>
      <c r="DK127" t="s">
        <v>1309</v>
      </c>
      <c r="DM127" t="s">
        <v>4435</v>
      </c>
      <c r="DO127" t="s">
        <v>1308</v>
      </c>
      <c r="DP127" t="s">
        <v>1310</v>
      </c>
      <c r="DQ127" t="s">
        <v>1309</v>
      </c>
      <c r="DR127" t="s">
        <v>1309</v>
      </c>
      <c r="DS127" t="s">
        <v>1309</v>
      </c>
      <c r="DT127" t="s">
        <v>1309</v>
      </c>
      <c r="DU127" t="s">
        <v>1309</v>
      </c>
      <c r="DV127" t="s">
        <v>1309</v>
      </c>
      <c r="DX127" t="s">
        <v>1358</v>
      </c>
      <c r="DY127" t="s">
        <v>1319</v>
      </c>
      <c r="DZ127">
        <v>150</v>
      </c>
      <c r="EA127">
        <v>900</v>
      </c>
      <c r="EB127">
        <v>500</v>
      </c>
      <c r="EC127" t="s">
        <v>1358</v>
      </c>
      <c r="ED127">
        <v>200</v>
      </c>
      <c r="EE127">
        <v>1700</v>
      </c>
      <c r="EF127">
        <v>600</v>
      </c>
      <c r="EG127" t="s">
        <v>1703</v>
      </c>
      <c r="EH127" t="s">
        <v>1310</v>
      </c>
      <c r="EI127" t="s">
        <v>1309</v>
      </c>
      <c r="EJ127" t="s">
        <v>1309</v>
      </c>
      <c r="EK127" t="s">
        <v>1309</v>
      </c>
      <c r="EL127" t="s">
        <v>1309</v>
      </c>
      <c r="EM127" t="s">
        <v>1309</v>
      </c>
      <c r="EN127" t="s">
        <v>1309</v>
      </c>
      <c r="EO127" t="s">
        <v>1309</v>
      </c>
      <c r="EQ127" t="s">
        <v>1307</v>
      </c>
      <c r="ER127" t="s">
        <v>1319</v>
      </c>
      <c r="ES127" t="s">
        <v>1307</v>
      </c>
      <c r="EU127" t="s">
        <v>2136</v>
      </c>
      <c r="EV127" t="s">
        <v>1309</v>
      </c>
      <c r="EW127" t="s">
        <v>1309</v>
      </c>
      <c r="EX127" t="s">
        <v>1309</v>
      </c>
      <c r="EY127" t="s">
        <v>1309</v>
      </c>
      <c r="EZ127" t="s">
        <v>1309</v>
      </c>
      <c r="FA127" t="s">
        <v>1309</v>
      </c>
      <c r="FB127" t="s">
        <v>1310</v>
      </c>
      <c r="FC127" t="s">
        <v>1310</v>
      </c>
      <c r="FD127" t="s">
        <v>1309</v>
      </c>
      <c r="FE127" t="s">
        <v>1309</v>
      </c>
      <c r="FF127" t="s">
        <v>1309</v>
      </c>
      <c r="FG127" t="s">
        <v>1309</v>
      </c>
      <c r="FH127" t="s">
        <v>1310</v>
      </c>
      <c r="FI127" t="s">
        <v>1309</v>
      </c>
      <c r="FJ127" t="s">
        <v>1309</v>
      </c>
      <c r="FK127" t="s">
        <v>1309</v>
      </c>
      <c r="FL127" t="s">
        <v>1309</v>
      </c>
      <c r="FN127" t="s">
        <v>1307</v>
      </c>
      <c r="GC127" t="s">
        <v>1324</v>
      </c>
      <c r="GD127" t="s">
        <v>1324</v>
      </c>
      <c r="GN127" t="s">
        <v>1364</v>
      </c>
      <c r="HB127" t="s">
        <v>1307</v>
      </c>
      <c r="HR127" t="s">
        <v>1451</v>
      </c>
      <c r="HS127" t="s">
        <v>1310</v>
      </c>
      <c r="HT127" t="s">
        <v>1309</v>
      </c>
      <c r="HU127" t="s">
        <v>1309</v>
      </c>
      <c r="HV127" t="s">
        <v>1310</v>
      </c>
      <c r="HW127" t="s">
        <v>1309</v>
      </c>
      <c r="HX127" t="s">
        <v>1309</v>
      </c>
      <c r="HY127" t="s">
        <v>1309</v>
      </c>
      <c r="HZ127" t="s">
        <v>1309</v>
      </c>
      <c r="IB127" s="92" t="s">
        <v>1333</v>
      </c>
      <c r="IC127" s="92" t="s">
        <v>1334</v>
      </c>
      <c r="ID127" s="92">
        <v>35</v>
      </c>
      <c r="IE127" s="92" t="s">
        <v>1307</v>
      </c>
      <c r="IF127" s="92" t="s">
        <v>4396</v>
      </c>
      <c r="IG127" s="92" t="s">
        <v>1336</v>
      </c>
      <c r="IH127" s="92" t="s">
        <v>1296</v>
      </c>
      <c r="II127" s="92" t="s">
        <v>71</v>
      </c>
      <c r="IJ127" s="92" t="s">
        <v>5549</v>
      </c>
      <c r="IK127" s="92" t="s">
        <v>1337</v>
      </c>
      <c r="IL127" s="92" t="s">
        <v>4845</v>
      </c>
      <c r="IM127" s="92" t="s">
        <v>1338</v>
      </c>
      <c r="IN127" s="92" t="s">
        <v>109</v>
      </c>
      <c r="IO127" s="92" t="s">
        <v>4847</v>
      </c>
      <c r="IP127" s="92" t="s">
        <v>1416</v>
      </c>
      <c r="IQ127" s="92">
        <v>1550</v>
      </c>
      <c r="IR127" s="92" t="s">
        <v>1372</v>
      </c>
      <c r="IS127" s="92" t="s">
        <v>192</v>
      </c>
      <c r="IT127" s="92" t="s">
        <v>192</v>
      </c>
      <c r="IU127" s="92" t="s">
        <v>192</v>
      </c>
      <c r="IV127" s="92" t="s">
        <v>192</v>
      </c>
      <c r="IW127" s="92" t="s">
        <v>1440</v>
      </c>
      <c r="IX127" s="92">
        <v>2500</v>
      </c>
      <c r="IY127" s="92" t="s">
        <v>1372</v>
      </c>
      <c r="IZ127" s="92" t="s">
        <v>1425</v>
      </c>
      <c r="JA127" s="92" t="s">
        <v>1342</v>
      </c>
      <c r="JB127" s="92" t="s">
        <v>192</v>
      </c>
      <c r="JC127" s="92" t="s">
        <v>5795</v>
      </c>
      <c r="JD127" s="92" t="s">
        <v>109</v>
      </c>
      <c r="JE127" s="92" t="s">
        <v>109</v>
      </c>
      <c r="JF127" s="92" t="s">
        <v>1372</v>
      </c>
      <c r="JG127" s="92" t="s">
        <v>4438</v>
      </c>
      <c r="JH127" s="92" t="s">
        <v>109</v>
      </c>
      <c r="JI127" s="92" t="s">
        <v>109</v>
      </c>
    </row>
    <row r="128" spans="1:269" x14ac:dyDescent="0.25">
      <c r="A128" t="s">
        <v>3282</v>
      </c>
      <c r="B128" t="s">
        <v>3283</v>
      </c>
      <c r="C128" t="s">
        <v>1305</v>
      </c>
      <c r="D128" t="s">
        <v>1306</v>
      </c>
      <c r="F128" t="s">
        <v>1307</v>
      </c>
      <c r="G128" t="s">
        <v>1307</v>
      </c>
      <c r="H128">
        <v>3</v>
      </c>
      <c r="I128" t="s">
        <v>1307</v>
      </c>
      <c r="J128" t="s">
        <v>1382</v>
      </c>
      <c r="K128" t="s">
        <v>1309</v>
      </c>
      <c r="L128" t="s">
        <v>1310</v>
      </c>
      <c r="M128" t="s">
        <v>1309</v>
      </c>
      <c r="N128" t="s">
        <v>1309</v>
      </c>
      <c r="O128" t="s">
        <v>1309</v>
      </c>
      <c r="P128" t="s">
        <v>1310</v>
      </c>
      <c r="Q128" t="s">
        <v>1309</v>
      </c>
      <c r="R128" t="s">
        <v>1309</v>
      </c>
      <c r="S128">
        <v>2</v>
      </c>
      <c r="U128" t="s">
        <v>1312</v>
      </c>
      <c r="V128" t="s">
        <v>1312</v>
      </c>
      <c r="W128" t="s">
        <v>1312</v>
      </c>
      <c r="X128" t="s">
        <v>1312</v>
      </c>
      <c r="Y128" t="s">
        <v>1312</v>
      </c>
      <c r="Z128" t="s">
        <v>1312</v>
      </c>
      <c r="AC128">
        <v>1</v>
      </c>
      <c r="AD128">
        <v>12000</v>
      </c>
      <c r="AE128">
        <v>12000</v>
      </c>
      <c r="AF128" t="s">
        <v>1313</v>
      </c>
      <c r="AH128" t="s">
        <v>1319</v>
      </c>
      <c r="AI128" t="s">
        <v>4876</v>
      </c>
      <c r="AK128" t="s">
        <v>1307</v>
      </c>
      <c r="CG128" t="s">
        <v>2853</v>
      </c>
      <c r="CH128" t="s">
        <v>1309</v>
      </c>
      <c r="CI128" t="s">
        <v>1309</v>
      </c>
      <c r="CJ128" t="s">
        <v>1309</v>
      </c>
      <c r="CK128" t="s">
        <v>1310</v>
      </c>
      <c r="CL128" t="s">
        <v>1309</v>
      </c>
      <c r="CM128" t="s">
        <v>1309</v>
      </c>
      <c r="CN128" t="s">
        <v>1309</v>
      </c>
      <c r="CO128" t="s">
        <v>1309</v>
      </c>
      <c r="CP128" t="s">
        <v>1309</v>
      </c>
      <c r="CQ128" t="s">
        <v>1309</v>
      </c>
      <c r="CR128" t="s">
        <v>1309</v>
      </c>
      <c r="CS128" t="s">
        <v>1309</v>
      </c>
      <c r="CT128" t="s">
        <v>1309</v>
      </c>
      <c r="CU128" t="s">
        <v>1309</v>
      </c>
      <c r="CV128" t="s">
        <v>1309</v>
      </c>
      <c r="CX128" t="s">
        <v>1414</v>
      </c>
      <c r="CY128" t="s">
        <v>1309</v>
      </c>
      <c r="CZ128" t="s">
        <v>1309</v>
      </c>
      <c r="DA128" t="s">
        <v>1309</v>
      </c>
      <c r="DB128" t="s">
        <v>1309</v>
      </c>
      <c r="DC128" t="s">
        <v>1309</v>
      </c>
      <c r="DD128" t="s">
        <v>1309</v>
      </c>
      <c r="DE128" t="s">
        <v>1309</v>
      </c>
      <c r="DF128" t="s">
        <v>1309</v>
      </c>
      <c r="DG128" t="s">
        <v>1309</v>
      </c>
      <c r="DH128" t="s">
        <v>1309</v>
      </c>
      <c r="DI128" t="s">
        <v>1309</v>
      </c>
      <c r="DJ128" t="s">
        <v>1310</v>
      </c>
      <c r="DK128" t="s">
        <v>1309</v>
      </c>
      <c r="DM128" t="s">
        <v>4434</v>
      </c>
      <c r="DO128" t="s">
        <v>1308</v>
      </c>
      <c r="DP128" t="s">
        <v>1310</v>
      </c>
      <c r="DQ128" t="s">
        <v>1309</v>
      </c>
      <c r="DR128" t="s">
        <v>1309</v>
      </c>
      <c r="DS128" t="s">
        <v>1309</v>
      </c>
      <c r="DT128" t="s">
        <v>1309</v>
      </c>
      <c r="DU128" t="s">
        <v>1309</v>
      </c>
      <c r="DV128" t="s">
        <v>1309</v>
      </c>
      <c r="DX128" t="s">
        <v>1358</v>
      </c>
      <c r="DZ128">
        <v>1300</v>
      </c>
      <c r="EB128">
        <v>500</v>
      </c>
      <c r="EC128" t="s">
        <v>1358</v>
      </c>
      <c r="ED128">
        <v>1900</v>
      </c>
      <c r="EF128">
        <v>600</v>
      </c>
      <c r="EG128" t="s">
        <v>1703</v>
      </c>
      <c r="EH128" t="s">
        <v>1310</v>
      </c>
      <c r="EI128" t="s">
        <v>1309</v>
      </c>
      <c r="EJ128" t="s">
        <v>1309</v>
      </c>
      <c r="EK128" t="s">
        <v>1309</v>
      </c>
      <c r="EL128" t="s">
        <v>1309</v>
      </c>
      <c r="EM128" t="s">
        <v>1309</v>
      </c>
      <c r="EN128" t="s">
        <v>1309</v>
      </c>
      <c r="EO128" t="s">
        <v>1309</v>
      </c>
      <c r="EQ128" t="s">
        <v>1319</v>
      </c>
      <c r="ER128" t="s">
        <v>1319</v>
      </c>
      <c r="ES128" t="s">
        <v>1319</v>
      </c>
      <c r="EU128" t="s">
        <v>1512</v>
      </c>
      <c r="EV128" t="s">
        <v>1310</v>
      </c>
      <c r="EW128" t="s">
        <v>1309</v>
      </c>
      <c r="EX128" t="s">
        <v>1310</v>
      </c>
      <c r="EY128" t="s">
        <v>1309</v>
      </c>
      <c r="EZ128" t="s">
        <v>1309</v>
      </c>
      <c r="FA128" t="s">
        <v>1309</v>
      </c>
      <c r="FB128" t="s">
        <v>1309</v>
      </c>
      <c r="FC128" t="s">
        <v>1310</v>
      </c>
      <c r="FD128" t="s">
        <v>1309</v>
      </c>
      <c r="FE128" t="s">
        <v>1309</v>
      </c>
      <c r="FF128" t="s">
        <v>1309</v>
      </c>
      <c r="FG128" t="s">
        <v>1309</v>
      </c>
      <c r="FH128" t="s">
        <v>1310</v>
      </c>
      <c r="FI128" t="s">
        <v>1309</v>
      </c>
      <c r="FJ128" t="s">
        <v>1309</v>
      </c>
      <c r="FK128" t="s">
        <v>1309</v>
      </c>
      <c r="FL128" t="s">
        <v>1309</v>
      </c>
      <c r="FN128" t="s">
        <v>1307</v>
      </c>
      <c r="GC128" t="s">
        <v>1324</v>
      </c>
      <c r="GD128" t="s">
        <v>1324</v>
      </c>
      <c r="GN128" t="s">
        <v>1364</v>
      </c>
      <c r="HB128" t="s">
        <v>1307</v>
      </c>
      <c r="HR128" t="s">
        <v>1393</v>
      </c>
      <c r="HS128" t="s">
        <v>1310</v>
      </c>
      <c r="HT128" t="s">
        <v>1309</v>
      </c>
      <c r="HU128" t="s">
        <v>1309</v>
      </c>
      <c r="HV128" t="s">
        <v>1309</v>
      </c>
      <c r="HW128" t="s">
        <v>1309</v>
      </c>
      <c r="HX128" t="s">
        <v>1309</v>
      </c>
      <c r="HY128" t="s">
        <v>1309</v>
      </c>
      <c r="HZ128" t="s">
        <v>1309</v>
      </c>
      <c r="IB128" s="92" t="s">
        <v>1333</v>
      </c>
      <c r="IC128" s="92" t="s">
        <v>1334</v>
      </c>
      <c r="ID128" s="92">
        <v>33</v>
      </c>
      <c r="IE128" s="92" t="s">
        <v>1307</v>
      </c>
      <c r="IF128" s="92" t="s">
        <v>4396</v>
      </c>
      <c r="IG128" s="92" t="s">
        <v>1336</v>
      </c>
      <c r="IH128" s="92" t="s">
        <v>1296</v>
      </c>
      <c r="II128" s="92" t="s">
        <v>71</v>
      </c>
      <c r="IJ128" s="92" t="s">
        <v>5549</v>
      </c>
      <c r="IK128" s="92" t="s">
        <v>1398</v>
      </c>
      <c r="IL128" s="92" t="s">
        <v>4845</v>
      </c>
      <c r="IM128" s="92" t="s">
        <v>1399</v>
      </c>
      <c r="IN128" s="92" t="s">
        <v>109</v>
      </c>
      <c r="IO128" s="92" t="s">
        <v>4844</v>
      </c>
      <c r="IP128" s="92" t="s">
        <v>1371</v>
      </c>
      <c r="IQ128" s="92">
        <v>1800</v>
      </c>
      <c r="IR128" s="92" t="s">
        <v>4438</v>
      </c>
      <c r="IS128" s="92" t="s">
        <v>192</v>
      </c>
      <c r="IT128" s="92" t="s">
        <v>109</v>
      </c>
      <c r="IU128" s="92" t="s">
        <v>192</v>
      </c>
      <c r="IV128" s="92" t="s">
        <v>109</v>
      </c>
      <c r="IW128" s="92" t="s">
        <v>1440</v>
      </c>
      <c r="IX128" s="92">
        <v>2500</v>
      </c>
      <c r="IY128" s="92" t="s">
        <v>4438</v>
      </c>
      <c r="IZ128" s="92" t="s">
        <v>1425</v>
      </c>
      <c r="JA128" s="92" t="s">
        <v>1460</v>
      </c>
      <c r="JB128" s="92" t="s">
        <v>192</v>
      </c>
      <c r="JC128" s="92" t="s">
        <v>5795</v>
      </c>
      <c r="JD128" s="92" t="s">
        <v>109</v>
      </c>
      <c r="JE128" s="92" t="s">
        <v>109</v>
      </c>
      <c r="JF128" s="92" t="s">
        <v>4438</v>
      </c>
      <c r="JG128" s="92" t="s">
        <v>4438</v>
      </c>
      <c r="JH128" s="92" t="s">
        <v>192</v>
      </c>
      <c r="JI128" s="92" t="s">
        <v>192</v>
      </c>
    </row>
    <row r="129" spans="1:269" x14ac:dyDescent="0.25">
      <c r="A129" t="s">
        <v>3284</v>
      </c>
      <c r="B129" t="s">
        <v>3285</v>
      </c>
      <c r="C129" t="s">
        <v>1305</v>
      </c>
      <c r="D129" t="s">
        <v>1306</v>
      </c>
      <c r="F129" t="s">
        <v>1307</v>
      </c>
      <c r="G129" t="s">
        <v>1319</v>
      </c>
      <c r="H129">
        <v>3</v>
      </c>
      <c r="I129" t="s">
        <v>1307</v>
      </c>
      <c r="J129" t="s">
        <v>1406</v>
      </c>
      <c r="K129" t="s">
        <v>1309</v>
      </c>
      <c r="L129" t="s">
        <v>1310</v>
      </c>
      <c r="M129" t="s">
        <v>1309</v>
      </c>
      <c r="N129" t="s">
        <v>1309</v>
      </c>
      <c r="O129" t="s">
        <v>1309</v>
      </c>
      <c r="P129" t="s">
        <v>1309</v>
      </c>
      <c r="Q129" t="s">
        <v>1309</v>
      </c>
      <c r="R129" t="s">
        <v>1309</v>
      </c>
      <c r="S129">
        <v>1</v>
      </c>
      <c r="U129" t="s">
        <v>1312</v>
      </c>
      <c r="V129" t="s">
        <v>1312</v>
      </c>
      <c r="W129" t="s">
        <v>1312</v>
      </c>
      <c r="X129" t="s">
        <v>1312</v>
      </c>
      <c r="Y129" t="s">
        <v>1312</v>
      </c>
      <c r="Z129" t="s">
        <v>1312</v>
      </c>
      <c r="AC129">
        <v>2</v>
      </c>
      <c r="AD129">
        <v>32000</v>
      </c>
      <c r="AE129">
        <v>25000</v>
      </c>
      <c r="AF129" t="s">
        <v>1313</v>
      </c>
      <c r="AH129" t="s">
        <v>1319</v>
      </c>
      <c r="AI129" t="s">
        <v>4879</v>
      </c>
      <c r="AK129" t="s">
        <v>1307</v>
      </c>
      <c r="CG129" t="s">
        <v>2853</v>
      </c>
      <c r="CH129" t="s">
        <v>1309</v>
      </c>
      <c r="CI129" t="s">
        <v>1309</v>
      </c>
      <c r="CJ129" t="s">
        <v>1309</v>
      </c>
      <c r="CK129" t="s">
        <v>1310</v>
      </c>
      <c r="CL129" t="s">
        <v>1309</v>
      </c>
      <c r="CM129" t="s">
        <v>1309</v>
      </c>
      <c r="CN129" t="s">
        <v>1309</v>
      </c>
      <c r="CO129" t="s">
        <v>1309</v>
      </c>
      <c r="CP129" t="s">
        <v>1309</v>
      </c>
      <c r="CQ129" t="s">
        <v>1309</v>
      </c>
      <c r="CR129" t="s">
        <v>1309</v>
      </c>
      <c r="CS129" t="s">
        <v>1309</v>
      </c>
      <c r="CT129" t="s">
        <v>1309</v>
      </c>
      <c r="CU129" t="s">
        <v>1309</v>
      </c>
      <c r="CV129" t="s">
        <v>1309</v>
      </c>
      <c r="CX129" t="s">
        <v>1384</v>
      </c>
      <c r="CY129" t="s">
        <v>1310</v>
      </c>
      <c r="CZ129" t="s">
        <v>1309</v>
      </c>
      <c r="DA129" t="s">
        <v>1309</v>
      </c>
      <c r="DB129" t="s">
        <v>1309</v>
      </c>
      <c r="DC129" t="s">
        <v>1309</v>
      </c>
      <c r="DD129" t="s">
        <v>1309</v>
      </c>
      <c r="DE129" t="s">
        <v>1309</v>
      </c>
      <c r="DF129" t="s">
        <v>1309</v>
      </c>
      <c r="DG129" t="s">
        <v>1309</v>
      </c>
      <c r="DH129" t="s">
        <v>1309</v>
      </c>
      <c r="DI129" t="s">
        <v>1309</v>
      </c>
      <c r="DJ129" t="s">
        <v>1309</v>
      </c>
      <c r="DK129" t="s">
        <v>1309</v>
      </c>
      <c r="DM129" t="s">
        <v>4434</v>
      </c>
      <c r="DO129" t="s">
        <v>1357</v>
      </c>
      <c r="DP129" t="s">
        <v>1309</v>
      </c>
      <c r="DQ129" t="s">
        <v>1309</v>
      </c>
      <c r="DR129" t="s">
        <v>1309</v>
      </c>
      <c r="DS129" t="s">
        <v>1309</v>
      </c>
      <c r="DT129" t="s">
        <v>1310</v>
      </c>
      <c r="DU129" t="s">
        <v>1309</v>
      </c>
      <c r="DV129" t="s">
        <v>1309</v>
      </c>
      <c r="DX129" t="s">
        <v>1358</v>
      </c>
      <c r="DZ129">
        <v>2400</v>
      </c>
      <c r="EB129">
        <v>800</v>
      </c>
      <c r="EC129" t="s">
        <v>1358</v>
      </c>
      <c r="ED129">
        <v>2900</v>
      </c>
      <c r="EF129">
        <v>900</v>
      </c>
      <c r="EG129" t="s">
        <v>2949</v>
      </c>
      <c r="EH129" t="s">
        <v>1310</v>
      </c>
      <c r="EI129" t="s">
        <v>1310</v>
      </c>
      <c r="EJ129" t="s">
        <v>1309</v>
      </c>
      <c r="EK129" t="s">
        <v>1309</v>
      </c>
      <c r="EL129" t="s">
        <v>1309</v>
      </c>
      <c r="EM129" t="s">
        <v>1309</v>
      </c>
      <c r="EN129" t="s">
        <v>1309</v>
      </c>
      <c r="EO129" t="s">
        <v>1309</v>
      </c>
      <c r="EQ129" t="s">
        <v>1319</v>
      </c>
      <c r="ER129" t="s">
        <v>1319</v>
      </c>
      <c r="ES129" t="s">
        <v>1319</v>
      </c>
      <c r="EU129" t="s">
        <v>3286</v>
      </c>
      <c r="EV129" t="s">
        <v>1310</v>
      </c>
      <c r="EW129" t="s">
        <v>1309</v>
      </c>
      <c r="EX129" t="s">
        <v>1309</v>
      </c>
      <c r="EY129" t="s">
        <v>1309</v>
      </c>
      <c r="EZ129" t="s">
        <v>1309</v>
      </c>
      <c r="FA129" t="s">
        <v>1310</v>
      </c>
      <c r="FB129" t="s">
        <v>1310</v>
      </c>
      <c r="FC129" t="s">
        <v>1310</v>
      </c>
      <c r="FD129" t="s">
        <v>1309</v>
      </c>
      <c r="FE129" t="s">
        <v>1309</v>
      </c>
      <c r="FF129" t="s">
        <v>1309</v>
      </c>
      <c r="FG129" t="s">
        <v>1309</v>
      </c>
      <c r="FH129" t="s">
        <v>1309</v>
      </c>
      <c r="FI129" t="s">
        <v>1309</v>
      </c>
      <c r="FJ129" t="s">
        <v>1309</v>
      </c>
      <c r="FK129" t="s">
        <v>1309</v>
      </c>
      <c r="FL129" t="s">
        <v>1309</v>
      </c>
      <c r="FN129" t="s">
        <v>1319</v>
      </c>
      <c r="FO129" t="s">
        <v>2575</v>
      </c>
      <c r="FP129" t="s">
        <v>1309</v>
      </c>
      <c r="FQ129" t="s">
        <v>1309</v>
      </c>
      <c r="FR129" t="s">
        <v>1309</v>
      </c>
      <c r="FS129" t="s">
        <v>1310</v>
      </c>
      <c r="FT129" t="s">
        <v>1309</v>
      </c>
      <c r="FU129" t="s">
        <v>1310</v>
      </c>
      <c r="FV129" t="s">
        <v>1309</v>
      </c>
      <c r="FW129" t="s">
        <v>1309</v>
      </c>
      <c r="FX129" t="s">
        <v>1310</v>
      </c>
      <c r="FY129" t="s">
        <v>1309</v>
      </c>
      <c r="FZ129" t="s">
        <v>1309</v>
      </c>
      <c r="GA129" t="s">
        <v>1309</v>
      </c>
      <c r="GC129" t="s">
        <v>1324</v>
      </c>
      <c r="GD129" t="s">
        <v>1324</v>
      </c>
      <c r="GN129" t="s">
        <v>1364</v>
      </c>
      <c r="HB129" t="s">
        <v>1319</v>
      </c>
      <c r="HC129" t="s">
        <v>1423</v>
      </c>
      <c r="HD129" t="s">
        <v>1309</v>
      </c>
      <c r="HE129" t="s">
        <v>1309</v>
      </c>
      <c r="HF129" t="s">
        <v>1309</v>
      </c>
      <c r="HG129" t="s">
        <v>1309</v>
      </c>
      <c r="HH129" t="s">
        <v>1310</v>
      </c>
      <c r="HI129" t="s">
        <v>1309</v>
      </c>
      <c r="HJ129" t="s">
        <v>1309</v>
      </c>
      <c r="HK129" t="s">
        <v>1309</v>
      </c>
      <c r="HL129" t="s">
        <v>1309</v>
      </c>
      <c r="HM129" t="s">
        <v>1309</v>
      </c>
      <c r="HN129" t="s">
        <v>1309</v>
      </c>
      <c r="HO129" t="s">
        <v>1309</v>
      </c>
      <c r="HP129" t="s">
        <v>1309</v>
      </c>
      <c r="HR129" t="s">
        <v>1507</v>
      </c>
      <c r="HS129" t="s">
        <v>1309</v>
      </c>
      <c r="HT129" t="s">
        <v>1309</v>
      </c>
      <c r="HU129" t="s">
        <v>1310</v>
      </c>
      <c r="HV129" t="s">
        <v>1310</v>
      </c>
      <c r="HW129" t="s">
        <v>1309</v>
      </c>
      <c r="HX129" t="s">
        <v>1309</v>
      </c>
      <c r="HY129" t="s">
        <v>1309</v>
      </c>
      <c r="HZ129" t="s">
        <v>1309</v>
      </c>
      <c r="IB129" s="92" t="s">
        <v>1333</v>
      </c>
      <c r="IC129" s="92" t="s">
        <v>1334</v>
      </c>
      <c r="ID129" s="92">
        <v>36</v>
      </c>
      <c r="IE129" s="92" t="s">
        <v>1307</v>
      </c>
      <c r="IF129" s="92" t="s">
        <v>4396</v>
      </c>
      <c r="IG129" s="92" t="s">
        <v>1336</v>
      </c>
      <c r="IH129" s="92" t="s">
        <v>1296</v>
      </c>
      <c r="II129" s="92" t="s">
        <v>71</v>
      </c>
      <c r="IJ129" s="92" t="s">
        <v>5549</v>
      </c>
      <c r="IK129" s="92" t="s">
        <v>1337</v>
      </c>
      <c r="IL129" s="92" t="s">
        <v>4845</v>
      </c>
      <c r="IM129" s="92" t="s">
        <v>1415</v>
      </c>
      <c r="IN129" s="92" t="s">
        <v>109</v>
      </c>
      <c r="IO129" s="92" t="s">
        <v>4847</v>
      </c>
      <c r="IP129" s="92" t="s">
        <v>1416</v>
      </c>
      <c r="IQ129" s="92">
        <v>3200</v>
      </c>
      <c r="IR129" s="92" t="s">
        <v>1372</v>
      </c>
      <c r="IS129" s="92" t="s">
        <v>192</v>
      </c>
      <c r="IT129" s="92" t="s">
        <v>109</v>
      </c>
      <c r="IU129" s="92" t="s">
        <v>192</v>
      </c>
      <c r="IV129" s="92" t="s">
        <v>109</v>
      </c>
      <c r="IW129" s="92" t="s">
        <v>1341</v>
      </c>
      <c r="IX129" s="92">
        <v>3800</v>
      </c>
      <c r="IY129" s="92" t="s">
        <v>4438</v>
      </c>
      <c r="IZ129" s="92" t="s">
        <v>1341</v>
      </c>
      <c r="JA129" s="92" t="s">
        <v>1375</v>
      </c>
      <c r="JB129" s="92" t="s">
        <v>192</v>
      </c>
      <c r="JC129" s="92" t="s">
        <v>5795</v>
      </c>
      <c r="JD129" s="92" t="s">
        <v>109</v>
      </c>
      <c r="JE129" s="92" t="s">
        <v>109</v>
      </c>
      <c r="JF129" s="92" t="s">
        <v>4438</v>
      </c>
      <c r="JG129" s="92" t="s">
        <v>4438</v>
      </c>
      <c r="JH129" s="92" t="s">
        <v>109</v>
      </c>
      <c r="JI129" s="92" t="s">
        <v>109</v>
      </c>
    </row>
    <row r="130" spans="1:269" x14ac:dyDescent="0.25">
      <c r="A130" t="s">
        <v>3287</v>
      </c>
      <c r="B130" t="s">
        <v>3288</v>
      </c>
      <c r="C130" t="s">
        <v>1429</v>
      </c>
      <c r="D130" t="s">
        <v>1381</v>
      </c>
      <c r="F130" t="s">
        <v>1319</v>
      </c>
      <c r="G130" t="s">
        <v>1319</v>
      </c>
      <c r="H130">
        <v>4</v>
      </c>
      <c r="I130" t="s">
        <v>1358</v>
      </c>
      <c r="J130" t="s">
        <v>1406</v>
      </c>
      <c r="K130" t="s">
        <v>1309</v>
      </c>
      <c r="L130" t="s">
        <v>1310</v>
      </c>
      <c r="M130" t="s">
        <v>1309</v>
      </c>
      <c r="N130" t="s">
        <v>1309</v>
      </c>
      <c r="O130" t="s">
        <v>1309</v>
      </c>
      <c r="P130" t="s">
        <v>1309</v>
      </c>
      <c r="Q130" t="s">
        <v>1309</v>
      </c>
      <c r="R130" t="s">
        <v>1309</v>
      </c>
      <c r="S130">
        <v>2</v>
      </c>
      <c r="U130" t="s">
        <v>1312</v>
      </c>
      <c r="V130" t="s">
        <v>1312</v>
      </c>
      <c r="W130" t="s">
        <v>1312</v>
      </c>
      <c r="X130" t="s">
        <v>1312</v>
      </c>
      <c r="Y130" t="s">
        <v>1312</v>
      </c>
      <c r="Z130" t="s">
        <v>1312</v>
      </c>
      <c r="AC130">
        <v>1</v>
      </c>
      <c r="AE130">
        <v>30000</v>
      </c>
      <c r="AF130" t="s">
        <v>1313</v>
      </c>
      <c r="AH130" t="s">
        <v>1319</v>
      </c>
      <c r="AI130" t="s">
        <v>4879</v>
      </c>
      <c r="AK130" t="s">
        <v>1307</v>
      </c>
      <c r="CG130" t="s">
        <v>2853</v>
      </c>
      <c r="CH130" t="s">
        <v>1309</v>
      </c>
      <c r="CI130" t="s">
        <v>1309</v>
      </c>
      <c r="CJ130" t="s">
        <v>1309</v>
      </c>
      <c r="CK130" t="s">
        <v>1310</v>
      </c>
      <c r="CL130" t="s">
        <v>1309</v>
      </c>
      <c r="CM130" t="s">
        <v>1309</v>
      </c>
      <c r="CN130" t="s">
        <v>1309</v>
      </c>
      <c r="CO130" t="s">
        <v>1309</v>
      </c>
      <c r="CP130" t="s">
        <v>1309</v>
      </c>
      <c r="CQ130" t="s">
        <v>1309</v>
      </c>
      <c r="CR130" t="s">
        <v>1309</v>
      </c>
      <c r="CS130" t="s">
        <v>1309</v>
      </c>
      <c r="CT130" t="s">
        <v>1309</v>
      </c>
      <c r="CU130" t="s">
        <v>1309</v>
      </c>
      <c r="CV130" t="s">
        <v>1309</v>
      </c>
      <c r="CX130" t="s">
        <v>1384</v>
      </c>
      <c r="CY130" t="s">
        <v>1310</v>
      </c>
      <c r="CZ130" t="s">
        <v>1309</v>
      </c>
      <c r="DA130" t="s">
        <v>1309</v>
      </c>
      <c r="DB130" t="s">
        <v>1309</v>
      </c>
      <c r="DC130" t="s">
        <v>1309</v>
      </c>
      <c r="DD130" t="s">
        <v>1309</v>
      </c>
      <c r="DE130" t="s">
        <v>1309</v>
      </c>
      <c r="DF130" t="s">
        <v>1309</v>
      </c>
      <c r="DG130" t="s">
        <v>1309</v>
      </c>
      <c r="DH130" t="s">
        <v>1309</v>
      </c>
      <c r="DI130" t="s">
        <v>1309</v>
      </c>
      <c r="DJ130" t="s">
        <v>1309</v>
      </c>
      <c r="DK130" t="s">
        <v>1309</v>
      </c>
      <c r="DM130" t="s">
        <v>4434</v>
      </c>
      <c r="DO130" t="s">
        <v>1308</v>
      </c>
      <c r="DP130" t="s">
        <v>1310</v>
      </c>
      <c r="DQ130" t="s">
        <v>1309</v>
      </c>
      <c r="DR130" t="s">
        <v>1309</v>
      </c>
      <c r="DS130" t="s">
        <v>1309</v>
      </c>
      <c r="DT130" t="s">
        <v>1309</v>
      </c>
      <c r="DU130" t="s">
        <v>1309</v>
      </c>
      <c r="DV130" t="s">
        <v>1309</v>
      </c>
      <c r="DX130" t="s">
        <v>1358</v>
      </c>
      <c r="DZ130">
        <v>3500</v>
      </c>
      <c r="EB130">
        <v>1000</v>
      </c>
      <c r="EC130" t="s">
        <v>1358</v>
      </c>
      <c r="ED130">
        <v>4000</v>
      </c>
      <c r="EF130">
        <v>1000</v>
      </c>
      <c r="EG130" t="s">
        <v>2949</v>
      </c>
      <c r="EH130" t="s">
        <v>1310</v>
      </c>
      <c r="EI130" t="s">
        <v>1310</v>
      </c>
      <c r="EJ130" t="s">
        <v>1309</v>
      </c>
      <c r="EK130" t="s">
        <v>1309</v>
      </c>
      <c r="EL130" t="s">
        <v>1309</v>
      </c>
      <c r="EM130" t="s">
        <v>1309</v>
      </c>
      <c r="EN130" t="s">
        <v>1309</v>
      </c>
      <c r="EO130" t="s">
        <v>1309</v>
      </c>
      <c r="EQ130" t="s">
        <v>1307</v>
      </c>
      <c r="ER130" t="s">
        <v>1307</v>
      </c>
      <c r="ES130" t="s">
        <v>1307</v>
      </c>
      <c r="FN130" t="s">
        <v>1307</v>
      </c>
      <c r="GC130" t="s">
        <v>1324</v>
      </c>
      <c r="GD130" t="s">
        <v>1324</v>
      </c>
      <c r="GN130" t="s">
        <v>1364</v>
      </c>
      <c r="HB130" t="s">
        <v>1307</v>
      </c>
      <c r="HR130" t="s">
        <v>1620</v>
      </c>
      <c r="HS130" t="s">
        <v>1310</v>
      </c>
      <c r="HT130" t="s">
        <v>1310</v>
      </c>
      <c r="HU130" t="s">
        <v>1309</v>
      </c>
      <c r="HV130" t="s">
        <v>1309</v>
      </c>
      <c r="HW130" t="s">
        <v>1310</v>
      </c>
      <c r="HX130" t="s">
        <v>1309</v>
      </c>
      <c r="HY130" t="s">
        <v>1309</v>
      </c>
      <c r="HZ130" t="s">
        <v>1309</v>
      </c>
      <c r="IB130" s="92" t="s">
        <v>1333</v>
      </c>
      <c r="IC130" s="92" t="s">
        <v>1334</v>
      </c>
      <c r="ID130" s="92">
        <v>42</v>
      </c>
      <c r="IE130" s="92" t="s">
        <v>1307</v>
      </c>
      <c r="IF130" s="92" t="s">
        <v>4398</v>
      </c>
      <c r="IG130" s="92" t="s">
        <v>1336</v>
      </c>
      <c r="IH130" s="92" t="s">
        <v>1296</v>
      </c>
      <c r="II130" s="92" t="s">
        <v>71</v>
      </c>
      <c r="IJ130" s="92" t="s">
        <v>1397</v>
      </c>
      <c r="IK130" s="92" t="s">
        <v>1337</v>
      </c>
      <c r="IL130" s="92" t="s">
        <v>4845</v>
      </c>
      <c r="IM130" s="92" t="s">
        <v>1415</v>
      </c>
      <c r="IN130" s="92" t="s">
        <v>109</v>
      </c>
      <c r="IO130" s="92" t="s">
        <v>4844</v>
      </c>
      <c r="IP130" s="92" t="s">
        <v>1340</v>
      </c>
      <c r="IQ130" s="92">
        <v>4500</v>
      </c>
      <c r="IR130" s="92" t="s">
        <v>1340</v>
      </c>
      <c r="IS130" s="92" t="s">
        <v>192</v>
      </c>
      <c r="IT130" s="92" t="s">
        <v>109</v>
      </c>
      <c r="IU130" s="92" t="s">
        <v>192</v>
      </c>
      <c r="IV130" s="92" t="s">
        <v>109</v>
      </c>
      <c r="IW130" s="92" t="s">
        <v>1341</v>
      </c>
      <c r="IX130" s="92">
        <v>5000</v>
      </c>
      <c r="IY130" s="92" t="s">
        <v>1340</v>
      </c>
      <c r="IZ130" s="92" t="s">
        <v>1341</v>
      </c>
      <c r="JA130" s="92" t="s">
        <v>1460</v>
      </c>
      <c r="JB130" s="92" t="s">
        <v>192</v>
      </c>
      <c r="JC130" s="92" t="s">
        <v>1403</v>
      </c>
      <c r="JD130" s="92" t="s">
        <v>109</v>
      </c>
      <c r="JE130" s="92" t="s">
        <v>109</v>
      </c>
      <c r="JF130" s="92" t="s">
        <v>1340</v>
      </c>
      <c r="JG130" s="92" t="s">
        <v>1340</v>
      </c>
      <c r="JH130" s="92"/>
      <c r="JI130" s="92"/>
    </row>
    <row r="131" spans="1:269" x14ac:dyDescent="0.25">
      <c r="A131" t="s">
        <v>3289</v>
      </c>
      <c r="B131" t="s">
        <v>3290</v>
      </c>
      <c r="C131" t="s">
        <v>1305</v>
      </c>
      <c r="D131" t="s">
        <v>1381</v>
      </c>
      <c r="F131" t="s">
        <v>1319</v>
      </c>
      <c r="G131" t="s">
        <v>1319</v>
      </c>
      <c r="H131">
        <v>2</v>
      </c>
      <c r="I131" t="s">
        <v>1358</v>
      </c>
      <c r="J131" t="s">
        <v>1382</v>
      </c>
      <c r="K131" t="s">
        <v>1309</v>
      </c>
      <c r="L131" t="s">
        <v>1310</v>
      </c>
      <c r="M131" t="s">
        <v>1309</v>
      </c>
      <c r="N131" t="s">
        <v>1309</v>
      </c>
      <c r="O131" t="s">
        <v>1309</v>
      </c>
      <c r="P131" t="s">
        <v>1310</v>
      </c>
      <c r="Q131" t="s">
        <v>1309</v>
      </c>
      <c r="R131" t="s">
        <v>1309</v>
      </c>
      <c r="S131">
        <v>1</v>
      </c>
      <c r="U131" t="s">
        <v>1312</v>
      </c>
      <c r="V131" t="s">
        <v>1312</v>
      </c>
      <c r="W131" t="s">
        <v>1312</v>
      </c>
      <c r="X131" t="s">
        <v>1312</v>
      </c>
      <c r="Y131" t="s">
        <v>1312</v>
      </c>
      <c r="Z131" t="s">
        <v>1312</v>
      </c>
      <c r="AC131">
        <v>2</v>
      </c>
      <c r="AD131">
        <v>5000</v>
      </c>
      <c r="AE131">
        <v>2000</v>
      </c>
      <c r="AF131" t="s">
        <v>1313</v>
      </c>
      <c r="AH131" t="s">
        <v>1319</v>
      </c>
      <c r="AI131" t="s">
        <v>4879</v>
      </c>
      <c r="AK131" t="s">
        <v>1307</v>
      </c>
      <c r="CG131" t="s">
        <v>1698</v>
      </c>
      <c r="CH131" t="s">
        <v>1309</v>
      </c>
      <c r="CI131" t="s">
        <v>1309</v>
      </c>
      <c r="CJ131" t="s">
        <v>1309</v>
      </c>
      <c r="CK131" t="s">
        <v>1309</v>
      </c>
      <c r="CL131" t="s">
        <v>1309</v>
      </c>
      <c r="CM131" t="s">
        <v>1309</v>
      </c>
      <c r="CN131" t="s">
        <v>1309</v>
      </c>
      <c r="CO131" t="s">
        <v>1309</v>
      </c>
      <c r="CP131" t="s">
        <v>1309</v>
      </c>
      <c r="CQ131" t="s">
        <v>1309</v>
      </c>
      <c r="CR131" t="s">
        <v>1309</v>
      </c>
      <c r="CS131" t="s">
        <v>1309</v>
      </c>
      <c r="CT131" t="s">
        <v>1310</v>
      </c>
      <c r="CU131" t="s">
        <v>1309</v>
      </c>
      <c r="CV131" t="s">
        <v>1309</v>
      </c>
      <c r="CW131" t="s">
        <v>3291</v>
      </c>
      <c r="CX131" t="s">
        <v>1414</v>
      </c>
      <c r="CY131" t="s">
        <v>1309</v>
      </c>
      <c r="CZ131" t="s">
        <v>1309</v>
      </c>
      <c r="DA131" t="s">
        <v>1309</v>
      </c>
      <c r="DB131" t="s">
        <v>1309</v>
      </c>
      <c r="DC131" t="s">
        <v>1309</v>
      </c>
      <c r="DD131" t="s">
        <v>1309</v>
      </c>
      <c r="DE131" t="s">
        <v>1309</v>
      </c>
      <c r="DF131" t="s">
        <v>1309</v>
      </c>
      <c r="DG131" t="s">
        <v>1309</v>
      </c>
      <c r="DH131" t="s">
        <v>1309</v>
      </c>
      <c r="DI131" t="s">
        <v>1309</v>
      </c>
      <c r="DJ131" t="s">
        <v>1310</v>
      </c>
      <c r="DK131" t="s">
        <v>1309</v>
      </c>
      <c r="DM131" t="s">
        <v>4435</v>
      </c>
      <c r="DO131" t="s">
        <v>1308</v>
      </c>
      <c r="DP131" t="s">
        <v>1310</v>
      </c>
      <c r="DQ131" t="s">
        <v>1309</v>
      </c>
      <c r="DR131" t="s">
        <v>1309</v>
      </c>
      <c r="DS131" t="s">
        <v>1309</v>
      </c>
      <c r="DT131" t="s">
        <v>1309</v>
      </c>
      <c r="DU131" t="s">
        <v>1309</v>
      </c>
      <c r="DV131" t="s">
        <v>1309</v>
      </c>
      <c r="DX131" t="s">
        <v>1358</v>
      </c>
      <c r="DY131" t="s">
        <v>1307</v>
      </c>
      <c r="EA131">
        <v>1500</v>
      </c>
      <c r="EB131">
        <v>300</v>
      </c>
      <c r="EC131" t="s">
        <v>1358</v>
      </c>
      <c r="EE131">
        <v>2000</v>
      </c>
      <c r="EF131">
        <v>350</v>
      </c>
      <c r="EG131" t="s">
        <v>2930</v>
      </c>
      <c r="EH131" t="s">
        <v>1309</v>
      </c>
      <c r="EI131" t="s">
        <v>1309</v>
      </c>
      <c r="EJ131" t="s">
        <v>1309</v>
      </c>
      <c r="EK131" t="s">
        <v>1309</v>
      </c>
      <c r="EL131" t="s">
        <v>1310</v>
      </c>
      <c r="EM131" t="s">
        <v>1309</v>
      </c>
      <c r="EN131" t="s">
        <v>1309</v>
      </c>
      <c r="EO131" t="s">
        <v>1309</v>
      </c>
      <c r="EQ131" t="s">
        <v>1307</v>
      </c>
      <c r="ER131" t="s">
        <v>1307</v>
      </c>
      <c r="FN131" t="s">
        <v>1307</v>
      </c>
      <c r="GC131" t="s">
        <v>1324</v>
      </c>
      <c r="GD131" t="s">
        <v>1324</v>
      </c>
      <c r="GN131" t="s">
        <v>1364</v>
      </c>
      <c r="HB131" t="s">
        <v>1307</v>
      </c>
      <c r="HR131" t="s">
        <v>1414</v>
      </c>
      <c r="HS131" t="s">
        <v>1309</v>
      </c>
      <c r="HT131" t="s">
        <v>1309</v>
      </c>
      <c r="HU131" t="s">
        <v>1309</v>
      </c>
      <c r="HV131" t="s">
        <v>1309</v>
      </c>
      <c r="HW131" t="s">
        <v>1309</v>
      </c>
      <c r="HX131" t="s">
        <v>1309</v>
      </c>
      <c r="HY131" t="s">
        <v>1310</v>
      </c>
      <c r="HZ131" t="s">
        <v>1309</v>
      </c>
      <c r="IB131" s="92" t="s">
        <v>1333</v>
      </c>
      <c r="IC131" s="92" t="s">
        <v>1334</v>
      </c>
      <c r="ID131" s="92">
        <v>37</v>
      </c>
      <c r="IE131" s="92" t="s">
        <v>1307</v>
      </c>
      <c r="IF131" s="92" t="s">
        <v>4398</v>
      </c>
      <c r="IG131" s="92" t="s">
        <v>1336</v>
      </c>
      <c r="IH131" s="92" t="s">
        <v>1296</v>
      </c>
      <c r="II131" s="92" t="s">
        <v>71</v>
      </c>
      <c r="IJ131" s="92" t="s">
        <v>1397</v>
      </c>
      <c r="IK131" s="92" t="s">
        <v>1337</v>
      </c>
      <c r="IL131" s="92" t="s">
        <v>4845</v>
      </c>
      <c r="IM131" s="92" t="s">
        <v>1399</v>
      </c>
      <c r="IN131" s="92" t="s">
        <v>109</v>
      </c>
      <c r="IO131" s="92" t="s">
        <v>4847</v>
      </c>
      <c r="IP131" s="92" t="s">
        <v>5560</v>
      </c>
      <c r="IQ131" s="92">
        <v>1800</v>
      </c>
      <c r="IR131" s="92" t="s">
        <v>4439</v>
      </c>
      <c r="IS131" s="92" t="s">
        <v>109</v>
      </c>
      <c r="IT131" s="92" t="s">
        <v>192</v>
      </c>
      <c r="IU131" s="92" t="s">
        <v>109</v>
      </c>
      <c r="IV131" s="92" t="s">
        <v>192</v>
      </c>
      <c r="IW131" s="92" t="s">
        <v>1440</v>
      </c>
      <c r="IX131" s="92">
        <v>2350</v>
      </c>
      <c r="IY131" s="92" t="s">
        <v>4439</v>
      </c>
      <c r="IZ131" s="92" t="s">
        <v>1425</v>
      </c>
      <c r="JA131" s="92" t="s">
        <v>1342</v>
      </c>
      <c r="JB131" s="92" t="s">
        <v>109</v>
      </c>
      <c r="JC131" s="92" t="s">
        <v>1403</v>
      </c>
      <c r="JD131" s="92" t="s">
        <v>109</v>
      </c>
      <c r="JE131" s="92" t="s">
        <v>109</v>
      </c>
      <c r="JF131" s="92" t="s">
        <v>4439</v>
      </c>
      <c r="JG131" s="92" t="s">
        <v>1400</v>
      </c>
      <c r="JH131" s="92" t="s">
        <v>109</v>
      </c>
      <c r="JI131" s="92" t="s">
        <v>109</v>
      </c>
    </row>
    <row r="132" spans="1:269" x14ac:dyDescent="0.25">
      <c r="A132" t="s">
        <v>3292</v>
      </c>
      <c r="B132" t="s">
        <v>3293</v>
      </c>
      <c r="C132" t="s">
        <v>1429</v>
      </c>
      <c r="D132" t="s">
        <v>1306</v>
      </c>
      <c r="F132" t="s">
        <v>1307</v>
      </c>
      <c r="G132" t="s">
        <v>1319</v>
      </c>
      <c r="H132">
        <v>2</v>
      </c>
      <c r="I132" t="s">
        <v>1307</v>
      </c>
      <c r="J132" t="s">
        <v>1308</v>
      </c>
      <c r="K132" t="s">
        <v>1309</v>
      </c>
      <c r="L132" t="s">
        <v>1309</v>
      </c>
      <c r="M132" t="s">
        <v>1309</v>
      </c>
      <c r="N132" t="s">
        <v>1309</v>
      </c>
      <c r="O132" t="s">
        <v>1309</v>
      </c>
      <c r="P132" t="s">
        <v>1309</v>
      </c>
      <c r="Q132" t="s">
        <v>1310</v>
      </c>
      <c r="R132" t="s">
        <v>1309</v>
      </c>
      <c r="U132" t="s">
        <v>1312</v>
      </c>
      <c r="V132" t="s">
        <v>1312</v>
      </c>
      <c r="W132" t="s">
        <v>1312</v>
      </c>
      <c r="X132" t="s">
        <v>1312</v>
      </c>
      <c r="Y132" t="s">
        <v>1312</v>
      </c>
      <c r="Z132" t="s">
        <v>1312</v>
      </c>
      <c r="AC132">
        <v>2</v>
      </c>
      <c r="AD132">
        <v>19000</v>
      </c>
      <c r="AE132">
        <v>15000</v>
      </c>
      <c r="AF132" t="s">
        <v>1313</v>
      </c>
      <c r="AH132" t="s">
        <v>1319</v>
      </c>
      <c r="AI132" t="s">
        <v>4879</v>
      </c>
      <c r="AK132" t="s">
        <v>1307</v>
      </c>
      <c r="CG132" t="s">
        <v>2853</v>
      </c>
      <c r="CH132" t="s">
        <v>1309</v>
      </c>
      <c r="CI132" t="s">
        <v>1309</v>
      </c>
      <c r="CJ132" t="s">
        <v>1309</v>
      </c>
      <c r="CK132" t="s">
        <v>1310</v>
      </c>
      <c r="CL132" t="s">
        <v>1309</v>
      </c>
      <c r="CM132" t="s">
        <v>1309</v>
      </c>
      <c r="CN132" t="s">
        <v>1309</v>
      </c>
      <c r="CO132" t="s">
        <v>1309</v>
      </c>
      <c r="CP132" t="s">
        <v>1309</v>
      </c>
      <c r="CQ132" t="s">
        <v>1309</v>
      </c>
      <c r="CR132" t="s">
        <v>1309</v>
      </c>
      <c r="CS132" t="s">
        <v>1309</v>
      </c>
      <c r="CT132" t="s">
        <v>1309</v>
      </c>
      <c r="CU132" t="s">
        <v>1309</v>
      </c>
      <c r="CV132" t="s">
        <v>1309</v>
      </c>
      <c r="CX132" t="s">
        <v>1414</v>
      </c>
      <c r="CY132" t="s">
        <v>1309</v>
      </c>
      <c r="CZ132" t="s">
        <v>1309</v>
      </c>
      <c r="DA132" t="s">
        <v>1309</v>
      </c>
      <c r="DB132" t="s">
        <v>1309</v>
      </c>
      <c r="DC132" t="s">
        <v>1309</v>
      </c>
      <c r="DD132" t="s">
        <v>1309</v>
      </c>
      <c r="DE132" t="s">
        <v>1309</v>
      </c>
      <c r="DF132" t="s">
        <v>1309</v>
      </c>
      <c r="DG132" t="s">
        <v>1309</v>
      </c>
      <c r="DH132" t="s">
        <v>1309</v>
      </c>
      <c r="DI132" t="s">
        <v>1309</v>
      </c>
      <c r="DJ132" t="s">
        <v>1310</v>
      </c>
      <c r="DK132" t="s">
        <v>1309</v>
      </c>
      <c r="DM132" t="s">
        <v>4434</v>
      </c>
      <c r="DO132" t="s">
        <v>1357</v>
      </c>
      <c r="DP132" t="s">
        <v>1309</v>
      </c>
      <c r="DQ132" t="s">
        <v>1309</v>
      </c>
      <c r="DR132" t="s">
        <v>1309</v>
      </c>
      <c r="DS132" t="s">
        <v>1309</v>
      </c>
      <c r="DT132" t="s">
        <v>1310</v>
      </c>
      <c r="DU132" t="s">
        <v>1309</v>
      </c>
      <c r="DV132" t="s">
        <v>1309</v>
      </c>
      <c r="DX132" t="s">
        <v>1358</v>
      </c>
      <c r="DZ132">
        <v>2500</v>
      </c>
      <c r="EB132">
        <v>450</v>
      </c>
      <c r="EC132" t="s">
        <v>1358</v>
      </c>
      <c r="ED132">
        <v>3200</v>
      </c>
      <c r="EF132">
        <v>600</v>
      </c>
      <c r="EG132" t="s">
        <v>1703</v>
      </c>
      <c r="EH132" t="s">
        <v>1310</v>
      </c>
      <c r="EI132" t="s">
        <v>1309</v>
      </c>
      <c r="EJ132" t="s">
        <v>1309</v>
      </c>
      <c r="EK132" t="s">
        <v>1309</v>
      </c>
      <c r="EL132" t="s">
        <v>1309</v>
      </c>
      <c r="EM132" t="s">
        <v>1309</v>
      </c>
      <c r="EN132" t="s">
        <v>1309</v>
      </c>
      <c r="EO132" t="s">
        <v>1309</v>
      </c>
      <c r="EQ132" t="s">
        <v>1414</v>
      </c>
      <c r="ER132" t="s">
        <v>1307</v>
      </c>
      <c r="ES132" t="s">
        <v>1307</v>
      </c>
      <c r="FN132" t="s">
        <v>1307</v>
      </c>
      <c r="GC132" t="s">
        <v>1324</v>
      </c>
      <c r="GD132" t="s">
        <v>1324</v>
      </c>
      <c r="GN132" t="s">
        <v>1364</v>
      </c>
      <c r="HB132" t="s">
        <v>1307</v>
      </c>
      <c r="HR132" t="s">
        <v>1414</v>
      </c>
      <c r="HS132" t="s">
        <v>1309</v>
      </c>
      <c r="HT132" t="s">
        <v>1309</v>
      </c>
      <c r="HU132" t="s">
        <v>1309</v>
      </c>
      <c r="HV132" t="s">
        <v>1309</v>
      </c>
      <c r="HW132" t="s">
        <v>1309</v>
      </c>
      <c r="HX132" t="s">
        <v>1309</v>
      </c>
      <c r="HY132" t="s">
        <v>1310</v>
      </c>
      <c r="HZ132" t="s">
        <v>1309</v>
      </c>
      <c r="IB132" s="92" t="s">
        <v>1333</v>
      </c>
      <c r="IC132" s="92" t="s">
        <v>1334</v>
      </c>
      <c r="ID132" s="92">
        <v>27</v>
      </c>
      <c r="IE132" s="92" t="s">
        <v>1307</v>
      </c>
      <c r="IF132" s="92" t="s">
        <v>4398</v>
      </c>
      <c r="IG132" s="92" t="s">
        <v>1336</v>
      </c>
      <c r="IH132" s="92" t="s">
        <v>1296</v>
      </c>
      <c r="II132" s="92" t="s">
        <v>71</v>
      </c>
      <c r="IJ132" s="92" t="s">
        <v>5549</v>
      </c>
      <c r="IK132" s="92" t="s">
        <v>1398</v>
      </c>
      <c r="IL132" s="92" t="s">
        <v>4845</v>
      </c>
      <c r="IM132" s="92" t="s">
        <v>1338</v>
      </c>
      <c r="IN132" s="92" t="s">
        <v>109</v>
      </c>
      <c r="IO132" s="92" t="s">
        <v>4847</v>
      </c>
      <c r="IP132" s="92" t="s">
        <v>1452</v>
      </c>
      <c r="IQ132" s="92">
        <v>2950</v>
      </c>
      <c r="IR132" s="92" t="s">
        <v>4438</v>
      </c>
      <c r="IS132" s="92" t="s">
        <v>192</v>
      </c>
      <c r="IT132" s="92" t="s">
        <v>109</v>
      </c>
      <c r="IU132" s="92" t="s">
        <v>192</v>
      </c>
      <c r="IV132" s="92" t="s">
        <v>109</v>
      </c>
      <c r="IW132" s="92" t="s">
        <v>1425</v>
      </c>
      <c r="IX132" s="92">
        <v>3800</v>
      </c>
      <c r="IY132" s="92" t="s">
        <v>4438</v>
      </c>
      <c r="IZ132" s="92" t="s">
        <v>1341</v>
      </c>
      <c r="JA132" s="92" t="s">
        <v>1375</v>
      </c>
      <c r="JB132" s="92" t="s">
        <v>192</v>
      </c>
      <c r="JC132" s="92" t="s">
        <v>5795</v>
      </c>
      <c r="JD132" s="92" t="s">
        <v>109</v>
      </c>
      <c r="JE132" s="92" t="s">
        <v>109</v>
      </c>
      <c r="JF132" s="92" t="s">
        <v>4438</v>
      </c>
      <c r="JG132" s="92" t="s">
        <v>4438</v>
      </c>
      <c r="JH132" s="92" t="s">
        <v>109</v>
      </c>
      <c r="JI132" s="92" t="s">
        <v>109</v>
      </c>
    </row>
    <row r="133" spans="1:269" x14ac:dyDescent="0.25">
      <c r="A133" t="s">
        <v>3294</v>
      </c>
      <c r="B133" t="s">
        <v>3295</v>
      </c>
      <c r="C133" t="s">
        <v>1305</v>
      </c>
      <c r="D133" t="s">
        <v>1306</v>
      </c>
      <c r="F133" t="s">
        <v>1307</v>
      </c>
      <c r="G133" t="s">
        <v>1319</v>
      </c>
      <c r="H133">
        <v>4</v>
      </c>
      <c r="I133" t="s">
        <v>1307</v>
      </c>
      <c r="J133" t="s">
        <v>1406</v>
      </c>
      <c r="K133" t="s">
        <v>1309</v>
      </c>
      <c r="L133" t="s">
        <v>1310</v>
      </c>
      <c r="M133" t="s">
        <v>1309</v>
      </c>
      <c r="N133" t="s">
        <v>1309</v>
      </c>
      <c r="O133" t="s">
        <v>1309</v>
      </c>
      <c r="P133" t="s">
        <v>1309</v>
      </c>
      <c r="Q133" t="s">
        <v>1309</v>
      </c>
      <c r="R133" t="s">
        <v>1309</v>
      </c>
      <c r="S133">
        <v>2</v>
      </c>
      <c r="U133" t="s">
        <v>1312</v>
      </c>
      <c r="V133" t="s">
        <v>1312</v>
      </c>
      <c r="W133" t="s">
        <v>1312</v>
      </c>
      <c r="X133" t="s">
        <v>1312</v>
      </c>
      <c r="Y133" t="s">
        <v>1312</v>
      </c>
      <c r="Z133" t="s">
        <v>1312</v>
      </c>
      <c r="AC133">
        <v>2</v>
      </c>
      <c r="AF133" t="s">
        <v>1313</v>
      </c>
      <c r="AH133" t="s">
        <v>1319</v>
      </c>
      <c r="AI133" t="s">
        <v>4879</v>
      </c>
      <c r="AK133" t="s">
        <v>1307</v>
      </c>
      <c r="CG133" t="s">
        <v>3084</v>
      </c>
      <c r="CH133" t="s">
        <v>1310</v>
      </c>
      <c r="CI133" t="s">
        <v>1309</v>
      </c>
      <c r="CJ133" t="s">
        <v>1309</v>
      </c>
      <c r="CK133" t="s">
        <v>1309</v>
      </c>
      <c r="CL133" t="s">
        <v>1309</v>
      </c>
      <c r="CM133" t="s">
        <v>1309</v>
      </c>
      <c r="CN133" t="s">
        <v>1309</v>
      </c>
      <c r="CO133" t="s">
        <v>1309</v>
      </c>
      <c r="CP133" t="s">
        <v>1309</v>
      </c>
      <c r="CQ133" t="s">
        <v>1309</v>
      </c>
      <c r="CR133" t="s">
        <v>1309</v>
      </c>
      <c r="CS133" t="s">
        <v>1309</v>
      </c>
      <c r="CT133" t="s">
        <v>1309</v>
      </c>
      <c r="CU133" t="s">
        <v>1309</v>
      </c>
      <c r="CV133" t="s">
        <v>1309</v>
      </c>
      <c r="CX133" t="s">
        <v>1414</v>
      </c>
      <c r="CY133" t="s">
        <v>1309</v>
      </c>
      <c r="CZ133" t="s">
        <v>1309</v>
      </c>
      <c r="DA133" t="s">
        <v>1309</v>
      </c>
      <c r="DB133" t="s">
        <v>1309</v>
      </c>
      <c r="DC133" t="s">
        <v>1309</v>
      </c>
      <c r="DD133" t="s">
        <v>1309</v>
      </c>
      <c r="DE133" t="s">
        <v>1309</v>
      </c>
      <c r="DF133" t="s">
        <v>1309</v>
      </c>
      <c r="DG133" t="s">
        <v>1309</v>
      </c>
      <c r="DH133" t="s">
        <v>1309</v>
      </c>
      <c r="DI133" t="s">
        <v>1309</v>
      </c>
      <c r="DJ133" t="s">
        <v>1310</v>
      </c>
      <c r="DK133" t="s">
        <v>1309</v>
      </c>
      <c r="DM133" t="s">
        <v>4434</v>
      </c>
      <c r="DO133" t="s">
        <v>1357</v>
      </c>
      <c r="DP133" t="s">
        <v>1309</v>
      </c>
      <c r="DQ133" t="s">
        <v>1309</v>
      </c>
      <c r="DR133" t="s">
        <v>1309</v>
      </c>
      <c r="DS133" t="s">
        <v>1309</v>
      </c>
      <c r="DT133" t="s">
        <v>1310</v>
      </c>
      <c r="DU133" t="s">
        <v>1309</v>
      </c>
      <c r="DV133" t="s">
        <v>1309</v>
      </c>
      <c r="DX133" t="s">
        <v>1358</v>
      </c>
      <c r="DZ133">
        <v>3000</v>
      </c>
      <c r="EB133">
        <v>2000</v>
      </c>
      <c r="EC133" t="s">
        <v>1358</v>
      </c>
      <c r="ED133">
        <v>3500</v>
      </c>
      <c r="EF133">
        <v>2500</v>
      </c>
      <c r="EG133" t="s">
        <v>1703</v>
      </c>
      <c r="EH133" t="s">
        <v>1310</v>
      </c>
      <c r="EI133" t="s">
        <v>1309</v>
      </c>
      <c r="EJ133" t="s">
        <v>1309</v>
      </c>
      <c r="EK133" t="s">
        <v>1309</v>
      </c>
      <c r="EL133" t="s">
        <v>1309</v>
      </c>
      <c r="EM133" t="s">
        <v>1309</v>
      </c>
      <c r="EN133" t="s">
        <v>1309</v>
      </c>
      <c r="EO133" t="s">
        <v>1309</v>
      </c>
      <c r="EQ133" t="s">
        <v>1319</v>
      </c>
      <c r="ER133" t="s">
        <v>1307</v>
      </c>
      <c r="ES133" t="s">
        <v>1307</v>
      </c>
      <c r="FN133" t="s">
        <v>1307</v>
      </c>
      <c r="GC133" t="s">
        <v>1411</v>
      </c>
      <c r="GD133" t="s">
        <v>1411</v>
      </c>
      <c r="GN133" t="s">
        <v>1364</v>
      </c>
      <c r="HB133" t="s">
        <v>1307</v>
      </c>
      <c r="HR133" t="s">
        <v>1414</v>
      </c>
      <c r="HS133" t="s">
        <v>1309</v>
      </c>
      <c r="HT133" t="s">
        <v>1309</v>
      </c>
      <c r="HU133" t="s">
        <v>1309</v>
      </c>
      <c r="HV133" t="s">
        <v>1309</v>
      </c>
      <c r="HW133" t="s">
        <v>1309</v>
      </c>
      <c r="HX133" t="s">
        <v>1309</v>
      </c>
      <c r="HY133" t="s">
        <v>1310</v>
      </c>
      <c r="HZ133" t="s">
        <v>1309</v>
      </c>
      <c r="IB133" s="92" t="s">
        <v>1333</v>
      </c>
      <c r="IC133" s="92" t="s">
        <v>1334</v>
      </c>
      <c r="ID133" s="92">
        <v>39</v>
      </c>
      <c r="IE133" s="92" t="s">
        <v>1307</v>
      </c>
      <c r="IF133" s="92" t="s">
        <v>4396</v>
      </c>
      <c r="IG133" s="92" t="s">
        <v>1336</v>
      </c>
      <c r="IH133" s="92" t="s">
        <v>1296</v>
      </c>
      <c r="II133" s="92" t="s">
        <v>71</v>
      </c>
      <c r="IJ133" s="92" t="s">
        <v>5549</v>
      </c>
      <c r="IK133" s="92" t="s">
        <v>1337</v>
      </c>
      <c r="IL133" s="92" t="s">
        <v>4845</v>
      </c>
      <c r="IM133" s="92" t="s">
        <v>1415</v>
      </c>
      <c r="IN133" s="92" t="s">
        <v>109</v>
      </c>
      <c r="IO133" s="92" t="s">
        <v>4847</v>
      </c>
      <c r="IP133" s="92" t="s">
        <v>1340</v>
      </c>
      <c r="IQ133" s="92">
        <v>5000</v>
      </c>
      <c r="IR133" s="92" t="s">
        <v>1340</v>
      </c>
      <c r="IS133" s="92" t="s">
        <v>192</v>
      </c>
      <c r="IT133" s="92" t="s">
        <v>109</v>
      </c>
      <c r="IU133" s="92" t="s">
        <v>192</v>
      </c>
      <c r="IV133" s="92" t="s">
        <v>109</v>
      </c>
      <c r="IW133" s="92" t="s">
        <v>1341</v>
      </c>
      <c r="IX133" s="92">
        <v>6000</v>
      </c>
      <c r="IY133" s="92" t="s">
        <v>1340</v>
      </c>
      <c r="IZ133" s="92" t="s">
        <v>1341</v>
      </c>
      <c r="JA133" s="92" t="s">
        <v>1375</v>
      </c>
      <c r="JB133" s="92" t="s">
        <v>192</v>
      </c>
      <c r="JC133" s="92" t="s">
        <v>5795</v>
      </c>
      <c r="JD133" s="92" t="s">
        <v>109</v>
      </c>
      <c r="JE133" s="92" t="s">
        <v>109</v>
      </c>
      <c r="JF133" s="92" t="s">
        <v>1340</v>
      </c>
      <c r="JG133" s="92" t="s">
        <v>1340</v>
      </c>
      <c r="JH133" s="92"/>
      <c r="JI133" s="92"/>
    </row>
    <row r="134" spans="1:269" x14ac:dyDescent="0.25">
      <c r="A134" t="s">
        <v>3296</v>
      </c>
      <c r="B134" t="s">
        <v>3297</v>
      </c>
      <c r="C134" t="s">
        <v>1305</v>
      </c>
      <c r="D134" t="s">
        <v>1306</v>
      </c>
      <c r="F134" t="s">
        <v>1307</v>
      </c>
      <c r="G134" t="s">
        <v>1319</v>
      </c>
      <c r="H134">
        <v>3</v>
      </c>
      <c r="I134" t="s">
        <v>1307</v>
      </c>
      <c r="J134" t="s">
        <v>1382</v>
      </c>
      <c r="K134" t="s">
        <v>1309</v>
      </c>
      <c r="L134" t="s">
        <v>1310</v>
      </c>
      <c r="M134" t="s">
        <v>1309</v>
      </c>
      <c r="N134" t="s">
        <v>1309</v>
      </c>
      <c r="O134" t="s">
        <v>1309</v>
      </c>
      <c r="P134" t="s">
        <v>1310</v>
      </c>
      <c r="Q134" t="s">
        <v>1309</v>
      </c>
      <c r="R134" t="s">
        <v>1309</v>
      </c>
      <c r="S134">
        <v>2</v>
      </c>
      <c r="U134" t="s">
        <v>1312</v>
      </c>
      <c r="V134" t="s">
        <v>1312</v>
      </c>
      <c r="W134" t="s">
        <v>1312</v>
      </c>
      <c r="X134" t="s">
        <v>1312</v>
      </c>
      <c r="Y134" t="s">
        <v>1312</v>
      </c>
      <c r="Z134" t="s">
        <v>1312</v>
      </c>
      <c r="AC134">
        <v>1</v>
      </c>
      <c r="AD134">
        <v>10000</v>
      </c>
      <c r="AE134">
        <v>8000</v>
      </c>
      <c r="AF134" t="s">
        <v>1313</v>
      </c>
      <c r="AH134" t="s">
        <v>1319</v>
      </c>
      <c r="AI134" t="s">
        <v>4879</v>
      </c>
      <c r="AK134" t="s">
        <v>1307</v>
      </c>
      <c r="CG134" t="s">
        <v>3298</v>
      </c>
      <c r="CH134" t="s">
        <v>1309</v>
      </c>
      <c r="CI134" t="s">
        <v>1309</v>
      </c>
      <c r="CJ134" t="s">
        <v>1309</v>
      </c>
      <c r="CK134" t="s">
        <v>1309</v>
      </c>
      <c r="CL134" t="s">
        <v>1309</v>
      </c>
      <c r="CM134" t="s">
        <v>1309</v>
      </c>
      <c r="CN134" t="s">
        <v>1309</v>
      </c>
      <c r="CO134" t="s">
        <v>1309</v>
      </c>
      <c r="CP134" t="s">
        <v>1309</v>
      </c>
      <c r="CQ134" t="s">
        <v>1310</v>
      </c>
      <c r="CR134" t="s">
        <v>1309</v>
      </c>
      <c r="CS134" t="s">
        <v>1309</v>
      </c>
      <c r="CT134" t="s">
        <v>1309</v>
      </c>
      <c r="CU134" t="s">
        <v>1309</v>
      </c>
      <c r="CV134" t="s">
        <v>1309</v>
      </c>
      <c r="CX134" t="s">
        <v>3299</v>
      </c>
      <c r="CY134" t="s">
        <v>1309</v>
      </c>
      <c r="CZ134" t="s">
        <v>1309</v>
      </c>
      <c r="DA134" t="s">
        <v>1309</v>
      </c>
      <c r="DB134" t="s">
        <v>1310</v>
      </c>
      <c r="DC134" t="s">
        <v>1309</v>
      </c>
      <c r="DD134" t="s">
        <v>1309</v>
      </c>
      <c r="DE134" t="s">
        <v>1309</v>
      </c>
      <c r="DF134" t="s">
        <v>1310</v>
      </c>
      <c r="DG134" t="s">
        <v>1309</v>
      </c>
      <c r="DH134" t="s">
        <v>1309</v>
      </c>
      <c r="DI134" t="s">
        <v>1309</v>
      </c>
      <c r="DJ134" t="s">
        <v>1309</v>
      </c>
      <c r="DK134" t="s">
        <v>1309</v>
      </c>
      <c r="DM134" t="s">
        <v>4435</v>
      </c>
      <c r="DO134" t="s">
        <v>1308</v>
      </c>
      <c r="DP134" t="s">
        <v>1310</v>
      </c>
      <c r="DQ134" t="s">
        <v>1309</v>
      </c>
      <c r="DR134" t="s">
        <v>1309</v>
      </c>
      <c r="DS134" t="s">
        <v>1309</v>
      </c>
      <c r="DT134" t="s">
        <v>1309</v>
      </c>
      <c r="DU134" t="s">
        <v>1309</v>
      </c>
      <c r="DV134" t="s">
        <v>1309</v>
      </c>
      <c r="DX134" t="s">
        <v>1358</v>
      </c>
      <c r="DY134" t="s">
        <v>1307</v>
      </c>
      <c r="EA134">
        <v>1500</v>
      </c>
      <c r="EB134">
        <v>250</v>
      </c>
      <c r="EC134" t="s">
        <v>1358</v>
      </c>
      <c r="EE134">
        <v>1500</v>
      </c>
      <c r="EF134">
        <v>200</v>
      </c>
      <c r="EG134" t="s">
        <v>1703</v>
      </c>
      <c r="EH134" t="s">
        <v>1310</v>
      </c>
      <c r="EI134" t="s">
        <v>1309</v>
      </c>
      <c r="EJ134" t="s">
        <v>1309</v>
      </c>
      <c r="EK134" t="s">
        <v>1309</v>
      </c>
      <c r="EL134" t="s">
        <v>1309</v>
      </c>
      <c r="EM134" t="s">
        <v>1309</v>
      </c>
      <c r="EN134" t="s">
        <v>1309</v>
      </c>
      <c r="EO134" t="s">
        <v>1309</v>
      </c>
      <c r="EQ134" t="s">
        <v>1307</v>
      </c>
      <c r="ER134" t="s">
        <v>1319</v>
      </c>
      <c r="EU134" t="s">
        <v>1792</v>
      </c>
      <c r="EV134" t="s">
        <v>1309</v>
      </c>
      <c r="EW134" t="s">
        <v>1309</v>
      </c>
      <c r="EX134" t="s">
        <v>1309</v>
      </c>
      <c r="EY134" t="s">
        <v>1309</v>
      </c>
      <c r="EZ134" t="s">
        <v>1309</v>
      </c>
      <c r="FA134" t="s">
        <v>1309</v>
      </c>
      <c r="FB134" t="s">
        <v>1309</v>
      </c>
      <c r="FC134" t="s">
        <v>1310</v>
      </c>
      <c r="FD134" t="s">
        <v>1309</v>
      </c>
      <c r="FE134" t="s">
        <v>1309</v>
      </c>
      <c r="FF134" t="s">
        <v>1310</v>
      </c>
      <c r="FG134" t="s">
        <v>1309</v>
      </c>
      <c r="FH134" t="s">
        <v>1309</v>
      </c>
      <c r="FI134" t="s">
        <v>1309</v>
      </c>
      <c r="FJ134" t="s">
        <v>1309</v>
      </c>
      <c r="FK134" t="s">
        <v>1309</v>
      </c>
      <c r="FL134" t="s">
        <v>1309</v>
      </c>
      <c r="FN134" t="s">
        <v>1307</v>
      </c>
      <c r="GC134" t="s">
        <v>1324</v>
      </c>
      <c r="GD134" t="s">
        <v>1324</v>
      </c>
      <c r="GN134" t="s">
        <v>1364</v>
      </c>
      <c r="HB134" t="s">
        <v>1319</v>
      </c>
      <c r="HC134" t="s">
        <v>3300</v>
      </c>
      <c r="HD134" t="s">
        <v>1309</v>
      </c>
      <c r="HE134" t="s">
        <v>1309</v>
      </c>
      <c r="HF134" t="s">
        <v>1309</v>
      </c>
      <c r="HG134" t="s">
        <v>1309</v>
      </c>
      <c r="HH134" t="s">
        <v>1310</v>
      </c>
      <c r="HI134" t="s">
        <v>1309</v>
      </c>
      <c r="HJ134" t="s">
        <v>1309</v>
      </c>
      <c r="HK134" t="s">
        <v>1310</v>
      </c>
      <c r="HL134" t="s">
        <v>1310</v>
      </c>
      <c r="HM134" t="s">
        <v>1309</v>
      </c>
      <c r="HN134" t="s">
        <v>1309</v>
      </c>
      <c r="HO134" t="s">
        <v>1309</v>
      </c>
      <c r="HP134" t="s">
        <v>1309</v>
      </c>
      <c r="HR134" t="s">
        <v>1764</v>
      </c>
      <c r="HS134" t="s">
        <v>1309</v>
      </c>
      <c r="HT134" t="s">
        <v>1310</v>
      </c>
      <c r="HU134" t="s">
        <v>1309</v>
      </c>
      <c r="HV134" t="s">
        <v>1310</v>
      </c>
      <c r="HW134" t="s">
        <v>1309</v>
      </c>
      <c r="HX134" t="s">
        <v>1309</v>
      </c>
      <c r="HY134" t="s">
        <v>1309</v>
      </c>
      <c r="HZ134" t="s">
        <v>1309</v>
      </c>
      <c r="IB134" s="92" t="s">
        <v>1333</v>
      </c>
      <c r="IC134" s="92" t="s">
        <v>1334</v>
      </c>
      <c r="ID134" s="92">
        <v>30</v>
      </c>
      <c r="IE134" s="92" t="s">
        <v>1307</v>
      </c>
      <c r="IF134" s="92" t="s">
        <v>4398</v>
      </c>
      <c r="IG134" s="92" t="s">
        <v>1336</v>
      </c>
      <c r="IH134" s="92" t="s">
        <v>1296</v>
      </c>
      <c r="II134" s="92" t="s">
        <v>71</v>
      </c>
      <c r="IJ134" s="92" t="s">
        <v>5549</v>
      </c>
      <c r="IK134" s="92" t="s">
        <v>1398</v>
      </c>
      <c r="IL134" s="92" t="s">
        <v>4845</v>
      </c>
      <c r="IM134" s="92" t="s">
        <v>1399</v>
      </c>
      <c r="IN134" s="92" t="s">
        <v>109</v>
      </c>
      <c r="IO134" s="92" t="s">
        <v>4844</v>
      </c>
      <c r="IP134" s="92" t="s">
        <v>1424</v>
      </c>
      <c r="IQ134" s="92">
        <v>1750</v>
      </c>
      <c r="IR134" s="92" t="s">
        <v>4438</v>
      </c>
      <c r="IS134" s="92" t="s">
        <v>109</v>
      </c>
      <c r="IT134" s="92" t="s">
        <v>192</v>
      </c>
      <c r="IU134" s="92" t="s">
        <v>109</v>
      </c>
      <c r="IV134" s="92" t="s">
        <v>192</v>
      </c>
      <c r="IW134" s="92" t="s">
        <v>1440</v>
      </c>
      <c r="IX134" s="92">
        <v>1700</v>
      </c>
      <c r="IY134" s="92" t="s">
        <v>4438</v>
      </c>
      <c r="IZ134" s="92" t="s">
        <v>1440</v>
      </c>
      <c r="JA134" s="92" t="s">
        <v>1342</v>
      </c>
      <c r="JB134" s="92" t="s">
        <v>109</v>
      </c>
      <c r="JC134" s="92" t="s">
        <v>5795</v>
      </c>
      <c r="JD134" s="92" t="s">
        <v>109</v>
      </c>
      <c r="JE134" s="92" t="s">
        <v>109</v>
      </c>
      <c r="JF134" s="92" t="s">
        <v>4438</v>
      </c>
      <c r="JG134" s="92" t="s">
        <v>4438</v>
      </c>
      <c r="JH134" s="92" t="s">
        <v>109</v>
      </c>
      <c r="JI134" s="92" t="s">
        <v>109</v>
      </c>
    </row>
    <row r="135" spans="1:269" x14ac:dyDescent="0.25">
      <c r="A135" t="s">
        <v>3301</v>
      </c>
      <c r="B135" t="s">
        <v>3302</v>
      </c>
      <c r="C135" t="s">
        <v>1305</v>
      </c>
      <c r="D135" t="s">
        <v>1306</v>
      </c>
      <c r="F135" t="s">
        <v>1307</v>
      </c>
      <c r="G135" t="s">
        <v>1319</v>
      </c>
      <c r="H135">
        <v>1</v>
      </c>
      <c r="J135" t="s">
        <v>1308</v>
      </c>
      <c r="K135" t="s">
        <v>1309</v>
      </c>
      <c r="L135" t="s">
        <v>1309</v>
      </c>
      <c r="M135" t="s">
        <v>1309</v>
      </c>
      <c r="N135" t="s">
        <v>1309</v>
      </c>
      <c r="O135" t="s">
        <v>1309</v>
      </c>
      <c r="P135" t="s">
        <v>1309</v>
      </c>
      <c r="Q135" t="s">
        <v>1310</v>
      </c>
      <c r="R135" t="s">
        <v>1309</v>
      </c>
      <c r="U135" t="s">
        <v>1311</v>
      </c>
      <c r="V135" t="s">
        <v>1312</v>
      </c>
      <c r="W135" t="s">
        <v>1312</v>
      </c>
      <c r="X135" t="s">
        <v>1312</v>
      </c>
      <c r="Y135" t="s">
        <v>1312</v>
      </c>
      <c r="Z135" t="s">
        <v>1312</v>
      </c>
      <c r="AC135">
        <v>1</v>
      </c>
      <c r="AD135">
        <v>9000</v>
      </c>
      <c r="AE135">
        <v>7000</v>
      </c>
      <c r="AF135" t="s">
        <v>1313</v>
      </c>
      <c r="AH135" t="s">
        <v>1319</v>
      </c>
      <c r="AI135" t="s">
        <v>4879</v>
      </c>
      <c r="AK135" t="s">
        <v>1307</v>
      </c>
      <c r="CG135" t="s">
        <v>3303</v>
      </c>
      <c r="CH135" t="s">
        <v>1309</v>
      </c>
      <c r="CI135" t="s">
        <v>1309</v>
      </c>
      <c r="CJ135" t="s">
        <v>1309</v>
      </c>
      <c r="CK135" t="s">
        <v>1309</v>
      </c>
      <c r="CL135" t="s">
        <v>1309</v>
      </c>
      <c r="CM135" t="s">
        <v>1310</v>
      </c>
      <c r="CN135" t="s">
        <v>1309</v>
      </c>
      <c r="CO135" t="s">
        <v>1309</v>
      </c>
      <c r="CP135" t="s">
        <v>1309</v>
      </c>
      <c r="CQ135" t="s">
        <v>1309</v>
      </c>
      <c r="CR135" t="s">
        <v>1309</v>
      </c>
      <c r="CS135" t="s">
        <v>1309</v>
      </c>
      <c r="CT135" t="s">
        <v>1309</v>
      </c>
      <c r="CU135" t="s">
        <v>1309</v>
      </c>
      <c r="CV135" t="s">
        <v>1309</v>
      </c>
      <c r="CX135" t="s">
        <v>3304</v>
      </c>
      <c r="CY135" t="s">
        <v>1309</v>
      </c>
      <c r="CZ135" t="s">
        <v>1309</v>
      </c>
      <c r="DA135" t="s">
        <v>1310</v>
      </c>
      <c r="DB135" t="s">
        <v>1309</v>
      </c>
      <c r="DC135" t="s">
        <v>1309</v>
      </c>
      <c r="DD135" t="s">
        <v>1309</v>
      </c>
      <c r="DE135" t="s">
        <v>1309</v>
      </c>
      <c r="DF135" t="s">
        <v>1310</v>
      </c>
      <c r="DG135" t="s">
        <v>1309</v>
      </c>
      <c r="DH135" t="s">
        <v>1309</v>
      </c>
      <c r="DI135" t="s">
        <v>1309</v>
      </c>
      <c r="DJ135" t="s">
        <v>1309</v>
      </c>
      <c r="DK135" t="s">
        <v>1309</v>
      </c>
      <c r="DM135" t="s">
        <v>4435</v>
      </c>
      <c r="DO135" t="s">
        <v>1308</v>
      </c>
      <c r="DP135" t="s">
        <v>1310</v>
      </c>
      <c r="DQ135" t="s">
        <v>1309</v>
      </c>
      <c r="DR135" t="s">
        <v>1309</v>
      </c>
      <c r="DS135" t="s">
        <v>1309</v>
      </c>
      <c r="DT135" t="s">
        <v>1309</v>
      </c>
      <c r="DU135" t="s">
        <v>1309</v>
      </c>
      <c r="DV135" t="s">
        <v>1309</v>
      </c>
      <c r="DX135" t="s">
        <v>1358</v>
      </c>
      <c r="DY135" t="s">
        <v>1319</v>
      </c>
      <c r="DZ135">
        <v>100</v>
      </c>
      <c r="EA135">
        <v>1000</v>
      </c>
      <c r="EB135">
        <v>200</v>
      </c>
      <c r="EC135" t="s">
        <v>1358</v>
      </c>
      <c r="ED135">
        <v>100</v>
      </c>
      <c r="EE135">
        <v>1400</v>
      </c>
      <c r="EF135">
        <v>200</v>
      </c>
      <c r="EG135" t="s">
        <v>1703</v>
      </c>
      <c r="EH135" t="s">
        <v>1310</v>
      </c>
      <c r="EI135" t="s">
        <v>1309</v>
      </c>
      <c r="EJ135" t="s">
        <v>1309</v>
      </c>
      <c r="EK135" t="s">
        <v>1309</v>
      </c>
      <c r="EL135" t="s">
        <v>1309</v>
      </c>
      <c r="EM135" t="s">
        <v>1309</v>
      </c>
      <c r="EN135" t="s">
        <v>1309</v>
      </c>
      <c r="EO135" t="s">
        <v>1309</v>
      </c>
      <c r="EQ135" t="s">
        <v>1307</v>
      </c>
      <c r="ER135" t="s">
        <v>1307</v>
      </c>
      <c r="ES135" t="s">
        <v>1307</v>
      </c>
      <c r="FN135" t="s">
        <v>1307</v>
      </c>
      <c r="GC135" t="s">
        <v>1324</v>
      </c>
      <c r="GD135" t="s">
        <v>1324</v>
      </c>
      <c r="GN135" t="s">
        <v>1364</v>
      </c>
      <c r="HB135" t="s">
        <v>1319</v>
      </c>
      <c r="HC135" t="s">
        <v>3305</v>
      </c>
      <c r="HD135" t="s">
        <v>1309</v>
      </c>
      <c r="HE135" t="s">
        <v>1309</v>
      </c>
      <c r="HF135" t="s">
        <v>1309</v>
      </c>
      <c r="HG135" t="s">
        <v>1309</v>
      </c>
      <c r="HH135" t="s">
        <v>1309</v>
      </c>
      <c r="HI135" t="s">
        <v>1309</v>
      </c>
      <c r="HJ135" t="s">
        <v>1309</v>
      </c>
      <c r="HK135" t="s">
        <v>1310</v>
      </c>
      <c r="HL135" t="s">
        <v>1310</v>
      </c>
      <c r="HM135" t="s">
        <v>1309</v>
      </c>
      <c r="HN135" t="s">
        <v>1309</v>
      </c>
      <c r="HO135" t="s">
        <v>1309</v>
      </c>
      <c r="HP135" t="s">
        <v>1309</v>
      </c>
      <c r="HR135" t="s">
        <v>3269</v>
      </c>
      <c r="HS135" t="s">
        <v>1310</v>
      </c>
      <c r="HT135" t="s">
        <v>1310</v>
      </c>
      <c r="HU135" t="s">
        <v>1310</v>
      </c>
      <c r="HV135" t="s">
        <v>1310</v>
      </c>
      <c r="HW135" t="s">
        <v>1310</v>
      </c>
      <c r="HX135" t="s">
        <v>1309</v>
      </c>
      <c r="HY135" t="s">
        <v>1309</v>
      </c>
      <c r="HZ135" t="s">
        <v>1309</v>
      </c>
      <c r="IB135" s="92" t="s">
        <v>1333</v>
      </c>
      <c r="IC135" s="92" t="s">
        <v>1334</v>
      </c>
      <c r="ID135" s="92">
        <v>26</v>
      </c>
      <c r="IE135" s="92" t="s">
        <v>1307</v>
      </c>
      <c r="IF135" s="92" t="s">
        <v>4399</v>
      </c>
      <c r="IG135" s="92" t="s">
        <v>1336</v>
      </c>
      <c r="IH135" s="92" t="s">
        <v>1296</v>
      </c>
      <c r="II135" s="92" t="s">
        <v>71</v>
      </c>
      <c r="IJ135" s="92" t="s">
        <v>5549</v>
      </c>
      <c r="IK135" s="92" t="s">
        <v>1398</v>
      </c>
      <c r="IL135" s="92" t="s">
        <v>4844</v>
      </c>
      <c r="IM135" s="92" t="s">
        <v>1338</v>
      </c>
      <c r="IN135" s="92" t="s">
        <v>109</v>
      </c>
      <c r="IO135" s="92" t="s">
        <v>4844</v>
      </c>
      <c r="IP135" s="92" t="s">
        <v>1424</v>
      </c>
      <c r="IQ135" s="92">
        <v>1300</v>
      </c>
      <c r="IR135" s="92" t="s">
        <v>4438</v>
      </c>
      <c r="IS135" s="92" t="s">
        <v>192</v>
      </c>
      <c r="IT135" s="92" t="s">
        <v>192</v>
      </c>
      <c r="IU135" s="92" t="s">
        <v>192</v>
      </c>
      <c r="IV135" s="92" t="s">
        <v>192</v>
      </c>
      <c r="IW135" s="92" t="s">
        <v>1440</v>
      </c>
      <c r="IX135" s="92">
        <v>1700</v>
      </c>
      <c r="IY135" s="92" t="s">
        <v>4438</v>
      </c>
      <c r="IZ135" s="92" t="s">
        <v>1440</v>
      </c>
      <c r="JA135" s="92" t="s">
        <v>1342</v>
      </c>
      <c r="JB135" s="92" t="s">
        <v>192</v>
      </c>
      <c r="JC135" s="92" t="s">
        <v>5795</v>
      </c>
      <c r="JD135" s="92" t="s">
        <v>109</v>
      </c>
      <c r="JE135" s="92" t="s">
        <v>109</v>
      </c>
      <c r="JF135" s="92" t="s">
        <v>4438</v>
      </c>
      <c r="JG135" s="92" t="s">
        <v>4438</v>
      </c>
      <c r="JH135" s="92" t="s">
        <v>109</v>
      </c>
      <c r="JI135" s="92" t="s">
        <v>109</v>
      </c>
    </row>
    <row r="136" spans="1:269" x14ac:dyDescent="0.25">
      <c r="A136" t="s">
        <v>3306</v>
      </c>
      <c r="B136" t="s">
        <v>3307</v>
      </c>
      <c r="C136" t="s">
        <v>1305</v>
      </c>
      <c r="D136" t="s">
        <v>1306</v>
      </c>
      <c r="F136" t="s">
        <v>1307</v>
      </c>
      <c r="G136" t="s">
        <v>1319</v>
      </c>
      <c r="H136">
        <v>1</v>
      </c>
      <c r="J136" t="s">
        <v>1308</v>
      </c>
      <c r="K136" t="s">
        <v>1309</v>
      </c>
      <c r="L136" t="s">
        <v>1309</v>
      </c>
      <c r="M136" t="s">
        <v>1309</v>
      </c>
      <c r="N136" t="s">
        <v>1309</v>
      </c>
      <c r="O136" t="s">
        <v>1309</v>
      </c>
      <c r="P136" t="s">
        <v>1309</v>
      </c>
      <c r="Q136" t="s">
        <v>1310</v>
      </c>
      <c r="R136" t="s">
        <v>1309</v>
      </c>
      <c r="U136" t="s">
        <v>1312</v>
      </c>
      <c r="V136" t="s">
        <v>1312</v>
      </c>
      <c r="W136" t="s">
        <v>1312</v>
      </c>
      <c r="X136" t="s">
        <v>1312</v>
      </c>
      <c r="Y136" t="s">
        <v>1312</v>
      </c>
      <c r="Z136" t="s">
        <v>1312</v>
      </c>
      <c r="AC136">
        <v>1</v>
      </c>
      <c r="AD136">
        <v>12000</v>
      </c>
      <c r="AE136">
        <v>10000</v>
      </c>
      <c r="AF136" t="s">
        <v>1313</v>
      </c>
      <c r="AH136" t="s">
        <v>1319</v>
      </c>
      <c r="AI136" t="s">
        <v>4879</v>
      </c>
      <c r="AK136" t="s">
        <v>1307</v>
      </c>
      <c r="CG136" t="s">
        <v>2849</v>
      </c>
      <c r="CH136" t="s">
        <v>1309</v>
      </c>
      <c r="CI136" t="s">
        <v>1309</v>
      </c>
      <c r="CJ136" t="s">
        <v>1309</v>
      </c>
      <c r="CK136" t="s">
        <v>1310</v>
      </c>
      <c r="CL136" t="s">
        <v>1309</v>
      </c>
      <c r="CM136" t="s">
        <v>1309</v>
      </c>
      <c r="CN136" t="s">
        <v>1309</v>
      </c>
      <c r="CO136" t="s">
        <v>1309</v>
      </c>
      <c r="CP136" t="s">
        <v>1310</v>
      </c>
      <c r="CQ136" t="s">
        <v>1309</v>
      </c>
      <c r="CR136" t="s">
        <v>1309</v>
      </c>
      <c r="CS136" t="s">
        <v>1309</v>
      </c>
      <c r="CT136" t="s">
        <v>1309</v>
      </c>
      <c r="CU136" t="s">
        <v>1309</v>
      </c>
      <c r="CV136" t="s">
        <v>1309</v>
      </c>
      <c r="CX136" t="s">
        <v>2508</v>
      </c>
      <c r="CY136" t="s">
        <v>1309</v>
      </c>
      <c r="CZ136" t="s">
        <v>1309</v>
      </c>
      <c r="DA136" t="s">
        <v>1309</v>
      </c>
      <c r="DB136" t="s">
        <v>1309</v>
      </c>
      <c r="DC136" t="s">
        <v>1309</v>
      </c>
      <c r="DD136" t="s">
        <v>1309</v>
      </c>
      <c r="DE136" t="s">
        <v>1309</v>
      </c>
      <c r="DF136" t="s">
        <v>1310</v>
      </c>
      <c r="DG136" t="s">
        <v>1309</v>
      </c>
      <c r="DH136" t="s">
        <v>1309</v>
      </c>
      <c r="DI136" t="s">
        <v>1309</v>
      </c>
      <c r="DJ136" t="s">
        <v>1309</v>
      </c>
      <c r="DK136" t="s">
        <v>1309</v>
      </c>
      <c r="DM136" t="s">
        <v>4433</v>
      </c>
      <c r="DO136" t="s">
        <v>1308</v>
      </c>
      <c r="DP136" t="s">
        <v>1310</v>
      </c>
      <c r="DQ136" t="s">
        <v>1309</v>
      </c>
      <c r="DR136" t="s">
        <v>1309</v>
      </c>
      <c r="DS136" t="s">
        <v>1309</v>
      </c>
      <c r="DT136" t="s">
        <v>1309</v>
      </c>
      <c r="DU136" t="s">
        <v>1309</v>
      </c>
      <c r="DV136" t="s">
        <v>1309</v>
      </c>
      <c r="DX136" t="s">
        <v>1358</v>
      </c>
      <c r="DY136" t="s">
        <v>1319</v>
      </c>
      <c r="DZ136">
        <v>200</v>
      </c>
      <c r="EB136">
        <v>1700</v>
      </c>
      <c r="EC136" t="s">
        <v>1358</v>
      </c>
      <c r="ED136">
        <v>150</v>
      </c>
      <c r="EF136">
        <v>2000</v>
      </c>
      <c r="EG136" t="s">
        <v>1703</v>
      </c>
      <c r="EH136" t="s">
        <v>1310</v>
      </c>
      <c r="EI136" t="s">
        <v>1309</v>
      </c>
      <c r="EJ136" t="s">
        <v>1309</v>
      </c>
      <c r="EK136" t="s">
        <v>1309</v>
      </c>
      <c r="EL136" t="s">
        <v>1309</v>
      </c>
      <c r="EM136" t="s">
        <v>1309</v>
      </c>
      <c r="EN136" t="s">
        <v>1309</v>
      </c>
      <c r="EO136" t="s">
        <v>1309</v>
      </c>
      <c r="EQ136" t="s">
        <v>1307</v>
      </c>
      <c r="ER136" t="s">
        <v>1319</v>
      </c>
      <c r="ES136" t="s">
        <v>1307</v>
      </c>
      <c r="EU136" t="s">
        <v>2414</v>
      </c>
      <c r="EV136" t="s">
        <v>1310</v>
      </c>
      <c r="EW136" t="s">
        <v>1309</v>
      </c>
      <c r="EX136" t="s">
        <v>1310</v>
      </c>
      <c r="EY136" t="s">
        <v>1309</v>
      </c>
      <c r="EZ136" t="s">
        <v>1309</v>
      </c>
      <c r="FA136" t="s">
        <v>1309</v>
      </c>
      <c r="FB136" t="s">
        <v>1309</v>
      </c>
      <c r="FC136" t="s">
        <v>1310</v>
      </c>
      <c r="FD136" t="s">
        <v>1309</v>
      </c>
      <c r="FE136" t="s">
        <v>1309</v>
      </c>
      <c r="FF136" t="s">
        <v>1309</v>
      </c>
      <c r="FG136" t="s">
        <v>1309</v>
      </c>
      <c r="FH136" t="s">
        <v>1309</v>
      </c>
      <c r="FI136" t="s">
        <v>1309</v>
      </c>
      <c r="FJ136" t="s">
        <v>1309</v>
      </c>
      <c r="FK136" t="s">
        <v>1309</v>
      </c>
      <c r="FL136" t="s">
        <v>1309</v>
      </c>
      <c r="FN136" t="s">
        <v>1307</v>
      </c>
      <c r="GC136" t="s">
        <v>1324</v>
      </c>
      <c r="GD136" t="s">
        <v>1324</v>
      </c>
      <c r="GN136" t="s">
        <v>1364</v>
      </c>
      <c r="HB136" t="s">
        <v>1319</v>
      </c>
      <c r="HC136" t="s">
        <v>2453</v>
      </c>
      <c r="HD136" t="s">
        <v>1309</v>
      </c>
      <c r="HE136" t="s">
        <v>1309</v>
      </c>
      <c r="HF136" t="s">
        <v>1310</v>
      </c>
      <c r="HG136" t="s">
        <v>1309</v>
      </c>
      <c r="HH136" t="s">
        <v>1310</v>
      </c>
      <c r="HI136" t="s">
        <v>1309</v>
      </c>
      <c r="HJ136" t="s">
        <v>1309</v>
      </c>
      <c r="HK136" t="s">
        <v>1309</v>
      </c>
      <c r="HL136" t="s">
        <v>1309</v>
      </c>
      <c r="HM136" t="s">
        <v>1309</v>
      </c>
      <c r="HN136" t="s">
        <v>1309</v>
      </c>
      <c r="HO136" t="s">
        <v>1309</v>
      </c>
      <c r="HP136" t="s">
        <v>1309</v>
      </c>
      <c r="HR136" t="s">
        <v>1764</v>
      </c>
      <c r="HS136" t="s">
        <v>1309</v>
      </c>
      <c r="HT136" t="s">
        <v>1310</v>
      </c>
      <c r="HU136" t="s">
        <v>1309</v>
      </c>
      <c r="HV136" t="s">
        <v>1310</v>
      </c>
      <c r="HW136" t="s">
        <v>1309</v>
      </c>
      <c r="HX136" t="s">
        <v>1309</v>
      </c>
      <c r="HY136" t="s">
        <v>1309</v>
      </c>
      <c r="HZ136" t="s">
        <v>1309</v>
      </c>
      <c r="IB136" s="92" t="s">
        <v>1333</v>
      </c>
      <c r="IC136" s="92" t="s">
        <v>1334</v>
      </c>
      <c r="ID136" s="92">
        <v>37</v>
      </c>
      <c r="IE136" s="92" t="s">
        <v>1307</v>
      </c>
      <c r="IF136" s="92" t="s">
        <v>4398</v>
      </c>
      <c r="IG136" s="92" t="s">
        <v>1336</v>
      </c>
      <c r="IH136" s="92" t="s">
        <v>1296</v>
      </c>
      <c r="II136" s="92" t="s">
        <v>71</v>
      </c>
      <c r="IJ136" s="92" t="s">
        <v>5549</v>
      </c>
      <c r="IK136" s="92" t="s">
        <v>1337</v>
      </c>
      <c r="IL136" s="92" t="s">
        <v>4844</v>
      </c>
      <c r="IM136" s="92" t="s">
        <v>1338</v>
      </c>
      <c r="IN136" s="92" t="s">
        <v>109</v>
      </c>
      <c r="IO136" s="92" t="s">
        <v>4844</v>
      </c>
      <c r="IP136" s="92" t="s">
        <v>1371</v>
      </c>
      <c r="IQ136" s="92">
        <v>1900</v>
      </c>
      <c r="IR136" s="92" t="s">
        <v>4438</v>
      </c>
      <c r="IS136" s="92" t="s">
        <v>192</v>
      </c>
      <c r="IT136" s="92" t="s">
        <v>109</v>
      </c>
      <c r="IU136" s="92" t="s">
        <v>192</v>
      </c>
      <c r="IV136" s="92" t="s">
        <v>109</v>
      </c>
      <c r="IW136" s="92" t="s">
        <v>1440</v>
      </c>
      <c r="IX136" s="92">
        <v>2150</v>
      </c>
      <c r="IY136" s="92" t="s">
        <v>4438</v>
      </c>
      <c r="IZ136" s="92" t="s">
        <v>1425</v>
      </c>
      <c r="JA136" s="92" t="s">
        <v>1561</v>
      </c>
      <c r="JB136" s="92" t="s">
        <v>192</v>
      </c>
      <c r="JC136" s="92" t="s">
        <v>5795</v>
      </c>
      <c r="JD136" s="92" t="s">
        <v>109</v>
      </c>
      <c r="JE136" s="92" t="s">
        <v>109</v>
      </c>
      <c r="JF136" s="92" t="s">
        <v>4438</v>
      </c>
      <c r="JG136" s="92" t="s">
        <v>4438</v>
      </c>
      <c r="JH136" s="92" t="s">
        <v>109</v>
      </c>
      <c r="JI136" s="92" t="s">
        <v>192</v>
      </c>
    </row>
    <row r="137" spans="1:269" x14ac:dyDescent="0.25">
      <c r="A137" t="s">
        <v>3308</v>
      </c>
      <c r="B137" t="s">
        <v>3309</v>
      </c>
      <c r="C137" t="s">
        <v>1305</v>
      </c>
      <c r="D137" t="s">
        <v>1306</v>
      </c>
      <c r="F137" t="s">
        <v>1307</v>
      </c>
      <c r="G137" t="s">
        <v>1319</v>
      </c>
      <c r="H137">
        <v>4</v>
      </c>
      <c r="I137" t="s">
        <v>1307</v>
      </c>
      <c r="J137" t="s">
        <v>1406</v>
      </c>
      <c r="K137" t="s">
        <v>1309</v>
      </c>
      <c r="L137" t="s">
        <v>1310</v>
      </c>
      <c r="M137" t="s">
        <v>1309</v>
      </c>
      <c r="N137" t="s">
        <v>1309</v>
      </c>
      <c r="O137" t="s">
        <v>1309</v>
      </c>
      <c r="P137" t="s">
        <v>1309</v>
      </c>
      <c r="Q137" t="s">
        <v>1309</v>
      </c>
      <c r="R137" t="s">
        <v>1309</v>
      </c>
      <c r="S137">
        <v>2</v>
      </c>
      <c r="U137" t="s">
        <v>1312</v>
      </c>
      <c r="V137" t="s">
        <v>1312</v>
      </c>
      <c r="W137" t="s">
        <v>1312</v>
      </c>
      <c r="X137" t="s">
        <v>1312</v>
      </c>
      <c r="Y137" t="s">
        <v>1312</v>
      </c>
      <c r="Z137" t="s">
        <v>1312</v>
      </c>
      <c r="AC137">
        <v>2</v>
      </c>
      <c r="AE137">
        <v>15000</v>
      </c>
      <c r="AF137" t="s">
        <v>1313</v>
      </c>
      <c r="AH137" t="s">
        <v>1319</v>
      </c>
      <c r="AI137" t="s">
        <v>4879</v>
      </c>
      <c r="AK137" t="s">
        <v>1319</v>
      </c>
      <c r="AL137" t="s">
        <v>1315</v>
      </c>
      <c r="AN137" t="s">
        <v>1331</v>
      </c>
      <c r="BU137" t="s">
        <v>3310</v>
      </c>
      <c r="BV137" t="s">
        <v>1310</v>
      </c>
      <c r="BW137" t="s">
        <v>1310</v>
      </c>
      <c r="BX137" t="s">
        <v>1309</v>
      </c>
      <c r="BY137" t="s">
        <v>1309</v>
      </c>
      <c r="BZ137" t="s">
        <v>1309</v>
      </c>
      <c r="CA137" t="s">
        <v>1309</v>
      </c>
      <c r="CB137" t="s">
        <v>1309</v>
      </c>
      <c r="CC137" t="s">
        <v>1309</v>
      </c>
      <c r="CD137" t="s">
        <v>1309</v>
      </c>
      <c r="CE137" t="s">
        <v>1309</v>
      </c>
      <c r="CX137" t="s">
        <v>2948</v>
      </c>
      <c r="CY137" t="s">
        <v>1310</v>
      </c>
      <c r="CZ137" t="s">
        <v>1309</v>
      </c>
      <c r="DA137" t="s">
        <v>1309</v>
      </c>
      <c r="DB137" t="s">
        <v>1309</v>
      </c>
      <c r="DC137" t="s">
        <v>1309</v>
      </c>
      <c r="DD137" t="s">
        <v>1310</v>
      </c>
      <c r="DE137" t="s">
        <v>1309</v>
      </c>
      <c r="DF137" t="s">
        <v>1309</v>
      </c>
      <c r="DG137" t="s">
        <v>1309</v>
      </c>
      <c r="DH137" t="s">
        <v>1309</v>
      </c>
      <c r="DI137" t="s">
        <v>1309</v>
      </c>
      <c r="DJ137" t="s">
        <v>1309</v>
      </c>
      <c r="DK137" t="s">
        <v>1309</v>
      </c>
      <c r="DM137" t="s">
        <v>4434</v>
      </c>
      <c r="DO137" t="s">
        <v>1308</v>
      </c>
      <c r="DP137" t="s">
        <v>1310</v>
      </c>
      <c r="DQ137" t="s">
        <v>1309</v>
      </c>
      <c r="DR137" t="s">
        <v>1309</v>
      </c>
      <c r="DS137" t="s">
        <v>1309</v>
      </c>
      <c r="DT137" t="s">
        <v>1309</v>
      </c>
      <c r="DU137" t="s">
        <v>1309</v>
      </c>
      <c r="DV137" t="s">
        <v>1309</v>
      </c>
      <c r="DX137" t="s">
        <v>1358</v>
      </c>
      <c r="DZ137">
        <v>1500</v>
      </c>
      <c r="EB137">
        <v>900</v>
      </c>
      <c r="EC137" t="s">
        <v>1358</v>
      </c>
      <c r="ED137">
        <v>3200</v>
      </c>
      <c r="EF137">
        <v>900</v>
      </c>
      <c r="EG137" t="s">
        <v>3221</v>
      </c>
      <c r="EH137" t="s">
        <v>1310</v>
      </c>
      <c r="EI137" t="s">
        <v>1310</v>
      </c>
      <c r="EJ137" t="s">
        <v>1309</v>
      </c>
      <c r="EK137" t="s">
        <v>1310</v>
      </c>
      <c r="EL137" t="s">
        <v>1309</v>
      </c>
      <c r="EM137" t="s">
        <v>1309</v>
      </c>
      <c r="EN137" t="s">
        <v>1309</v>
      </c>
      <c r="EO137" t="s">
        <v>1309</v>
      </c>
      <c r="EQ137" t="s">
        <v>1307</v>
      </c>
      <c r="ER137" t="s">
        <v>1319</v>
      </c>
      <c r="ES137" t="s">
        <v>1319</v>
      </c>
      <c r="EU137" t="s">
        <v>3311</v>
      </c>
      <c r="EV137" t="s">
        <v>1310</v>
      </c>
      <c r="EW137" t="s">
        <v>1309</v>
      </c>
      <c r="EX137" t="s">
        <v>1310</v>
      </c>
      <c r="EY137" t="s">
        <v>1309</v>
      </c>
      <c r="EZ137" t="s">
        <v>1309</v>
      </c>
      <c r="FA137" t="s">
        <v>1309</v>
      </c>
      <c r="FB137" t="s">
        <v>1309</v>
      </c>
      <c r="FC137" t="s">
        <v>1310</v>
      </c>
      <c r="FD137" t="s">
        <v>1309</v>
      </c>
      <c r="FE137" t="s">
        <v>1309</v>
      </c>
      <c r="FF137" t="s">
        <v>1309</v>
      </c>
      <c r="FG137" t="s">
        <v>1309</v>
      </c>
      <c r="FH137" t="s">
        <v>1310</v>
      </c>
      <c r="FI137" t="s">
        <v>1309</v>
      </c>
      <c r="FJ137" t="s">
        <v>1309</v>
      </c>
      <c r="FK137" t="s">
        <v>1309</v>
      </c>
      <c r="FL137" t="s">
        <v>1309</v>
      </c>
      <c r="FN137" t="s">
        <v>1319</v>
      </c>
      <c r="FO137" t="s">
        <v>3312</v>
      </c>
      <c r="FP137" t="s">
        <v>1310</v>
      </c>
      <c r="FQ137" t="s">
        <v>1309</v>
      </c>
      <c r="FR137" t="s">
        <v>1310</v>
      </c>
      <c r="FS137" t="s">
        <v>1309</v>
      </c>
      <c r="FT137" t="s">
        <v>1310</v>
      </c>
      <c r="FU137" t="s">
        <v>1309</v>
      </c>
      <c r="FV137" t="s">
        <v>1309</v>
      </c>
      <c r="FW137" t="s">
        <v>1309</v>
      </c>
      <c r="FX137" t="s">
        <v>1309</v>
      </c>
      <c r="FY137" t="s">
        <v>1309</v>
      </c>
      <c r="FZ137" t="s">
        <v>1309</v>
      </c>
      <c r="GA137" t="s">
        <v>1309</v>
      </c>
      <c r="GC137" t="s">
        <v>1324</v>
      </c>
      <c r="GD137" t="s">
        <v>1324</v>
      </c>
      <c r="GN137" t="s">
        <v>1328</v>
      </c>
      <c r="GO137" t="s">
        <v>2215</v>
      </c>
      <c r="GP137" t="s">
        <v>1309</v>
      </c>
      <c r="GQ137" t="s">
        <v>1310</v>
      </c>
      <c r="GR137" t="s">
        <v>1310</v>
      </c>
      <c r="GS137" t="s">
        <v>1309</v>
      </c>
      <c r="GT137" t="s">
        <v>1309</v>
      </c>
      <c r="GU137" t="s">
        <v>1309</v>
      </c>
      <c r="GV137" t="s">
        <v>1309</v>
      </c>
      <c r="GW137" t="s">
        <v>1309</v>
      </c>
      <c r="GX137" t="s">
        <v>1309</v>
      </c>
      <c r="GY137" t="s">
        <v>1309</v>
      </c>
      <c r="GZ137" t="s">
        <v>1309</v>
      </c>
      <c r="HB137" t="s">
        <v>1307</v>
      </c>
      <c r="HR137" t="s">
        <v>1393</v>
      </c>
      <c r="HS137" t="s">
        <v>1310</v>
      </c>
      <c r="HT137" t="s">
        <v>1309</v>
      </c>
      <c r="HU137" t="s">
        <v>1309</v>
      </c>
      <c r="HV137" t="s">
        <v>1309</v>
      </c>
      <c r="HW137" t="s">
        <v>1309</v>
      </c>
      <c r="HX137" t="s">
        <v>1309</v>
      </c>
      <c r="HY137" t="s">
        <v>1309</v>
      </c>
      <c r="HZ137" t="s">
        <v>1309</v>
      </c>
      <c r="IB137" s="92" t="s">
        <v>1333</v>
      </c>
      <c r="IC137" s="92" t="s">
        <v>1334</v>
      </c>
      <c r="ID137" s="92">
        <v>39</v>
      </c>
      <c r="IE137" s="92" t="s">
        <v>1307</v>
      </c>
      <c r="IF137" s="92" t="s">
        <v>4396</v>
      </c>
      <c r="IG137" s="92" t="s">
        <v>1336</v>
      </c>
      <c r="IH137" s="92" t="s">
        <v>1296</v>
      </c>
      <c r="II137" s="92" t="s">
        <v>71</v>
      </c>
      <c r="IJ137" s="92" t="s">
        <v>5549</v>
      </c>
      <c r="IK137" s="92" t="s">
        <v>1337</v>
      </c>
      <c r="IL137" s="92" t="s">
        <v>4845</v>
      </c>
      <c r="IM137" s="92" t="s">
        <v>1415</v>
      </c>
      <c r="IN137" s="92" t="s">
        <v>109</v>
      </c>
      <c r="IO137" s="92" t="s">
        <v>4847</v>
      </c>
      <c r="IP137" s="92" t="s">
        <v>1340</v>
      </c>
      <c r="IQ137" s="92">
        <v>2400</v>
      </c>
      <c r="IR137" s="92" t="s">
        <v>1340</v>
      </c>
      <c r="IS137" s="92" t="s">
        <v>192</v>
      </c>
      <c r="IT137" s="92" t="s">
        <v>109</v>
      </c>
      <c r="IU137" s="92" t="s">
        <v>192</v>
      </c>
      <c r="IV137" s="92" t="s">
        <v>109</v>
      </c>
      <c r="IW137" s="92" t="s">
        <v>1425</v>
      </c>
      <c r="IX137" s="92">
        <v>4100</v>
      </c>
      <c r="IY137" s="92" t="s">
        <v>1340</v>
      </c>
      <c r="IZ137" s="92" t="s">
        <v>1341</v>
      </c>
      <c r="JA137" s="92" t="s">
        <v>1460</v>
      </c>
      <c r="JB137" s="92" t="s">
        <v>192</v>
      </c>
      <c r="JC137" s="92" t="s">
        <v>5795</v>
      </c>
      <c r="JD137" s="92" t="s">
        <v>109</v>
      </c>
      <c r="JE137" s="92" t="s">
        <v>109</v>
      </c>
      <c r="JF137" s="92" t="s">
        <v>1340</v>
      </c>
      <c r="JG137" s="92" t="s">
        <v>1340</v>
      </c>
      <c r="JH137" s="92"/>
      <c r="JI137" s="92"/>
    </row>
    <row r="138" spans="1:269" x14ac:dyDescent="0.25">
      <c r="A138" t="s">
        <v>3313</v>
      </c>
      <c r="B138" t="s">
        <v>3314</v>
      </c>
      <c r="C138" t="s">
        <v>1429</v>
      </c>
      <c r="D138" t="s">
        <v>1306</v>
      </c>
      <c r="F138" t="s">
        <v>1307</v>
      </c>
      <c r="G138" t="s">
        <v>1319</v>
      </c>
      <c r="H138">
        <v>2</v>
      </c>
      <c r="I138" t="s">
        <v>1307</v>
      </c>
      <c r="J138" t="s">
        <v>1308</v>
      </c>
      <c r="K138" t="s">
        <v>1309</v>
      </c>
      <c r="L138" t="s">
        <v>1309</v>
      </c>
      <c r="M138" t="s">
        <v>1309</v>
      </c>
      <c r="N138" t="s">
        <v>1309</v>
      </c>
      <c r="O138" t="s">
        <v>1309</v>
      </c>
      <c r="P138" t="s">
        <v>1309</v>
      </c>
      <c r="Q138" t="s">
        <v>1310</v>
      </c>
      <c r="R138" t="s">
        <v>1309</v>
      </c>
      <c r="U138" t="s">
        <v>1312</v>
      </c>
      <c r="V138" t="s">
        <v>1312</v>
      </c>
      <c r="W138" t="s">
        <v>1312</v>
      </c>
      <c r="X138" t="s">
        <v>1312</v>
      </c>
      <c r="Y138" t="s">
        <v>1312</v>
      </c>
      <c r="Z138" t="s">
        <v>1312</v>
      </c>
      <c r="AC138">
        <v>2</v>
      </c>
      <c r="AF138" t="s">
        <v>1313</v>
      </c>
      <c r="AH138" t="s">
        <v>1319</v>
      </c>
      <c r="AI138" t="s">
        <v>4879</v>
      </c>
      <c r="AK138" t="s">
        <v>1307</v>
      </c>
      <c r="CG138" t="s">
        <v>2853</v>
      </c>
      <c r="CH138" t="s">
        <v>1309</v>
      </c>
      <c r="CI138" t="s">
        <v>1309</v>
      </c>
      <c r="CJ138" t="s">
        <v>1309</v>
      </c>
      <c r="CK138" t="s">
        <v>1310</v>
      </c>
      <c r="CL138" t="s">
        <v>1309</v>
      </c>
      <c r="CM138" t="s">
        <v>1309</v>
      </c>
      <c r="CN138" t="s">
        <v>1309</v>
      </c>
      <c r="CO138" t="s">
        <v>1309</v>
      </c>
      <c r="CP138" t="s">
        <v>1309</v>
      </c>
      <c r="CQ138" t="s">
        <v>1309</v>
      </c>
      <c r="CR138" t="s">
        <v>1309</v>
      </c>
      <c r="CS138" t="s">
        <v>1309</v>
      </c>
      <c r="CT138" t="s">
        <v>1309</v>
      </c>
      <c r="CU138" t="s">
        <v>1309</v>
      </c>
      <c r="CV138" t="s">
        <v>1309</v>
      </c>
      <c r="CX138" t="s">
        <v>1384</v>
      </c>
      <c r="CY138" t="s">
        <v>1310</v>
      </c>
      <c r="CZ138" t="s">
        <v>1309</v>
      </c>
      <c r="DA138" t="s">
        <v>1309</v>
      </c>
      <c r="DB138" t="s">
        <v>1309</v>
      </c>
      <c r="DC138" t="s">
        <v>1309</v>
      </c>
      <c r="DD138" t="s">
        <v>1309</v>
      </c>
      <c r="DE138" t="s">
        <v>1309</v>
      </c>
      <c r="DF138" t="s">
        <v>1309</v>
      </c>
      <c r="DG138" t="s">
        <v>1309</v>
      </c>
      <c r="DH138" t="s">
        <v>1309</v>
      </c>
      <c r="DI138" t="s">
        <v>1309</v>
      </c>
      <c r="DJ138" t="s">
        <v>1309</v>
      </c>
      <c r="DK138" t="s">
        <v>1309</v>
      </c>
      <c r="DM138" t="s">
        <v>4434</v>
      </c>
      <c r="DO138" t="s">
        <v>1308</v>
      </c>
      <c r="DP138" t="s">
        <v>1310</v>
      </c>
      <c r="DQ138" t="s">
        <v>1309</v>
      </c>
      <c r="DR138" t="s">
        <v>1309</v>
      </c>
      <c r="DS138" t="s">
        <v>1309</v>
      </c>
      <c r="DT138" t="s">
        <v>1309</v>
      </c>
      <c r="DU138" t="s">
        <v>1309</v>
      </c>
      <c r="DV138" t="s">
        <v>1309</v>
      </c>
      <c r="DX138" t="s">
        <v>1358</v>
      </c>
      <c r="EC138" t="s">
        <v>1358</v>
      </c>
      <c r="ED138">
        <v>2600</v>
      </c>
      <c r="EF138">
        <v>600</v>
      </c>
      <c r="EG138" t="s">
        <v>1703</v>
      </c>
      <c r="EH138" t="s">
        <v>1310</v>
      </c>
      <c r="EI138" t="s">
        <v>1309</v>
      </c>
      <c r="EJ138" t="s">
        <v>1309</v>
      </c>
      <c r="EK138" t="s">
        <v>1309</v>
      </c>
      <c r="EL138" t="s">
        <v>1309</v>
      </c>
      <c r="EM138" t="s">
        <v>1309</v>
      </c>
      <c r="EN138" t="s">
        <v>1309</v>
      </c>
      <c r="EO138" t="s">
        <v>1309</v>
      </c>
      <c r="EQ138" t="s">
        <v>1307</v>
      </c>
      <c r="ER138" t="s">
        <v>1319</v>
      </c>
      <c r="ES138" t="s">
        <v>1319</v>
      </c>
      <c r="EU138" t="s">
        <v>3039</v>
      </c>
      <c r="EV138" t="s">
        <v>1309</v>
      </c>
      <c r="EW138" t="s">
        <v>1309</v>
      </c>
      <c r="EX138" t="s">
        <v>1310</v>
      </c>
      <c r="EY138" t="s">
        <v>1309</v>
      </c>
      <c r="EZ138" t="s">
        <v>1309</v>
      </c>
      <c r="FA138" t="s">
        <v>1309</v>
      </c>
      <c r="FB138" t="s">
        <v>1309</v>
      </c>
      <c r="FC138" t="s">
        <v>1310</v>
      </c>
      <c r="FD138" t="s">
        <v>1309</v>
      </c>
      <c r="FE138" t="s">
        <v>1309</v>
      </c>
      <c r="FF138" t="s">
        <v>1309</v>
      </c>
      <c r="FG138" t="s">
        <v>1309</v>
      </c>
      <c r="FH138" t="s">
        <v>1310</v>
      </c>
      <c r="FI138" t="s">
        <v>1309</v>
      </c>
      <c r="FJ138" t="s">
        <v>1309</v>
      </c>
      <c r="FK138" t="s">
        <v>1309</v>
      </c>
      <c r="FL138" t="s">
        <v>1309</v>
      </c>
      <c r="FN138" t="s">
        <v>1307</v>
      </c>
      <c r="GC138" t="s">
        <v>1324</v>
      </c>
      <c r="GD138" t="s">
        <v>1324</v>
      </c>
      <c r="GN138" t="s">
        <v>1364</v>
      </c>
      <c r="HB138" t="s">
        <v>1319</v>
      </c>
      <c r="HC138" t="s">
        <v>3315</v>
      </c>
      <c r="HD138" t="s">
        <v>1309</v>
      </c>
      <c r="HE138" t="s">
        <v>1309</v>
      </c>
      <c r="HF138" t="s">
        <v>1310</v>
      </c>
      <c r="HG138" t="s">
        <v>1309</v>
      </c>
      <c r="HH138" t="s">
        <v>1309</v>
      </c>
      <c r="HI138" t="s">
        <v>1309</v>
      </c>
      <c r="HJ138" t="s">
        <v>1309</v>
      </c>
      <c r="HK138" t="s">
        <v>1309</v>
      </c>
      <c r="HL138" t="s">
        <v>1309</v>
      </c>
      <c r="HM138" t="s">
        <v>1309</v>
      </c>
      <c r="HN138" t="s">
        <v>1309</v>
      </c>
      <c r="HO138" t="s">
        <v>1309</v>
      </c>
      <c r="HP138" t="s">
        <v>1309</v>
      </c>
      <c r="HR138" t="s">
        <v>1451</v>
      </c>
      <c r="HS138" t="s">
        <v>1310</v>
      </c>
      <c r="HT138" t="s">
        <v>1309</v>
      </c>
      <c r="HU138" t="s">
        <v>1309</v>
      </c>
      <c r="HV138" t="s">
        <v>1310</v>
      </c>
      <c r="HW138" t="s">
        <v>1309</v>
      </c>
      <c r="HX138" t="s">
        <v>1309</v>
      </c>
      <c r="HY138" t="s">
        <v>1309</v>
      </c>
      <c r="HZ138" t="s">
        <v>1309</v>
      </c>
      <c r="IB138" s="92" t="s">
        <v>1333</v>
      </c>
      <c r="IC138" s="92" t="s">
        <v>1334</v>
      </c>
      <c r="ID138" s="92">
        <v>25</v>
      </c>
      <c r="IE138" s="92" t="s">
        <v>1307</v>
      </c>
      <c r="IF138" s="92" t="s">
        <v>4398</v>
      </c>
      <c r="IG138" s="92" t="s">
        <v>1336</v>
      </c>
      <c r="IH138" s="92" t="s">
        <v>1296</v>
      </c>
      <c r="II138" s="92" t="s">
        <v>71</v>
      </c>
      <c r="IJ138" s="92" t="s">
        <v>5549</v>
      </c>
      <c r="IK138" s="92" t="s">
        <v>1398</v>
      </c>
      <c r="IL138" s="92" t="s">
        <v>4845</v>
      </c>
      <c r="IM138" s="92" t="s">
        <v>1338</v>
      </c>
      <c r="IN138" s="92" t="s">
        <v>109</v>
      </c>
      <c r="IO138" s="92" t="s">
        <v>4847</v>
      </c>
      <c r="IP138" s="92" t="s">
        <v>1340</v>
      </c>
      <c r="IQ138" s="92">
        <v>0</v>
      </c>
      <c r="IR138" s="92" t="s">
        <v>1340</v>
      </c>
      <c r="IS138" s="92" t="s">
        <v>109</v>
      </c>
      <c r="IT138" s="92" t="s">
        <v>109</v>
      </c>
      <c r="IU138" s="92" t="s">
        <v>192</v>
      </c>
      <c r="IV138" s="92" t="s">
        <v>109</v>
      </c>
      <c r="IW138" s="92" t="s">
        <v>1373</v>
      </c>
      <c r="IX138" s="92">
        <v>3200</v>
      </c>
      <c r="IY138" s="92" t="s">
        <v>1340</v>
      </c>
      <c r="IZ138" s="92" t="s">
        <v>1341</v>
      </c>
      <c r="JA138" s="92" t="s">
        <v>1460</v>
      </c>
      <c r="JB138" s="92" t="s">
        <v>192</v>
      </c>
      <c r="JC138" s="92" t="s">
        <v>5795</v>
      </c>
      <c r="JD138" s="92" t="s">
        <v>109</v>
      </c>
      <c r="JE138" s="92" t="s">
        <v>109</v>
      </c>
      <c r="JF138" s="92" t="s">
        <v>1340</v>
      </c>
      <c r="JG138" s="92" t="s">
        <v>1340</v>
      </c>
      <c r="JH138" s="92"/>
      <c r="JI138" s="92"/>
    </row>
    <row r="139" spans="1:269" x14ac:dyDescent="0.25">
      <c r="A139" t="s">
        <v>3316</v>
      </c>
      <c r="B139" t="s">
        <v>3317</v>
      </c>
      <c r="C139" t="s">
        <v>1305</v>
      </c>
      <c r="D139" t="s">
        <v>1306</v>
      </c>
      <c r="F139" t="s">
        <v>1307</v>
      </c>
      <c r="G139" t="s">
        <v>1319</v>
      </c>
      <c r="H139">
        <v>3</v>
      </c>
      <c r="I139" t="s">
        <v>1307</v>
      </c>
      <c r="J139" t="s">
        <v>1406</v>
      </c>
      <c r="K139" t="s">
        <v>1309</v>
      </c>
      <c r="L139" t="s">
        <v>1310</v>
      </c>
      <c r="M139" t="s">
        <v>1309</v>
      </c>
      <c r="N139" t="s">
        <v>1309</v>
      </c>
      <c r="O139" t="s">
        <v>1309</v>
      </c>
      <c r="P139" t="s">
        <v>1309</v>
      </c>
      <c r="Q139" t="s">
        <v>1309</v>
      </c>
      <c r="R139" t="s">
        <v>1309</v>
      </c>
      <c r="S139">
        <v>1</v>
      </c>
      <c r="U139" t="s">
        <v>1312</v>
      </c>
      <c r="V139" t="s">
        <v>1312</v>
      </c>
      <c r="W139" t="s">
        <v>1312</v>
      </c>
      <c r="X139" t="s">
        <v>1312</v>
      </c>
      <c r="Y139" t="s">
        <v>1312</v>
      </c>
      <c r="Z139" t="s">
        <v>1312</v>
      </c>
      <c r="AC139">
        <v>2</v>
      </c>
      <c r="AD139">
        <v>15000</v>
      </c>
      <c r="AE139">
        <v>15000</v>
      </c>
      <c r="AF139" t="s">
        <v>1313</v>
      </c>
      <c r="AH139" t="s">
        <v>1319</v>
      </c>
      <c r="AI139" t="s">
        <v>4876</v>
      </c>
      <c r="AK139" t="s">
        <v>1319</v>
      </c>
      <c r="AL139" t="s">
        <v>1315</v>
      </c>
      <c r="AN139" t="s">
        <v>1316</v>
      </c>
      <c r="BU139" t="s">
        <v>2853</v>
      </c>
      <c r="BV139" t="s">
        <v>1310</v>
      </c>
      <c r="BW139" t="s">
        <v>1309</v>
      </c>
      <c r="BX139" t="s">
        <v>1309</v>
      </c>
      <c r="BY139" t="s">
        <v>1309</v>
      </c>
      <c r="BZ139" t="s">
        <v>1309</v>
      </c>
      <c r="CA139" t="s">
        <v>1309</v>
      </c>
      <c r="CB139" t="s">
        <v>1309</v>
      </c>
      <c r="CC139" t="s">
        <v>1309</v>
      </c>
      <c r="CD139" t="s">
        <v>1309</v>
      </c>
      <c r="CE139" t="s">
        <v>1309</v>
      </c>
      <c r="CX139" t="s">
        <v>1384</v>
      </c>
      <c r="CY139" t="s">
        <v>1310</v>
      </c>
      <c r="CZ139" t="s">
        <v>1309</v>
      </c>
      <c r="DA139" t="s">
        <v>1309</v>
      </c>
      <c r="DB139" t="s">
        <v>1309</v>
      </c>
      <c r="DC139" t="s">
        <v>1309</v>
      </c>
      <c r="DD139" t="s">
        <v>1309</v>
      </c>
      <c r="DE139" t="s">
        <v>1309</v>
      </c>
      <c r="DF139" t="s">
        <v>1309</v>
      </c>
      <c r="DG139" t="s">
        <v>1309</v>
      </c>
      <c r="DH139" t="s">
        <v>1309</v>
      </c>
      <c r="DI139" t="s">
        <v>1309</v>
      </c>
      <c r="DJ139" t="s">
        <v>1309</v>
      </c>
      <c r="DK139" t="s">
        <v>1309</v>
      </c>
      <c r="DM139" t="s">
        <v>4434</v>
      </c>
      <c r="DO139" t="s">
        <v>1308</v>
      </c>
      <c r="DP139" t="s">
        <v>1310</v>
      </c>
      <c r="DQ139" t="s">
        <v>1309</v>
      </c>
      <c r="DR139" t="s">
        <v>1309</v>
      </c>
      <c r="DS139" t="s">
        <v>1309</v>
      </c>
      <c r="DT139" t="s">
        <v>1309</v>
      </c>
      <c r="DU139" t="s">
        <v>1309</v>
      </c>
      <c r="DV139" t="s">
        <v>1309</v>
      </c>
      <c r="DX139" t="s">
        <v>1358</v>
      </c>
      <c r="DZ139">
        <v>1300</v>
      </c>
      <c r="EB139">
        <v>600</v>
      </c>
      <c r="EC139" t="s">
        <v>1358</v>
      </c>
      <c r="ED139">
        <v>2500</v>
      </c>
      <c r="EF139">
        <v>700</v>
      </c>
      <c r="EG139" t="s">
        <v>1703</v>
      </c>
      <c r="EH139" t="s">
        <v>1310</v>
      </c>
      <c r="EI139" t="s">
        <v>1309</v>
      </c>
      <c r="EJ139" t="s">
        <v>1309</v>
      </c>
      <c r="EK139" t="s">
        <v>1309</v>
      </c>
      <c r="EL139" t="s">
        <v>1309</v>
      </c>
      <c r="EM139" t="s">
        <v>1309</v>
      </c>
      <c r="EN139" t="s">
        <v>1309</v>
      </c>
      <c r="EO139" t="s">
        <v>1309</v>
      </c>
      <c r="EQ139" t="s">
        <v>1307</v>
      </c>
      <c r="ER139" t="s">
        <v>1319</v>
      </c>
      <c r="ES139" t="s">
        <v>1319</v>
      </c>
      <c r="EU139" t="s">
        <v>3318</v>
      </c>
      <c r="EV139" t="s">
        <v>1310</v>
      </c>
      <c r="EW139" t="s">
        <v>1309</v>
      </c>
      <c r="EX139" t="s">
        <v>1310</v>
      </c>
      <c r="EY139" t="s">
        <v>1309</v>
      </c>
      <c r="EZ139" t="s">
        <v>1309</v>
      </c>
      <c r="FA139" t="s">
        <v>1309</v>
      </c>
      <c r="FB139" t="s">
        <v>1310</v>
      </c>
      <c r="FC139" t="s">
        <v>1309</v>
      </c>
      <c r="FD139" t="s">
        <v>1309</v>
      </c>
      <c r="FE139" t="s">
        <v>1309</v>
      </c>
      <c r="FF139" t="s">
        <v>1309</v>
      </c>
      <c r="FG139" t="s">
        <v>1309</v>
      </c>
      <c r="FH139" t="s">
        <v>1310</v>
      </c>
      <c r="FI139" t="s">
        <v>1309</v>
      </c>
      <c r="FJ139" t="s">
        <v>1309</v>
      </c>
      <c r="FK139" t="s">
        <v>1309</v>
      </c>
      <c r="FL139" t="s">
        <v>1309</v>
      </c>
      <c r="FN139" t="s">
        <v>1319</v>
      </c>
      <c r="FO139" t="s">
        <v>1943</v>
      </c>
      <c r="FP139" t="s">
        <v>1310</v>
      </c>
      <c r="FQ139" t="s">
        <v>1309</v>
      </c>
      <c r="FR139" t="s">
        <v>1310</v>
      </c>
      <c r="FS139" t="s">
        <v>1309</v>
      </c>
      <c r="FT139" t="s">
        <v>1309</v>
      </c>
      <c r="FU139" t="s">
        <v>1309</v>
      </c>
      <c r="FV139" t="s">
        <v>1309</v>
      </c>
      <c r="FW139" t="s">
        <v>1309</v>
      </c>
      <c r="FX139" t="s">
        <v>1309</v>
      </c>
      <c r="FY139" t="s">
        <v>1309</v>
      </c>
      <c r="FZ139" t="s">
        <v>1309</v>
      </c>
      <c r="GA139" t="s">
        <v>1309</v>
      </c>
      <c r="GC139" t="s">
        <v>1324</v>
      </c>
      <c r="GD139" t="s">
        <v>1324</v>
      </c>
      <c r="GN139" t="s">
        <v>1328</v>
      </c>
      <c r="GO139" t="s">
        <v>1824</v>
      </c>
      <c r="GP139" t="s">
        <v>1310</v>
      </c>
      <c r="GQ139" t="s">
        <v>1309</v>
      </c>
      <c r="GR139" t="s">
        <v>1310</v>
      </c>
      <c r="GS139" t="s">
        <v>1309</v>
      </c>
      <c r="GT139" t="s">
        <v>1309</v>
      </c>
      <c r="GU139" t="s">
        <v>1309</v>
      </c>
      <c r="GV139" t="s">
        <v>1309</v>
      </c>
      <c r="GW139" t="s">
        <v>1309</v>
      </c>
      <c r="GX139" t="s">
        <v>1309</v>
      </c>
      <c r="GY139" t="s">
        <v>1309</v>
      </c>
      <c r="GZ139" t="s">
        <v>1309</v>
      </c>
      <c r="HB139" t="s">
        <v>1307</v>
      </c>
      <c r="HR139" t="s">
        <v>1393</v>
      </c>
      <c r="HS139" t="s">
        <v>1310</v>
      </c>
      <c r="HT139" t="s">
        <v>1309</v>
      </c>
      <c r="HU139" t="s">
        <v>1309</v>
      </c>
      <c r="HV139" t="s">
        <v>1309</v>
      </c>
      <c r="HW139" t="s">
        <v>1309</v>
      </c>
      <c r="HX139" t="s">
        <v>1309</v>
      </c>
      <c r="HY139" t="s">
        <v>1309</v>
      </c>
      <c r="HZ139" t="s">
        <v>1309</v>
      </c>
      <c r="IB139" s="92" t="s">
        <v>1333</v>
      </c>
      <c r="IC139" s="92" t="s">
        <v>1334</v>
      </c>
      <c r="ID139" s="92">
        <v>29</v>
      </c>
      <c r="IE139" s="92" t="s">
        <v>1307</v>
      </c>
      <c r="IF139" s="92" t="s">
        <v>4396</v>
      </c>
      <c r="IG139" s="92" t="s">
        <v>1336</v>
      </c>
      <c r="IH139" s="92" t="s">
        <v>1296</v>
      </c>
      <c r="II139" s="92" t="s">
        <v>71</v>
      </c>
      <c r="IJ139" s="92" t="s">
        <v>5549</v>
      </c>
      <c r="IK139" s="92" t="s">
        <v>1398</v>
      </c>
      <c r="IL139" s="92" t="s">
        <v>4845</v>
      </c>
      <c r="IM139" s="92" t="s">
        <v>1415</v>
      </c>
      <c r="IN139" s="92" t="s">
        <v>109</v>
      </c>
      <c r="IO139" s="92" t="s">
        <v>4847</v>
      </c>
      <c r="IP139" s="92" t="s">
        <v>1371</v>
      </c>
      <c r="IQ139" s="92">
        <v>1900</v>
      </c>
      <c r="IR139" s="92" t="s">
        <v>4438</v>
      </c>
      <c r="IS139" s="92" t="s">
        <v>192</v>
      </c>
      <c r="IT139" s="92" t="s">
        <v>109</v>
      </c>
      <c r="IU139" s="92" t="s">
        <v>192</v>
      </c>
      <c r="IV139" s="92" t="s">
        <v>109</v>
      </c>
      <c r="IW139" s="92" t="s">
        <v>1440</v>
      </c>
      <c r="IX139" s="92">
        <v>3200</v>
      </c>
      <c r="IY139" s="92" t="s">
        <v>4438</v>
      </c>
      <c r="IZ139" s="92" t="s">
        <v>1341</v>
      </c>
      <c r="JA139" s="92" t="s">
        <v>1460</v>
      </c>
      <c r="JB139" s="92" t="s">
        <v>192</v>
      </c>
      <c r="JC139" s="92" t="s">
        <v>5795</v>
      </c>
      <c r="JD139" s="92" t="s">
        <v>109</v>
      </c>
      <c r="JE139" s="92" t="s">
        <v>109</v>
      </c>
      <c r="JF139" s="92" t="s">
        <v>4438</v>
      </c>
      <c r="JG139" s="92" t="s">
        <v>4438</v>
      </c>
      <c r="JH139" s="92" t="s">
        <v>192</v>
      </c>
      <c r="JI139" s="92" t="s">
        <v>192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a0b5fe5-391f-41b6-811a-90e0518c7af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93A2E158ED92647AF4EE09E30C26EE1" ma:contentTypeVersion="15" ma:contentTypeDescription="Crée un document." ma:contentTypeScope="" ma:versionID="6d3afdd5794968cc3fcfd8684e1b950c">
  <xsd:schema xmlns:xsd="http://www.w3.org/2001/XMLSchema" xmlns:xs="http://www.w3.org/2001/XMLSchema" xmlns:p="http://schemas.microsoft.com/office/2006/metadata/properties" xmlns:ns2="fa0b5fe5-391f-41b6-811a-90e0518c7af2" xmlns:ns3="c228d1bd-650e-48eb-9f39-f684bd7bd257" targetNamespace="http://schemas.microsoft.com/office/2006/metadata/properties" ma:root="true" ma:fieldsID="45cd4df21cc26723fa52c9be75873e37" ns2:_="" ns3:_="">
    <xsd:import namespace="fa0b5fe5-391f-41b6-811a-90e0518c7af2"/>
    <xsd:import namespace="c228d1bd-650e-48eb-9f39-f684bd7bd2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DateTaken" minOccurs="0"/>
                <xsd:element ref="ns2:TaxCatchAll" minOccurs="0"/>
                <xsd:element ref="ns3:MediaServiceGenerationTime" minOccurs="0"/>
                <xsd:element ref="ns3:MediaServiceEventHashCode" minOccurs="0"/>
                <xsd:element ref="ns3:MediaServiceOCR"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0b5fe5-391f-41b6-811a-90e0518c7af2"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15" nillable="true" ma:displayName="Taxonomy Catch All Column" ma:hidden="true" ma:list="{96dc6f5d-5d37-4265-8955-6aac29463c5b}" ma:internalName="TaxCatchAll" ma:showField="CatchAllData" ma:web="fa0b5fe5-391f-41b6-811a-90e0518c7af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228d1bd-650e-48eb-9f39-f684bd7bd25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A9A394-CF9A-4DAE-8A67-399F3CE0D74B}">
  <ds:schemaRefs>
    <ds:schemaRef ds:uri="http://schemas.microsoft.com/sharepoint/v3/contenttype/forms"/>
  </ds:schemaRefs>
</ds:datastoreItem>
</file>

<file path=customXml/itemProps2.xml><?xml version="1.0" encoding="utf-8"?>
<ds:datastoreItem xmlns:ds="http://schemas.openxmlformats.org/officeDocument/2006/customXml" ds:itemID="{A0D0E371-FF68-4909-9CB0-740F8B141B7A}">
  <ds:schemaRefs>
    <ds:schemaRef ds:uri="http://schemas.microsoft.com/office/2006/metadata/properties"/>
    <ds:schemaRef ds:uri="http://schemas.microsoft.com/office/infopath/2007/PartnerControls"/>
    <ds:schemaRef ds:uri="fa0b5fe5-391f-41b6-811a-90e0518c7af2"/>
  </ds:schemaRefs>
</ds:datastoreItem>
</file>

<file path=customXml/itemProps3.xml><?xml version="1.0" encoding="utf-8"?>
<ds:datastoreItem xmlns:ds="http://schemas.openxmlformats.org/officeDocument/2006/customXml" ds:itemID="{ACF8249D-26F3-4422-A321-28A9ACD28B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0b5fe5-391f-41b6-811a-90e0518c7af2"/>
    <ds:schemaRef ds:uri="c228d1bd-650e-48eb-9f39-f684bd7bd2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READ_ME</vt:lpstr>
      <vt:lpstr>Table_of_contents_BNF</vt:lpstr>
      <vt:lpstr>Data_Analysis_BNF</vt:lpstr>
      <vt:lpstr>Table_of_contents_nonBNF</vt:lpstr>
      <vt:lpstr>Data_Analysis_nonBNF</vt:lpstr>
      <vt:lpstr>Analysis_variables_BNF</vt:lpstr>
      <vt:lpstr>Analysis_variables_NON_BNF</vt:lpstr>
      <vt:lpstr>R_file_directory</vt:lpstr>
      <vt:lpstr>Deviations_from_ToR</vt:lpstr>
      <vt:lpstr>Clean_data_main_level</vt:lpstr>
      <vt:lpstr>Extended_DAP</vt:lpstr>
      <vt:lpstr>Sampling</vt:lpstr>
      <vt:lpstr>Clean_data_BNF</vt:lpstr>
      <vt:lpstr>Clean_data_nonBNF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acted</dc:creator>
  <cp:keywords/>
  <dc:description/>
  <cp:lastModifiedBy>Dmitri TERZINOV</cp:lastModifiedBy>
  <cp:revision/>
  <dcterms:created xsi:type="dcterms:W3CDTF">2015-01-18T18:45:03Z</dcterms:created>
  <dcterms:modified xsi:type="dcterms:W3CDTF">2025-03-21T15:17:33Z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77c96b84-389d-45bc-b71c-e6b46de08ba7</vt:lpwstr>
  </property>
  <property fmtid="{D5CDD505-2E9C-101B-9397-08002B2CF9AE}" pid="3" name="ContentTypeId">
    <vt:lpwstr>0x010100193A2E158ED92647AF4EE09E30C26EE1</vt:lpwstr>
  </property>
  <property fmtid="{D5CDD505-2E9C-101B-9397-08002B2CF9AE}" pid="4" name="MediaServiceImageTags">
    <vt:lpwstr/>
  </property>
</Properties>
</file>